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dcreamer/Documents/Codex/2026-08-07/i-c/outputs/"/>
    </mc:Choice>
  </mc:AlternateContent>
  <xr:revisionPtr revIDLastSave="0" documentId="13_ncr:1_{468A2642-BD1E-7646-B6F2-9C750D225DA2}" xr6:coauthVersionLast="47" xr6:coauthVersionMax="47" xr10:uidLastSave="{00000000-0000-0000-0000-000000000000}"/>
  <bookViews>
    <workbookView xWindow="0" yWindow="680" windowWidth="34200" windowHeight="19940" activeTab="5" xr2:uid="{00000000-000D-0000-FFFF-FFFF00000000}"/>
  </bookViews>
  <sheets>
    <sheet name="CPUs" sheetId="1" r:id="rId1"/>
    <sheet name="GuestOS" sheetId="2" r:id="rId2"/>
    <sheet name="IODevices" sheetId="3" r:id="rId3"/>
    <sheet name="VCF Sizing" sheetId="4" r:id="rId4"/>
    <sheet name="Design IDs" sheetId="26" r:id="rId5"/>
    <sheet name="Design Bridge" sheetId="25" r:id="rId6"/>
    <sheet name="Interop_DB" sheetId="6" r:id="rId7"/>
    <sheet name="Static Reference Tables" sheetId="7" r:id="rId8"/>
    <sheet name="Change Control" sheetId="8" r:id="rId9"/>
    <sheet name="Arkham" sheetId="9" r:id="rId10"/>
    <sheet name="Value Reference Tables - MR" sheetId="10" r:id="rId11"/>
    <sheet name="Value Reference Tables" sheetId="11" r:id="rId12"/>
    <sheet name="Dumping Ground" sheetId="12" r:id="rId13"/>
    <sheet name="Site Protection &amp; DR" sheetId="13" r:id="rId14"/>
    <sheet name="On-Premises Ransomware Recovery" sheetId="14" r:id="rId15"/>
    <sheet name="Public Reference Sheet" sheetId="15" r:id="rId16"/>
    <sheet name="Private AI Ready Infrastructure" sheetId="16" r:id="rId17"/>
    <sheet name="Cloud-Based Ransomware Recovery" sheetId="17" r:id="rId18"/>
    <sheet name="Cross Cloud Mobility" sheetId="18" r:id="rId19"/>
    <sheet name="Active Directory Inputs" sheetId="19" r:id="rId20"/>
    <sheet name="Decision Requirement Map" sheetId="20" r:id="rId21"/>
    <sheet name="Design Decisions" sheetId="21" r:id="rId22"/>
    <sheet name="Baseline Bundles" sheetId="22" r:id="rId23"/>
    <sheet name="Decision Funnel Summary" sheetId="23" r:id="rId24"/>
    <sheet name="Product Build Catalog" sheetId="24" r:id="rId25"/>
  </sheets>
  <definedNames>
    <definedName name="Additional_Instance">'Static Reference Tables'!$H$11:$H$13</definedName>
    <definedName name="administrator_vsphere_local_password">'Value Reference Tables'!$L$14</definedName>
    <definedName name="air_GPU_network_operator_namespace">'Value Reference Tables'!$U$43</definedName>
    <definedName name="air_GPU_operator_namespace">'Value Reference Tables'!$U$42</definedName>
    <definedName name="air_GPU_VM_class">'Value Reference Tables'!$U$41</definedName>
    <definedName name="air_license">'Value Reference Tables'!$U$40</definedName>
    <definedName name="asn_instance">'Value Reference Tables - MR'!$AH$18</definedName>
    <definedName name="asn_mgmt_az1">'Value Reference Tables - MR'!$AH$19</definedName>
    <definedName name="asn_mgmt_az2">'Value Reference Tables - MR'!$AH$20</definedName>
    <definedName name="asn_start">'Value Reference Tables - MR'!$AH$17</definedName>
    <definedName name="asn_wld_az1">'Value Reference Tables - MR'!$AH$21</definedName>
    <definedName name="asn_wld_az2">'Value Reference Tables - MR'!$AH$22</definedName>
    <definedName name="avilb_root_password">'Value Reference Tables'!$L$32</definedName>
    <definedName name="aws_regions">'Static Reference Tables'!$B$386:$B$413</definedName>
    <definedName name="ca_administrator_password">'Value Reference Tables'!$L$31</definedName>
    <definedName name="ca_administrator_username">'Value Reference Tables'!$L$8</definedName>
    <definedName name="ca_algorithm">'Value Reference Tables'!$O$39</definedName>
    <definedName name="ca_country">'Value Reference Tables'!$O$38</definedName>
    <definedName name="ca_email_address">'Value Reference Tables'!$O$41</definedName>
    <definedName name="ca_key_size">'Value Reference Tables'!$O$40</definedName>
    <definedName name="ca_locality">'Value Reference Tables'!$O$42</definedName>
    <definedName name="ca_organization">'Value Reference Tables'!$O$43</definedName>
    <definedName name="ca_organization_unit">'Value Reference Tables'!$O$44</definedName>
    <definedName name="ca_state">'Value Reference Tables'!$O$45</definedName>
    <definedName name="ca_template_name">'Value Reference Tables'!$O$37</definedName>
    <definedName name="calculated_mgmt_host_count">#REF!</definedName>
    <definedName name="cbr_aria_logs_key">'Value Reference Tables'!$U$149</definedName>
    <definedName name="cbr_aria_logs_url">'Value Reference Tables'!$U$148</definedName>
    <definedName name="cbr_firewall_rule_vcenter">'Value Reference Tables'!$U$134</definedName>
    <definedName name="cbr_recovery_host_count">'Value Reference Tables'!$U$130</definedName>
    <definedName name="cbr_recovery_host_type">'Value Reference Tables'!$U$129</definedName>
    <definedName name="cbr_recovery_management_subnet">'Value Reference Tables'!$U$133</definedName>
    <definedName name="cbr_recovery_region">'Value Reference Tables'!$U$128</definedName>
    <definedName name="cbr_recovery_sddc_name">'Value Reference Tables'!$U$127</definedName>
    <definedName name="cbr_recovery_subnet">'Value Reference Tables'!$U$132</definedName>
    <definedName name="cbr_recovery_vpc">'Value Reference Tables'!$U$131</definedName>
    <definedName name="cbr_vcdr_anti_affinity">'Value Reference Tables'!$U$145</definedName>
    <definedName name="cbr_vcdr_cdp1_hostname">'Value Reference Tables'!$U$137</definedName>
    <definedName name="cbr_vcdr_cdp1_ip">'Value Reference Tables'!$U$138</definedName>
    <definedName name="cbr_vcdr_cdp2_hostname">'Value Reference Tables'!$U$139</definedName>
    <definedName name="cbr_vcdr_cdp2_ip">'Value Reference Tables'!$U$140</definedName>
    <definedName name="cbr_vcdr_email_recipient">'Value Reference Tables'!$U$146</definedName>
    <definedName name="cbr_vcdr_email_sender">'Value Reference Tables'!$U$147</definedName>
    <definedName name="cbr_vcdr_label">'Value Reference Tables'!$U$144</definedName>
    <definedName name="cbr_vcdr_orchestrator_fqdn">'Value Reference Tables'!$U$142</definedName>
    <definedName name="cbr_vcdr_ova">'Value Reference Tables'!$U$141</definedName>
    <definedName name="cbr_vcdr_passcode">'Value Reference Tables'!$U$143</definedName>
    <definedName name="cbr_vcdr_site_name">'Value Reference Tables'!$U$135</definedName>
    <definedName name="cbr_vcdr_timezone">'Value Reference Tables'!$U$136</definedName>
    <definedName name="cbr_vcdr_vsphere_role">'Value Reference Tables'!$U$123</definedName>
    <definedName name="cbr_vm_folder">'Value Reference Tables'!$U$126</definedName>
    <definedName name="ccm_aws_admin_password">'Value Reference Tables'!$U$180</definedName>
    <definedName name="ccm_aws_admin_ssouser">'Value Reference Tables'!$U$179</definedName>
    <definedName name="ccm_aws_host_count">'Value Reference Tables'!$U$164</definedName>
    <definedName name="ccm_aws_host_type">'Value Reference Tables'!$U$163</definedName>
    <definedName name="ccm_aws_management_subnet">'Value Reference Tables'!$U$167</definedName>
    <definedName name="ccm_aws_region">'Value Reference Tables'!$U$162</definedName>
    <definedName name="ccm_aws_sddc_name">'Value Reference Tables'!$U$161</definedName>
    <definedName name="ccm_aws_subnet">'Value Reference Tables'!$U$166</definedName>
    <definedName name="ccm_aws_vpc">'Value Reference Tables'!$U$165</definedName>
    <definedName name="ccm_firewall_group">'Value Reference Tables'!$U$170</definedName>
    <definedName name="ccm_firewall_ip_addresses">'Value Reference Tables'!$U$171</definedName>
    <definedName name="ccm_firewall_rule_hcx">'Value Reference Tables'!$U$169</definedName>
    <definedName name="ccm_firewall_rule_vcenter">'Value Reference Tables'!$U$168</definedName>
    <definedName name="ccm_hcx_admin_password">'Value Reference Tables'!$U$175</definedName>
    <definedName name="ccm_hcx_cdp_hostname">'Value Reference Tables'!$U$174</definedName>
    <definedName name="ccm_hcx_cdp_ip">'Value Reference Tables'!$U$177</definedName>
    <definedName name="ccm_hcx_compute_profile">'Value Reference Tables'!$U$183</definedName>
    <definedName name="ccm_hcx_dc_location">'Value Reference Tables'!$U$173</definedName>
    <definedName name="ccm_hcx_license">'Value Reference Tables'!$U$172</definedName>
    <definedName name="ccm_hcx_mgmt_network_ip_range">'Value Reference Tables'!$U$181</definedName>
    <definedName name="ccm_hcx_nsx_svc_password">'Value Reference Tables'!$U$160</definedName>
    <definedName name="ccm_hcx_nsx_svc_user">'Value Reference Tables'!$U$159</definedName>
    <definedName name="ccm_hcx_remote_url">'Value Reference Tables'!$U$178</definedName>
    <definedName name="ccm_hcx_resource_pool">'Value Reference Tables'!$U$158</definedName>
    <definedName name="ccm_hcx_root_password">'Value Reference Tables'!$U$176</definedName>
    <definedName name="ccm_hcx_service_mesh">'Value Reference Tables'!$U$184</definedName>
    <definedName name="ccm_hcx_vm_folder">'Value Reference Tables'!$U$157</definedName>
    <definedName name="ccm_hcx_vmotion_network_ip_range">'Value Reference Tables'!$U$182</definedName>
    <definedName name="ccm_hcx_vsphere_role">'Value Reference Tables'!$U$153</definedName>
    <definedName name="ccm_hcx_vsphere_svc_password">'Value Reference Tables'!$U$155</definedName>
    <definedName name="ccm_hcx_vsphere_svc_user">'Value Reference Tables'!$U$154</definedName>
    <definedName name="ccm_vm_folder">'Value Reference Tables'!$U$156</definedName>
    <definedName name="certificate_authority_fqdn">'Value Reference Tables'!$L$58</definedName>
    <definedName name="certificate_authority_model">'Value Reference Tables'!$O$9</definedName>
    <definedName name="certificate_authority_name">'Value Reference Tables'!$L$59</definedName>
    <definedName name="change_control_new">'Change Control'!$B$2:$B$100</definedName>
    <definedName name="change_control_old">'Change Control'!$C$2:$C$100</definedName>
    <definedName name="child_ad_groups_ou">'Value Reference Tables'!$L$83</definedName>
    <definedName name="child_ad_users_ou">'Value Reference Tables'!$L$88</definedName>
    <definedName name="child_dns_zone">'Value Reference Tables'!$L$67</definedName>
    <definedName name="child_svc_nsx_ad_password">'Value Reference Tables'!$L$112</definedName>
    <definedName name="child_svc_nsx_ad_user">'Value Reference Tables'!$L$127</definedName>
    <definedName name="child_svc_vsphere_ad_password">'Value Reference Tables'!$L$111</definedName>
    <definedName name="child_svc_vsphere_ad_user">'Value Reference Tables'!$L$126</definedName>
    <definedName name="cluster_az1_host_fqdns">'Value Reference Tables'!$I$75:$I$90</definedName>
    <definedName name="cluster_az1_host_mgmt_ips">'Value Reference Tables'!$I$57:$I$72</definedName>
    <definedName name="cluster_az1_host_overlay_cidr">'Value Reference Tables'!$I$160</definedName>
    <definedName name="cluster_az1_host_overlay_gateway_ip">'Value Reference Tables'!$I$163</definedName>
    <definedName name="cluster_az1_host_overlay_network_pool_description">'Value Reference Tables'!$I$159</definedName>
    <definedName name="cluster_az1_host_overlay_network_pool_name">'Value Reference Tables'!$I$158</definedName>
    <definedName name="cluster_az1_host_overlay_network_profile_name">'Value Reference Tables'!$I$108</definedName>
    <definedName name="cluster_az1_host_overlay_new_pool_chosen">#REF!</definedName>
    <definedName name="cluster_az1_host_overlay_pool_end_ip">'Value Reference Tables'!$I$162</definedName>
    <definedName name="cluster_az1_host_overlay_pool_start_ip">'Value Reference Tables'!$I$161</definedName>
    <definedName name="cluster_az1_host_overlay_transport_zone">'Value Reference Tables'!$I$154</definedName>
    <definedName name="cluster_az1_host_overlay_uplink_profile_name">'Value Reference Tables'!$I$168</definedName>
    <definedName name="cluster_az1_host_overlay_vlan">'Value Reference Tables'!$I$155</definedName>
    <definedName name="cluster_az1_host1_fqdn">'Value Reference Tables'!$I$75</definedName>
    <definedName name="cluster_az1_host1_mgmt_ip">'Value Reference Tables'!$I$57</definedName>
    <definedName name="cluster_az1_host10_fqdn">'Value Reference Tables'!$I$84</definedName>
    <definedName name="cluster_az1_host10_mgmt_ip">'Value Reference Tables'!$I$66</definedName>
    <definedName name="cluster_az1_host11_fqdn">'Value Reference Tables'!$I$85</definedName>
    <definedName name="cluster_az1_host11_mgmt_ip">'Value Reference Tables'!$I$67</definedName>
    <definedName name="cluster_az1_host12_fqdn">'Value Reference Tables'!$I$86</definedName>
    <definedName name="cluster_az1_host12_mgmt_ip">'Value Reference Tables'!$I$68</definedName>
    <definedName name="cluster_az1_host13_fqdn">'Value Reference Tables'!$I$87</definedName>
    <definedName name="cluster_az1_host13_mgmt_ip">'Value Reference Tables'!$I$69</definedName>
    <definedName name="cluster_az1_host14_fqdn">'Value Reference Tables'!$I$88</definedName>
    <definedName name="cluster_az1_host14_mgmt_ip">'Value Reference Tables'!$I$70</definedName>
    <definedName name="cluster_az1_host15_fqdn">'Value Reference Tables'!$I$89</definedName>
    <definedName name="cluster_az1_host15_mgmt_ip">'Value Reference Tables'!$I$71</definedName>
    <definedName name="cluster_az1_host16_fqdn">'Value Reference Tables'!$I$90</definedName>
    <definedName name="cluster_az1_host16_mgmt_ip">'Value Reference Tables'!$I$72</definedName>
    <definedName name="cluster_az1_host2_fqdn">'Value Reference Tables'!$I$76</definedName>
    <definedName name="cluster_az1_host2_mgmt_ip">'Value Reference Tables'!$I$58</definedName>
    <definedName name="cluster_az1_host3_fqdn">'Value Reference Tables'!$I$77</definedName>
    <definedName name="cluster_az1_host3_mgmt_ip">'Value Reference Tables'!$I$59</definedName>
    <definedName name="cluster_az1_host4_fqdn">'Value Reference Tables'!$I$78</definedName>
    <definedName name="cluster_az1_host4_mgmt_ip">'Value Reference Tables'!$I$60</definedName>
    <definedName name="cluster_az1_host5_fqdn">'Value Reference Tables'!$I$79</definedName>
    <definedName name="cluster_az1_host5_mgmt_ip">'Value Reference Tables'!$I$61</definedName>
    <definedName name="cluster_az1_host6_fqdn">'Value Reference Tables'!$I$80</definedName>
    <definedName name="cluster_az1_host6_mgmt_ip">'Value Reference Tables'!$I$62</definedName>
    <definedName name="cluster_az1_host7_fqdn">'Value Reference Tables'!$I$81</definedName>
    <definedName name="cluster_az1_host7_mgmt_ip">'Value Reference Tables'!$I$63</definedName>
    <definedName name="cluster_az1_host8_fqdn">'Value Reference Tables'!$I$82</definedName>
    <definedName name="cluster_az1_host8_mgmt_ip">'Value Reference Tables'!$I$64</definedName>
    <definedName name="cluster_az1_host9_fqdn">'Value Reference Tables'!$I$83</definedName>
    <definedName name="cluster_az1_host9_mgmt_ip">'Value Reference Tables'!$I$65</definedName>
    <definedName name="cluster_az1_mgmt_cidr">'Value Reference Tables'!$I$14</definedName>
    <definedName name="cluster_az1_mgmt_gateway_ip">'Value Reference Tables'!$I$13</definedName>
    <definedName name="cluster_az1_mgmt_lbt_chosen">#REF!</definedName>
    <definedName name="cluster_az1_mgmt_mtu">'Value Reference Tables'!$I$15</definedName>
    <definedName name="cluster_az1_mgmt_pg">'Value Reference Tables'!$I$126</definedName>
    <definedName name="cluster_az1_mgmt_uplink1_chosen">#REF!</definedName>
    <definedName name="cluster_az1_mgmt_uplink2_chosen">#REF!</definedName>
    <definedName name="cluster_az1_mgmt_vlan">'Value Reference Tables'!$I$12</definedName>
    <definedName name="cluster_az1_mgmt_vm_lbt_chosen">#REF!</definedName>
    <definedName name="cluster_az1_mgmt_vm_pg">'Value Reference Tables'!$I$131</definedName>
    <definedName name="cluster_az1_mgmt_vm_uplink1_chosen">#REF!</definedName>
    <definedName name="cluster_az1_mgmt_vm_uplink2_chosen">#REF!</definedName>
    <definedName name="cluster_az1_nsx_lbt_chosen">#REF!</definedName>
    <definedName name="cluster_az1_nsx_uplink_count">'Value Reference Tables'!$I$165</definedName>
    <definedName name="cluster_az1_nsx_uplink1">'Value Reference Tables'!$I$166</definedName>
    <definedName name="cluster_az1_nsx_uplink1_active">'Value Reference Tables'!$I$170</definedName>
    <definedName name="cluster_az1_nsx_uplink2">'Value Reference Tables'!$I$167</definedName>
    <definedName name="cluster_az1_nsx_uplink2_active">'Value Reference Tables'!$I$171</definedName>
    <definedName name="cluster_az1_pool_name">'Value Reference Tables'!$I$73</definedName>
    <definedName name="cluster_az1_principal_storage_cidr">'Value Reference Tables'!$I$31</definedName>
    <definedName name="cluster_az1_principal_storage_gateway_cidr">'Value Reference Tables'!$I$33</definedName>
    <definedName name="cluster_az1_principal_storage_gateway_ip">'Value Reference Tables'!$I$32</definedName>
    <definedName name="cluster_az1_principal_storage_ip_assignment_chosen">#REF!</definedName>
    <definedName name="cluster_az1_principal_storage_ip_scheme_chosen">#REF!</definedName>
    <definedName name="cluster_az1_principal_storage_lbt_chosen">#REF!</definedName>
    <definedName name="cluster_az1_principal_storage_mask">'Value Reference Tables'!$I$30</definedName>
    <definedName name="cluster_az1_principal_storage_mtu">'Value Reference Tables'!$I$28</definedName>
    <definedName name="cluster_az1_principal_storage_network">'Value Reference Tables'!$I$29</definedName>
    <definedName name="cluster_az1_principal_storage_pg">'Value Reference Tables'!$I$141</definedName>
    <definedName name="cluster_az1_principal_storage_pool_end_ip">'Value Reference Tables'!$I$35</definedName>
    <definedName name="cluster_az1_principal_storage_pool_start_ip">'Value Reference Tables'!$I$34</definedName>
    <definedName name="cluster_az1_principal_storage_uplink1_chosen">#REF!</definedName>
    <definedName name="cluster_az1_principal_storage_uplink2_chosen">#REF!</definedName>
    <definedName name="cluster_az1_principal_storage_vlan">'Value Reference Tables'!$I$27</definedName>
    <definedName name="cluster_az1_reuse_vcf_networkpool_chosen">#REF!</definedName>
    <definedName name="cluster_az1_reuse_vcf_networkpool_result">#REF!</definedName>
    <definedName name="cluster_az1_secondary_storage_cidr">'Value Reference Tables'!$I$41</definedName>
    <definedName name="cluster_az1_secondary_storage_gateway_cidr">'Value Reference Tables'!$I$43</definedName>
    <definedName name="cluster_az1_secondary_storage_gateway_ip">'Value Reference Tables'!$I$42</definedName>
    <definedName name="cluster_az1_secondary_storage_ip_assignment_chosen">#REF!</definedName>
    <definedName name="cluster_az1_secondary_storage_ip_scheme_chosen">#REF!</definedName>
    <definedName name="cluster_az1_secondary_storage_mask">'Value Reference Tables'!$I$40</definedName>
    <definedName name="cluster_az1_secondary_storage_mtu">'Value Reference Tables'!$I$38</definedName>
    <definedName name="cluster_az1_secondary_storage_network">'Value Reference Tables'!$I$39</definedName>
    <definedName name="cluster_az1_secondary_storage_pool_end_ip">'Value Reference Tables'!$I$45</definedName>
    <definedName name="cluster_az1_secondary_storage_pool_start_ip">'Value Reference Tables'!$I$44</definedName>
    <definedName name="cluster_az1_secondary_storage_vlan">'Value Reference Tables'!$I$37</definedName>
    <definedName name="cluster_az1_storage_cluster_cidr">'Value Reference Tables'!$I$51</definedName>
    <definedName name="cluster_az1_storage_cluster_gateway_cidr">'Value Reference Tables'!$I$53</definedName>
    <definedName name="cluster_az1_storage_cluster_gateway_ip">'Value Reference Tables'!$I$52</definedName>
    <definedName name="cluster_az1_storage_cluster_ip_assignment_chosen">#REF!</definedName>
    <definedName name="cluster_az1_storage_cluster_ip_scheme_chosen">#REF!</definedName>
    <definedName name="cluster_az1_storage_cluster_mask">'Value Reference Tables'!$I$50</definedName>
    <definedName name="cluster_az1_storage_cluster_mtu">'Value Reference Tables'!$I$48</definedName>
    <definedName name="cluster_az1_storage_cluster_network">'Value Reference Tables'!$I$49</definedName>
    <definedName name="cluster_az1_storage_cluster_pool_end_ip">'Value Reference Tables'!$I$55</definedName>
    <definedName name="cluster_az1_storage_cluster_pool_start_ip">'Value Reference Tables'!$I$54</definedName>
    <definedName name="cluster_az1_storage_cluster_vlan">'Value Reference Tables'!$I$47</definedName>
    <definedName name="cluster_az1_vmotion_cidr">'Value Reference Tables'!$I$21</definedName>
    <definedName name="cluster_az1_vmotion_gateway_cidr">'Value Reference Tables'!$I$23</definedName>
    <definedName name="cluster_az1_vmotion_gateway_ip">'Value Reference Tables'!$I$22</definedName>
    <definedName name="cluster_az1_vmotion_ip_assignment_chosen">#REF!</definedName>
    <definedName name="cluster_az1_vmotion_ip_scheme_chosen">#REF!</definedName>
    <definedName name="cluster_az1_vmotion_lbt_chosen">#REF!</definedName>
    <definedName name="cluster_az1_vmotion_mask">'Value Reference Tables'!$I$20</definedName>
    <definedName name="cluster_az1_vmotion_mtu">'Value Reference Tables'!$I$18</definedName>
    <definedName name="cluster_az1_vmotion_network">'Value Reference Tables'!$I$19</definedName>
    <definedName name="cluster_az1_vmotion_pg">'Value Reference Tables'!$I$136</definedName>
    <definedName name="cluster_az1_vmotion_pool_end_ip">'Value Reference Tables'!$I$25</definedName>
    <definedName name="cluster_az1_vmotion_pool_start_ip">'Value Reference Tables'!$I$24</definedName>
    <definedName name="cluster_az1_vmotion_uplink1_chosen">#REF!</definedName>
    <definedName name="cluster_az1_vmotion_uplink2_chosen">#REF!</definedName>
    <definedName name="cluster_az1_vmotion_vlan">'Value Reference Tables'!$I$17</definedName>
    <definedName name="cluster_az1_vsan_storage_client_lbt_chosen">#REF!</definedName>
    <definedName name="cluster_az1_vsan_storage_client_pg">'Value Reference Tables'!$I$146</definedName>
    <definedName name="cluster_az1_vsan_storage_client_uplink1">#REF!</definedName>
    <definedName name="cluster_az1_vsan_storage_client_uplink2">#REF!</definedName>
    <definedName name="cluster_az2_host_fqdns">'Value Reference Tables'!$I$289:$I$304</definedName>
    <definedName name="cluster_az2_host_mgmt_ips">'Value Reference Tables'!$I$202:$I$217</definedName>
    <definedName name="cluster_az2_host_overlay_cidr">'Value Reference Tables'!$I$283</definedName>
    <definedName name="cluster_az2_host_overlay_gateway_ip">'Value Reference Tables'!$I$284</definedName>
    <definedName name="cluster_az2_host_overlay_network_pool_name">'Value Reference Tables'!$I$280</definedName>
    <definedName name="cluster_az2_host_overlay_network_profile_name">'Value Reference Tables'!$I$279</definedName>
    <definedName name="cluster_az2_host_overlay_new_pool_chosen">#REF!</definedName>
    <definedName name="cluster_az2_host_overlay_pool_end_ip">'Value Reference Tables'!$I$286</definedName>
    <definedName name="cluster_az2_host_overlay_pool_start_ip">'Value Reference Tables'!$I$285</definedName>
    <definedName name="cluster_az2_host_overlay_uplink_profile_name">'Value Reference Tables'!$I$281</definedName>
    <definedName name="cluster_az2_host_overlay_vlan">'Value Reference Tables'!$I$282</definedName>
    <definedName name="cluster_az2_host1_fqdn">'Value Reference Tables'!$I$289</definedName>
    <definedName name="cluster_az2_host1_mgmt_ip">'Value Reference Tables'!$I$202</definedName>
    <definedName name="cluster_az2_host10_fqdn">'Value Reference Tables'!$I$298</definedName>
    <definedName name="cluster_az2_host10_mgmt_ip">'Value Reference Tables'!$I$211</definedName>
    <definedName name="cluster_az2_host11_fqdn">'Value Reference Tables'!$I$299</definedName>
    <definedName name="cluster_az2_host11_mgmt_ip">'Value Reference Tables'!$I$212</definedName>
    <definedName name="cluster_az2_host12_fqdn">'Value Reference Tables'!$I$300</definedName>
    <definedName name="cluster_az2_host12_mgmt_ip">'Value Reference Tables'!$I$213</definedName>
    <definedName name="cluster_az2_host13_fqdn">'Value Reference Tables'!$I$301</definedName>
    <definedName name="cluster_az2_host13_mgmt_ip">'Value Reference Tables'!$I$214</definedName>
    <definedName name="cluster_az2_host14_fqdn">'Value Reference Tables'!$I$302</definedName>
    <definedName name="cluster_az2_host14_mgmt_ip">'Value Reference Tables'!$I$215</definedName>
    <definedName name="cluster_az2_host15_fqdn">'Value Reference Tables'!$I$303</definedName>
    <definedName name="cluster_az2_host15_mgmt_ip">'Value Reference Tables'!$I$216</definedName>
    <definedName name="cluster_az2_host16_fqdn">'Value Reference Tables'!$I$304</definedName>
    <definedName name="cluster_az2_host16_mgmt_ip">'Value Reference Tables'!$I$217</definedName>
    <definedName name="cluster_az2_host2_fqdn">'Value Reference Tables'!$I$290</definedName>
    <definedName name="cluster_az2_host2_mgmt_ip">'Value Reference Tables'!$I$203</definedName>
    <definedName name="cluster_az2_host3_fqdn">'Value Reference Tables'!$I$291</definedName>
    <definedName name="cluster_az2_host3_mgmt_ip">'Value Reference Tables'!$I$204</definedName>
    <definedName name="cluster_az2_host4_fqdn">'Value Reference Tables'!$I$292</definedName>
    <definedName name="cluster_az2_host4_mgmt_ip">'Value Reference Tables'!$I$205</definedName>
    <definedName name="cluster_az2_host5_fqdn">'Value Reference Tables'!$I$293</definedName>
    <definedName name="cluster_az2_host5_mgmt_ip">'Value Reference Tables'!$I$206</definedName>
    <definedName name="cluster_az2_host6_fqdn">'Value Reference Tables'!$I$294</definedName>
    <definedName name="cluster_az2_host6_mgmt_ip">'Value Reference Tables'!$I$207</definedName>
    <definedName name="cluster_az2_host7_fqdn">'Value Reference Tables'!$I$295</definedName>
    <definedName name="cluster_az2_host7_mgmt_ip">'Value Reference Tables'!$I$208</definedName>
    <definedName name="cluster_az2_host8_fqdn">'Value Reference Tables'!$I$296</definedName>
    <definedName name="cluster_az2_host8_mgmt_ip">'Value Reference Tables'!$I$209</definedName>
    <definedName name="cluster_az2_host9_fqdn">'Value Reference Tables'!$I$297</definedName>
    <definedName name="cluster_az2_host9_mgmt_ip">'Value Reference Tables'!$I$210</definedName>
    <definedName name="cluster_az2_mgmt_cidr">'Value Reference Tables'!$I$200</definedName>
    <definedName name="cluster_az2_mgmt_gateway_ip">'Value Reference Tables'!$I$199</definedName>
    <definedName name="cluster_az2_mgmt_mtu">'Value Reference Tables'!$I$201</definedName>
    <definedName name="cluster_az2_mgmt_vlan">'Value Reference Tables'!$I$198</definedName>
    <definedName name="cluster_az2_pool_name">'Value Reference Tables'!$I$218</definedName>
    <definedName name="cluster_az2_principal_storage_cidr">'Value Reference Tables'!$I$233</definedName>
    <definedName name="cluster_az2_principal_storage_gateway_ip">'Value Reference Tables'!$I$234</definedName>
    <definedName name="cluster_az2_principal_storage_mask">'Value Reference Tables'!$I$232</definedName>
    <definedName name="cluster_az2_principal_storage_mtu">'Value Reference Tables'!$I$230</definedName>
    <definedName name="cluster_az2_principal_storage_network">'Value Reference Tables'!$I$231</definedName>
    <definedName name="cluster_az2_principal_storage_pool_end_ip">'Value Reference Tables'!$I$236</definedName>
    <definedName name="cluster_az2_principal_storage_pool_start_ip">'Value Reference Tables'!$I$235</definedName>
    <definedName name="cluster_az2_principal_storage_vlan">'Value Reference Tables'!$I$229</definedName>
    <definedName name="cluster_az2_reuse_vcf_networkpool_chosen">#REF!</definedName>
    <definedName name="cluster_az2_secondary_storage_gateway_ip">'Value Reference Tables'!$I$242</definedName>
    <definedName name="cluster_az2_secondary_storage_mask">'Value Reference Tables'!$I$241</definedName>
    <definedName name="cluster_az2_secondary_storage_mtu">'Value Reference Tables'!$I$239</definedName>
    <definedName name="cluster_az2_secondary_storage_network">'Value Reference Tables'!$I$240</definedName>
    <definedName name="cluster_az2_secondary_storage_pool_end_ip">'Value Reference Tables'!$I$244</definedName>
    <definedName name="cluster_az2_secondary_storage_pool_start_ip">'Value Reference Tables'!$I$243</definedName>
    <definedName name="cluster_az2_secondary_storage_vlan">'Value Reference Tables'!$I$238</definedName>
    <definedName name="cluster_az2_storage_cluster_cidr">'Value Reference Tables'!$I$250</definedName>
    <definedName name="cluster_az2_storage_cluster_gateway_ip">'Value Reference Tables'!$I$251</definedName>
    <definedName name="cluster_az2_storage_cluster_mask">'Value Reference Tables'!$I$249</definedName>
    <definedName name="cluster_az2_storage_cluster_mtu">'Value Reference Tables'!$I$247</definedName>
    <definedName name="cluster_az2_storage_cluster_network">'Value Reference Tables'!$I$248</definedName>
    <definedName name="cluster_az2_storage_cluster_pool_end_ip">'Value Reference Tables'!$I$253</definedName>
    <definedName name="cluster_az2_storage_cluster_pool_start_ip">'Value Reference Tables'!$I$252</definedName>
    <definedName name="cluster_az2_storage_cluster_vlan">'Value Reference Tables'!$I$246</definedName>
    <definedName name="cluster_az2_tor1_peer_asn">'Value Reference Tables'!$I$305</definedName>
    <definedName name="cluster_az2_tor1_peer_ip">'Value Reference Tables'!$I$306</definedName>
    <definedName name="cluster_az2_tor2_peer_asn">'Value Reference Tables'!$I$307</definedName>
    <definedName name="cluster_az2_tor2_peer_ip">'Value Reference Tables'!$I$308</definedName>
    <definedName name="cluster_az2_vmotion_cidr">'Value Reference Tables'!$I$224</definedName>
    <definedName name="cluster_az2_vmotion_gateway_ip">'Value Reference Tables'!$I$225</definedName>
    <definedName name="cluster_az2_vmotion_mask">'Value Reference Tables'!$I$223</definedName>
    <definedName name="cluster_az2_vmotion_mtu">'Value Reference Tables'!$I$221</definedName>
    <definedName name="cluster_az2_vmotion_network">'Value Reference Tables'!$I$222</definedName>
    <definedName name="cluster_az2_vmotion_pool_end_ip">'Value Reference Tables'!$I$227</definedName>
    <definedName name="cluster_az2_vmotion_pool_start_ip">'Value Reference Tables'!$I$226</definedName>
    <definedName name="cluster_az2_vmotion_vlan">'Value Reference Tables'!$I$220</definedName>
    <definedName name="cluster_chosen">#REF!</definedName>
    <definedName name="cluster_cl01_vds_copy_profile_chosen">#REF!</definedName>
    <definedName name="cluster_cluster_sddc_id">'Value Reference Tables'!$I$310</definedName>
    <definedName name="cluster_compute_hosts_per_rack_chosen">#REF!</definedName>
    <definedName name="cluster_compute_hosts_per_rack_result">#REF!</definedName>
    <definedName name="cluster_datacenter">'Value Reference Tables'!$I$277</definedName>
    <definedName name="cluster_domain_name">'Value Reference Tables'!$I$9</definedName>
    <definedName name="cluster_esx_root_password">'Value Reference Tables'!$I$93</definedName>
    <definedName name="cluster_esx_root_username">'Value Reference Tables'!$I$92</definedName>
    <definedName name="cluster_host_overlay_addressing_chosen">#REF!</definedName>
    <definedName name="cluster_host_overlay_transportzone">'Value Reference Tables'!$I$309</definedName>
    <definedName name="cluster_image_name">'Value Reference Tables'!$I$95</definedName>
    <definedName name="cluster_multi_rack_count_chosen">#REF!</definedName>
    <definedName name="cluster_multi_rack_count_result">#REF!</definedName>
    <definedName name="cluster_name">'Value Reference Tables'!$I$94</definedName>
    <definedName name="cluster_nfs_datastore_name">'Value Reference Tables'!$I$101</definedName>
    <definedName name="cluster_nfs_server_address">'Value Reference Tables'!$I$103</definedName>
    <definedName name="cluster_nfs_share_path">'Value Reference Tables'!$I$102</definedName>
    <definedName name="cluster_nsx_default_operation_mode_chosen">#REF!</definedName>
    <definedName name="cluster_nsx_operation_mode_chosen">#REF!</definedName>
    <definedName name="cluster_nsx_overlay_transport_zone_chosen">#REF!</definedName>
    <definedName name="cluster_nsx_vlan_transport_zone_chosen">#REF!</definedName>
    <definedName name="cluster_nsx_vlan_transport_zone_name">'Value Reference Tables'!$I$164</definedName>
    <definedName name="cluster_nsxt_vip_fqdn">'Value Reference Tables'!$I$288</definedName>
    <definedName name="cluster_principal_storage_chosen">#REF!</definedName>
    <definedName name="cluster_principal_storage_result">#REF!</definedName>
    <definedName name="cluster_result">#REF!</definedName>
    <definedName name="cluster_secondary_storage_chosen">#REF!</definedName>
    <definedName name="cluster_secondary_storage_result">#REF!</definedName>
    <definedName name="cluster_storage_cluster_name">'Value Reference Tables'!$I$96</definedName>
    <definedName name="cluster_stretched_cluster_chosen">#REF!</definedName>
    <definedName name="cluster_stretched_cluster_result">#REF!</definedName>
    <definedName name="cluster_vc_fqdn">'Value Reference Tables'!$I$276</definedName>
    <definedName name="cluster_vds_profile_chosen">#REF!</definedName>
    <definedName name="cluster_vds01_lacp_mode_chosen">#REF!</definedName>
    <definedName name="cluster_vds01_lacp_timeout_chosen">#REF!</definedName>
    <definedName name="cluster_vds01_lag_lbt_chosen">#REF!</definedName>
    <definedName name="cluster_vds01_lag_name">'Value Reference Tables'!$I$112</definedName>
    <definedName name="cluster_vds01_link_type_chosen">#REF!</definedName>
    <definedName name="cluster_vds01_mtu">'Value Reference Tables'!$I$107</definedName>
    <definedName name="cluster_vds01_name">'Value Reference Tables'!$I$106</definedName>
    <definedName name="cluster_vds01_pnics">'Value Reference Tables'!$I$110</definedName>
    <definedName name="cluster_vds01_traffic_type">'Value Reference Tables'!$I$111</definedName>
    <definedName name="cluster_vds01_uplink_count">'Value Reference Tables'!$I$109</definedName>
    <definedName name="cluster_vds02_lacp_mode_chosen">#REF!</definedName>
    <definedName name="cluster_vds02_lacp_timeout_chosen">#REF!</definedName>
    <definedName name="cluster_vds02_lag_lbt_chosen">#REF!</definedName>
    <definedName name="cluster_vds02_lag_name">'Value Reference Tables'!$I$118</definedName>
    <definedName name="cluster_vds02_link_type_chosen">#REF!</definedName>
    <definedName name="cluster_vds02_mtu">'Value Reference Tables'!$I$114</definedName>
    <definedName name="cluster_vds02_name">'Value Reference Tables'!$I$113</definedName>
    <definedName name="cluster_vds02_pnics">'Value Reference Tables'!$I$116</definedName>
    <definedName name="cluster_vds02_traffic_type">'Value Reference Tables'!$I$117</definedName>
    <definedName name="cluster_vds02_uplink_count">'Value Reference Tables'!$I$115</definedName>
    <definedName name="cluster_vds03_lacp_mode_chosen">#REF!</definedName>
    <definedName name="cluster_vds03_lacp_timeout_chosen">#REF!</definedName>
    <definedName name="cluster_vds03_lag_lbt_chosen">#REF!</definedName>
    <definedName name="cluster_vds03_lag_name">'Value Reference Tables'!$I$124</definedName>
    <definedName name="cluster_vds03_link_type_chosen">#REF!</definedName>
    <definedName name="cluster_vds03_mtu">'Value Reference Tables'!$I$120</definedName>
    <definedName name="cluster_vds03_name">'Value Reference Tables'!$I$119</definedName>
    <definedName name="cluster_vds03_pnics">'Value Reference Tables'!$I$122</definedName>
    <definedName name="cluster_vds03_traffic_type">'Value Reference Tables'!$I$123</definedName>
    <definedName name="cluster_vds03_uplink_count">'Value Reference Tables'!$I$121</definedName>
    <definedName name="cluster_vmfs_datastore_name">'Value Reference Tables'!$I$100</definedName>
    <definedName name="cluster_vsan_client_network">#REF!</definedName>
    <definedName name="cluster_vsan_compute_fault_domain_mapping_chosen">#REF!</definedName>
    <definedName name="cluster_vsan_compute_network_topology_chosen">#REF!</definedName>
    <definedName name="cluster_vsan_datastore">'Value Reference Tables'!$I$97</definedName>
    <definedName name="cluster_vsan_dedupe_compression_chosen">#REF!</definedName>
    <definedName name="cluster_vsan_ftt_chosen">#REF!</definedName>
    <definedName name="cluster_vsan_type">#REF!</definedName>
    <definedName name="cluster_witness_cluster">'Value Reference Tables'!$I$263</definedName>
    <definedName name="cluster_witness_dns1_ip">'Value Reference Tables'!$I$272</definedName>
    <definedName name="cluster_witness_dns2_ip">'Value Reference Tables'!$I$273</definedName>
    <definedName name="cluster_witness_fqdn">'Value Reference Tables'!$I$278</definedName>
    <definedName name="cluster_witness_hostname">'Value Reference Tables'!$I$262</definedName>
    <definedName name="cluster_witness_ip">'Value Reference Tables'!$I$270</definedName>
    <definedName name="cluster_witness_mgmt_pg">'Value Reference Tables'!$I$266</definedName>
    <definedName name="cluster_witness_ntp1_server">'Value Reference Tables'!$I$274</definedName>
    <definedName name="cluster_witness_ntp2_server">'Value Reference Tables'!$I$275</definedName>
    <definedName name="cluster_witness_vm_folder">'Value Reference Tables'!$I$264</definedName>
    <definedName name="cluster_witness_vsan_datastore">'Value Reference Tables'!$I$265</definedName>
    <definedName name="cluster_witness_zone_vc_fqdn">'Value Reference Tables'!$I$261</definedName>
    <definedName name="cluster_witnessaz_mgmt_cidr">'Value Reference Tables'!$I$259</definedName>
    <definedName name="cluster_witnessaz_mgmt_gateway_ip">'Value Reference Tables'!$I$258</definedName>
    <definedName name="cluster_witnessaz_mgmt_mask">'Value Reference Tables'!$I$269</definedName>
    <definedName name="cluster_witnessaz_mgmt_mtu">'Value Reference Tables'!$I$260</definedName>
    <definedName name="cluster_witnessaz_mgmt_vlan">'Value Reference Tables'!$I$257</definedName>
    <definedName name="cluster_wld_domain_chosen">'Value Reference Tables'!$I$8</definedName>
    <definedName name="cr_clean_room">'Value Reference Tables'!$F$271</definedName>
    <definedName name="cr_console_cloud">'Value Reference Tables'!$F$270</definedName>
    <definedName name="cr_flt_vcf_ops_fqdn">'Value Reference Tables'!$F$273</definedName>
    <definedName name="cr_mgmt_protect_vc_domain">'Value Reference Tables'!$F$268</definedName>
    <definedName name="cr_mgmt_protect_vc_fqdn">'Value Reference Tables'!$F$267</definedName>
    <definedName name="cr_wld_pnr_fqdn">'Value Reference Tables'!$F$265</definedName>
    <definedName name="cr_wld_pnr_ip">'Value Reference Tables'!$F$266</definedName>
    <definedName name="cr_wld_protect_vc_replication_user">'Value Reference Tables'!$F$272</definedName>
    <definedName name="cr_wld_vrms_pg">'Value Reference Tables'!$F$269</definedName>
    <definedName name="deployment_type_vcf">'Static Reference Tables'!$E$15:$E$18</definedName>
    <definedName name="deployment_type_vvf">'Static Reference Tables'!$E$22:$E$24</definedName>
    <definedName name="domain_controller_hostname">'Value Reference Tables'!$L$57</definedName>
    <definedName name="dri_dns_servers">'Value Reference Tables'!$U$35</definedName>
    <definedName name="dri_ec_name">'Value Reference Tables'!$U$20</definedName>
    <definedName name="dri_k8s_size_hint">'Value Reference Tables'!$U$27</definedName>
    <definedName name="dri_load_balancer_ge">'Value Reference Tables'!$U$21</definedName>
    <definedName name="dri_load_balancer_le">'Value Reference Tables'!$U$22</definedName>
    <definedName name="dri_network_address_range_size">'Value Reference Tables'!$U$29</definedName>
    <definedName name="dri_network_mode">'Value Reference Tables'!$U$28</definedName>
    <definedName name="dri_nsxt_vip_fqdn">'Value Reference Tables'!$U$14</definedName>
    <definedName name="dri_ntp_servers">'Value Reference Tables'!$U$36</definedName>
    <definedName name="dri_overlay_transport_zone">'Value Reference Tables'!$U$16</definedName>
    <definedName name="dri_sddc_domain">'Value Reference Tables'!$U$8</definedName>
    <definedName name="dri_tier0_name">'Value Reference Tables'!$U$15</definedName>
    <definedName name="dri_vcenter_cluster">'Value Reference Tables'!$U$11</definedName>
    <definedName name="dri_vcenter_datacenter">'Value Reference Tables'!$U$10</definedName>
    <definedName name="dri_vcenter_fqdn">'Value Reference Tables'!$U$9</definedName>
    <definedName name="dri_vcenter_vds_name">'Value Reference Tables'!$U$12</definedName>
    <definedName name="dri_vcenter_vsan_datastore">'Value Reference Tables'!$U$13</definedName>
    <definedName name="esxi_root_password">'Value Reference Tables'!$L$13</definedName>
    <definedName name="first_domain_mgmt_only_viable">'Value Reference Tables'!$AA$54</definedName>
    <definedName name="first_domain_mgmt_vi_viable">'Value Reference Tables'!$AA$55</definedName>
    <definedName name="First_Instance">'Static Reference Tables'!$G$11:$G$14</definedName>
    <definedName name="flt_auto_node_pool_end_ip">'Value Reference Tables'!$C$31</definedName>
    <definedName name="flt_auto_node_pool_start_ip">'Value Reference Tables'!$C$30</definedName>
    <definedName name="flt_auto_sr_fqdn">'Value Reference Tables'!$R$50</definedName>
    <definedName name="flt_custom_management_cidr">Arkham!$B$3</definedName>
    <definedName name="flt_custom_management_gateway_ip">Arkham!$B$5</definedName>
    <definedName name="flt_custom_management_mask">Arkham!$B$6</definedName>
    <definedName name="flt_custom_management_mtu">Arkham!$B$7</definedName>
    <definedName name="flt_custom_management_network">Arkham!$B$4</definedName>
    <definedName name="flt_custom_management_vlan">Arkham!$B$8</definedName>
    <definedName name="flt_custom_network_auto_admin_password">'Value Reference Tables'!$L$324</definedName>
    <definedName name="flt_custom_network_auto_cluster_cidr_chosen">#REF!</definedName>
    <definedName name="flt_custom_network_auto_nodea_ip">'Value Reference Tables'!$L$317</definedName>
    <definedName name="flt_custom_network_auto_nodeb_ip">'Value Reference Tables'!$L$318</definedName>
    <definedName name="flt_custom_network_auto_nodec_ip">'Value Reference Tables'!$L$319</definedName>
    <definedName name="flt_custom_network_auto_noded_ip">'Value Reference Tables'!$L$320</definedName>
    <definedName name="flt_custom_network_auto_nodee_ip">'Value Reference Tables'!$L$321</definedName>
    <definedName name="flt_custom_network_auto_nodef_ip">'Value Reference Tables'!$L$322</definedName>
    <definedName name="flt_custom_network_auto_prefix">'Value Reference Tables'!$L$315</definedName>
    <definedName name="flt_custom_network_auto_sr_fqdn">'Value Reference Tables'!$L$314</definedName>
    <definedName name="flt_custom_network_auto_vip_fqdn">'Value Reference Tables'!$L$313</definedName>
    <definedName name="flt_custom_network_auto_vip_ip">'Value Reference Tables'!$L$316</definedName>
    <definedName name="flt_custom_network_chosen">#REF!</definedName>
    <definedName name="flt_custom_network_flt_admin_password">'Value Reference Tables'!$L$295</definedName>
    <definedName name="flt_custom_network_flt_existing_chosen">#REF!</definedName>
    <definedName name="flt_custom_network_flt_fqdn">'Value Reference Tables'!$L$292</definedName>
    <definedName name="flt_custom_network_flt_ip">'Value Reference Tables'!$L$293</definedName>
    <definedName name="flt_custom_network_flt_root_password">'Value Reference Tables'!$L$294</definedName>
    <definedName name="flt_custom_network_ha_mode_chosen">#REF!</definedName>
    <definedName name="flt_custom_network_local_reg_gateway_ip">'Value Reference Tables'!$L$330</definedName>
    <definedName name="flt_custom_network_local_reg_mask">'Value Reference Tables'!$L$329</definedName>
    <definedName name="flt_custom_network_local_reg_pg">'Value Reference Tables'!$L$328</definedName>
    <definedName name="flt_custom_network_ops_admin_password">'Value Reference Tables'!$L$307</definedName>
    <definedName name="flt_custom_network_ops_collector_fqdn">'Value Reference Tables'!$L$308</definedName>
    <definedName name="flt_custom_network_ops_collector_ip">'Value Reference Tables'!$L$309</definedName>
    <definedName name="flt_custom_network_ops_collector_root_password">'Value Reference Tables'!$L$312</definedName>
    <definedName name="flt_custom_network_ops_collector_size_chosen">#REF!</definedName>
    <definedName name="flt_custom_network_ops_collector_version">'Value Reference Tables'!$L$310</definedName>
    <definedName name="flt_custom_network_ops_existing_chosen">#REF!</definedName>
    <definedName name="flt_custom_network_ops_nodea_fqdn">'Value Reference Tables'!$L$298</definedName>
    <definedName name="flt_custom_network_ops_nodea_ip">'Value Reference Tables'!$L$302</definedName>
    <definedName name="flt_custom_network_ops_nodeb_fqdn">'Value Reference Tables'!$L$299</definedName>
    <definedName name="flt_custom_network_ops_nodeb_ip">'Value Reference Tables'!$L$303</definedName>
    <definedName name="flt_custom_network_ops_nodec_fqdn">'Value Reference Tables'!$L$300</definedName>
    <definedName name="flt_custom_network_ops_nodec_ip">'Value Reference Tables'!$L$304</definedName>
    <definedName name="flt_custom_network_ops_root_password">'Value Reference Tables'!$L$306</definedName>
    <definedName name="flt_custom_network_ops_size_chosen">#REF!</definedName>
    <definedName name="flt_custom_network_ops_vip_ip">'Value Reference Tables'!$L$301</definedName>
    <definedName name="flt_custom_network_result">#REF!</definedName>
    <definedName name="flt_custom_network_vcf_ops_automation_chosen">#REF!</definedName>
    <definedName name="flt_custom_network_vcf_ops_automation_result">#REF!</definedName>
    <definedName name="flt_custom_network_x_reg_gateway_ip">'Value Reference Tables'!$L$327</definedName>
    <definedName name="flt_custom_network_x_reg_mask">'Value Reference Tables'!$L$326</definedName>
    <definedName name="flt_custom_network_x_reg_pg">'Value Reference Tables'!$L$325</definedName>
    <definedName name="flt_def_administrator_vsphere_local_password">'Value Reference Tables'!$F$242</definedName>
    <definedName name="flt_def_administrator_vsphere_local_username">'Value Reference Tables'!$F$241</definedName>
    <definedName name="flt_def_auto_node_pool_end_ip">'Value Reference Tables'!$F$246</definedName>
    <definedName name="flt_def_auto_node_pool_start_ip">'Value Reference Tables'!$F$245</definedName>
    <definedName name="flt_def_auto_sr_fqdn">'Value Reference Tables'!$F$254</definedName>
    <definedName name="flt_def_auto_sr_ip">'Value Reference Tables'!$F$262</definedName>
    <definedName name="flt_def_ceip_status_chosen">#REF!</definedName>
    <definedName name="flt_def_sddc_mgr_fqdn">'Value Reference Tables'!$F$240</definedName>
    <definedName name="flt_def_vcf_operations_az1_vcf_mgmt_gateway_cidr">'Value Reference Tables'!$F$244</definedName>
    <definedName name="flt_def_vcf_operations_az1_vcf_mgmt_pg">'Value Reference Tables'!$F$243</definedName>
    <definedName name="flt_def_vcf_operations_ha_mode_chosen">#REF!</definedName>
    <definedName name="flt_def_vcf_operations_lc_fqdn">'Value Reference Tables'!$F$252</definedName>
    <definedName name="flt_def_vcf_operations_lc_ip">'Value Reference Tables'!$F$260</definedName>
    <definedName name="flt_def_vcf_operations_nodea_fqdn">'Value Reference Tables'!$F$247</definedName>
    <definedName name="flt_def_vcf_operations_nodea_ip">'Value Reference Tables'!$F$255</definedName>
    <definedName name="flt_def_vcf_operations_nodeb_fqdn">'Value Reference Tables'!$F$248</definedName>
    <definedName name="flt_def_vcf_operations_nodeb_ip">'Value Reference Tables'!$F$256</definedName>
    <definedName name="flt_def_vcf_operations_nodec_fqdn">'Value Reference Tables'!$F$249</definedName>
    <definedName name="flt_def_vcf_operations_nodec_ip">'Value Reference Tables'!$F$257</definedName>
    <definedName name="flt_def_vcf_operations_proxy_fqdn">'Value Reference Tables'!$F$251</definedName>
    <definedName name="flt_def_vcf_operations_proxy_ip">'Value Reference Tables'!$F$259</definedName>
    <definedName name="flt_def_vcf_operations_size_chosen">#REF!</definedName>
    <definedName name="flt_def_vcf_operations_virtual_fqdn">'Value Reference Tables'!$F$250</definedName>
    <definedName name="flt_def_vcf_operations_virtual_ip">'Value Reference Tables'!$F$258</definedName>
    <definedName name="flt_def_vra_virtual_fqdn">'Value Reference Tables'!$F$253</definedName>
    <definedName name="flt_def_vra_virtual_ip">'Value Reference Tables'!$F$261</definedName>
    <definedName name="flt_fc_fqdn">'Value Reference Tables'!$C$75</definedName>
    <definedName name="flt_ic_fqdn">'Value Reference Tables'!$C$74</definedName>
    <definedName name="flt_lc_fqdn">'Value Reference Tables'!$C$72</definedName>
    <definedName name="flt_logs_admin_email">'Value Reference Tables'!$L$216</definedName>
    <definedName name="flt_logs_admin_password">'Value Reference Tables'!$L$208</definedName>
    <definedName name="flt_logs_admin_password_alias">'Value Reference Tables'!$L$207</definedName>
    <definedName name="flt_logs_admin_password_description">'Value Reference Tables'!$L$209</definedName>
    <definedName name="flt_logs_admin_username">'Value Reference Tables'!$L$210</definedName>
    <definedName name="flt_logs_cert_alias">'Value Reference Tables'!$L$183</definedName>
    <definedName name="flt_logs_cert_country_code">'Value Reference Tables'!$L$187</definedName>
    <definedName name="flt_logs_cert_ip_addresses">'Value Reference Tables'!$L$195</definedName>
    <definedName name="flt_logs_cert_locality">'Value Reference Tables'!$L$188</definedName>
    <definedName name="flt_logs_cert_organisation">'Value Reference Tables'!$L$185</definedName>
    <definedName name="flt_logs_cert_state">'Value Reference Tables'!$L$189</definedName>
    <definedName name="flt_logs_chosen">#REF!</definedName>
    <definedName name="flt_logs_cluster">'Value Reference Tables'!$L$205</definedName>
    <definedName name="flt_logs_common_name">'Value Reference Tables'!$L$184</definedName>
    <definedName name="flt_logs_datastore">'Value Reference Tables'!$L$206</definedName>
    <definedName name="flt_logs_folder">'Value Reference Tables'!$L$199</definedName>
    <definedName name="flt_logs_gateway_ip">'Value Reference Tables'!$L$202</definedName>
    <definedName name="flt_logs_install_type_chosen">#REF!</definedName>
    <definedName name="flt_logs_install_version">#REF!</definedName>
    <definedName name="flt_logs_mask">'Value Reference Tables'!$L$203</definedName>
    <definedName name="flt_logs_node_size_chosen">#REF!</definedName>
    <definedName name="flt_logs_nodea_fqdn">'Value Reference Tables'!$L$192</definedName>
    <definedName name="flt_logs_nodea_hostname">'Value Reference Tables'!$L$217</definedName>
    <definedName name="flt_logs_nodea_ip">'Value Reference Tables'!$L$221</definedName>
    <definedName name="flt_logs_nodeb_fqdn">'Value Reference Tables'!$L$193</definedName>
    <definedName name="flt_logs_nodeb_hostname">'Value Reference Tables'!$L$218</definedName>
    <definedName name="flt_logs_nodeb_ip">'Value Reference Tables'!$L$222</definedName>
    <definedName name="flt_logs_nodec_fqdn">'Value Reference Tables'!$L$194</definedName>
    <definedName name="flt_logs_nodec_hostname">'Value Reference Tables'!$L$219</definedName>
    <definedName name="flt_logs_nodec_ip">'Value Reference Tables'!$L$223</definedName>
    <definedName name="flt_logs_ou_cert">'Value Reference Tables'!$L$186</definedName>
    <definedName name="flt_logs_portgroup">'Value Reference Tables'!$L$201</definedName>
    <definedName name="flt_logs_resource_pool">'Value Reference Tables'!$L$200</definedName>
    <definedName name="flt_logs_result">#REF!</definedName>
    <definedName name="flt_logs_root_password">'Value Reference Tables'!$L$212</definedName>
    <definedName name="flt_logs_root_password_alias">'Value Reference Tables'!$L$211</definedName>
    <definedName name="flt_logs_root_password_description">'Value Reference Tables'!$L$213</definedName>
    <definedName name="flt_logs_root_username">'Value Reference Tables'!$L$214</definedName>
    <definedName name="flt_logs_vcenter_fqdn">'Value Reference Tables'!$L$204</definedName>
    <definedName name="flt_logs_vip_fqdn">'Value Reference Tables'!$L$191</definedName>
    <definedName name="flt_logs_vip_ip">'Value Reference Tables'!$L$220</definedName>
    <definedName name="flt_net_admin_password">'Value Reference Tables'!$L$270</definedName>
    <definedName name="flt_net_admin_password_alias">'Value Reference Tables'!$L$269</definedName>
    <definedName name="flt_net_admin_password_description">'Value Reference Tables'!$L$271</definedName>
    <definedName name="flt_net_admin_username">'Value Reference Tables'!$L$272</definedName>
    <definedName name="flt_net_cert_alias">'Value Reference Tables'!$L$229</definedName>
    <definedName name="flt_net_cert_country_code">'Value Reference Tables'!$L$237</definedName>
    <definedName name="flt_net_cert_locality">'Value Reference Tables'!$L$238</definedName>
    <definedName name="flt_net_cert_organisation">'Value Reference Tables'!$L$235</definedName>
    <definedName name="flt_net_cert_state">'Value Reference Tables'!$L$239</definedName>
    <definedName name="flt_net_chosen">#REF!</definedName>
    <definedName name="flt_net_cluster">'Value Reference Tables'!$L$254</definedName>
    <definedName name="flt_net_common_name">'Value Reference Tables'!$L$234</definedName>
    <definedName name="flt_net_console_password">'Value Reference Tables'!$L$276</definedName>
    <definedName name="flt_net_datastore">'Value Reference Tables'!$L$257</definedName>
    <definedName name="flt_net_dual_stack_chosen">#REF!</definedName>
    <definedName name="flt_net_folder">'Value Reference Tables'!$L$255</definedName>
    <definedName name="flt_net_ha_mode_chosen">#REF!</definedName>
    <definedName name="flt_net_install_type_chosen">#REF!</definedName>
    <definedName name="flt_net_install_version">#REF!</definedName>
    <definedName name="flt_net_node_gateway_ip">'Value Reference Tables'!$L$261</definedName>
    <definedName name="flt_net_node_mask">'Value Reference Tables'!$L$262</definedName>
    <definedName name="flt_net_node_portgroup">'Value Reference Tables'!$L$259</definedName>
    <definedName name="flt_net_nodea_fqdn">'Value Reference Tables'!$L$241</definedName>
    <definedName name="flt_net_nodea_hostname">'Value Reference Tables'!$L$249</definedName>
    <definedName name="flt_net_nodea_ip">'Value Reference Tables'!$L$245</definedName>
    <definedName name="flt_net_nodeb_fqdn">'Value Reference Tables'!$L$242</definedName>
    <definedName name="flt_net_nodeb_hostname">'Value Reference Tables'!$L$250</definedName>
    <definedName name="flt_net_nodeb_ip">'Value Reference Tables'!$L$246</definedName>
    <definedName name="flt_net_nodec_fqdn">'Value Reference Tables'!$L$243</definedName>
    <definedName name="flt_net_nodec_hostname">'Value Reference Tables'!$L$251</definedName>
    <definedName name="flt_net_nodec_ip">'Value Reference Tables'!$L$247</definedName>
    <definedName name="flt_net_ou_cert">'Value Reference Tables'!$L$236</definedName>
    <definedName name="flt_net_platform_password">'Value Reference Tables'!$L$274</definedName>
    <definedName name="flt_net_prxy_fqdn">'Value Reference Tables'!$L$244</definedName>
    <definedName name="flt_net_prxy_gateway_ip">'Value Reference Tables'!$L$280</definedName>
    <definedName name="flt_net_prxy_hostname">'Value Reference Tables'!$L$252</definedName>
    <definedName name="flt_net_prxy_ip">'Value Reference Tables'!$L$248</definedName>
    <definedName name="flt_net_prxy_mask">'Value Reference Tables'!$L$279</definedName>
    <definedName name="flt_net_prxy_portgroup">'Value Reference Tables'!$L$278</definedName>
    <definedName name="flt_net_resource_pool">'Value Reference Tables'!$L$256</definedName>
    <definedName name="flt_net_result">#REF!</definedName>
    <definedName name="flt_net_support_password">'Value Reference Tables'!$L$275</definedName>
    <definedName name="flt_net_vcenter_fqdn">'Value Reference Tables'!$L$258</definedName>
    <definedName name="flt_net_vcenter_list">'Value Reference Tables'!$L$277</definedName>
    <definedName name="flt_sr_fqdn">'Value Reference Tables'!$C$73</definedName>
    <definedName name="flt_vcfms_node_pool_end_ip">'Value Reference Tables'!$C$33</definedName>
    <definedName name="flt_vcfms_node_pool_start_ip">'Value Reference Tables'!$C$32</definedName>
    <definedName name="flt_vidb_additional_vips">'Value Reference Tables'!$C$242</definedName>
    <definedName name="flt_vidb_base_dn">'Value Reference Tables'!$C$186</definedName>
    <definedName name="flt_vidb_bind_password">'Value Reference Tables'!$C$188</definedName>
    <definedName name="flt_vidb_bind_username">'Value Reference Tables'!$C$187</definedName>
    <definedName name="flt_vidb_cert_alias">'Value Reference Tables'!$C$158</definedName>
    <definedName name="flt_vidb_cert_common_name">'Value Reference Tables'!$C$159</definedName>
    <definedName name="flt_vidb_cert_country_code">'Value Reference Tables'!$C$162</definedName>
    <definedName name="flt_vidb_cert_locality">'Value Reference Tables'!$C$163</definedName>
    <definedName name="flt_vidb_cert_organisation">'Value Reference Tables'!$C$160</definedName>
    <definedName name="flt_vidb_cert_state">'Value Reference Tables'!$C$164</definedName>
    <definedName name="flt_vidb_chosen">#REF!</definedName>
    <definedName name="flt_vidb_cluster">'Value Reference Tables'!$C$172</definedName>
    <definedName name="flt_vidb_datastore">'Value Reference Tables'!$C$173</definedName>
    <definedName name="flt_vidb_deployment_mode">'Value Reference Tables'!$C$174</definedName>
    <definedName name="flt_vidb_directory_name">'Value Reference Tables'!$C$176</definedName>
    <definedName name="flt_vidb_directory_search_chosen">#REF!</definedName>
    <definedName name="flt_vidb_distinguished_name">'Value Reference Tables'!$C$192</definedName>
    <definedName name="flt_vidb_employeeID">'Value Reference Tables'!$C$193</definedName>
    <definedName name="flt_vidb_encrypted_cert">'Value Reference Tables'!$C$180</definedName>
    <definedName name="flt_vidb_encrypted_connection_chosen">#REF!</definedName>
    <definedName name="flt_vidb_first_name">'Value Reference Tables'!$C$190</definedName>
    <definedName name="flt_vidb_folder">'Value Reference Tables'!$C$166</definedName>
    <definedName name="flt_vidb_gateway_ip">'Value Reference Tables'!$C$167</definedName>
    <definedName name="flt_vidb_global_catalog_chosen">#REF!</definedName>
    <definedName name="flt_vidb_group_base_dn">'Value Reference Tables'!$C$196</definedName>
    <definedName name="flt_vidb_hostname">'Value Reference Tables'!$C$49</definedName>
    <definedName name="flt_vidb_identity_provider_chosen">#REF!</definedName>
    <definedName name="flt_vidb_last_name">'Value Reference Tables'!$C$191</definedName>
    <definedName name="flt_vidb_mail">'Value Reference Tables'!$C$194</definedName>
    <definedName name="flt_vidb_mask">'Value Reference Tables'!$C$168</definedName>
    <definedName name="flt_vidb_node_prefix">'Value Reference Tables'!$C$243</definedName>
    <definedName name="flt_vidb_ou_cert">'Value Reference Tables'!$C$161</definedName>
    <definedName name="flt_vidb_password">'Value Reference Tables'!$C$244</definedName>
    <definedName name="flt_vidb_password_alias">'Value Reference Tables'!$C$245</definedName>
    <definedName name="flt_vidb_password_description">'Value Reference Tables'!$C$246</definedName>
    <definedName name="flt_vidb_port_group">'Value Reference Tables'!$C$170</definedName>
    <definedName name="flt_vidb_primary_domain_controller">'Value Reference Tables'!$C$181</definedName>
    <definedName name="flt_vidb_primary_domain_controller_port">'Value Reference Tables'!$C$182</definedName>
    <definedName name="flt_vidb_resource_pool">'Value Reference Tables'!$C$169</definedName>
    <definedName name="flt_vidb_result">#REF!</definedName>
    <definedName name="flt_vidb_root_username">'Value Reference Tables'!$C$247</definedName>
    <definedName name="flt_vidb_secondary_domain_controller">'Value Reference Tables'!$C$183</definedName>
    <definedName name="flt_vidb_secondary_domain_controller_port">'Value Reference Tables'!$C$184</definedName>
    <definedName name="flt_vidb_server_location_chosen">#REF!</definedName>
    <definedName name="flt_vidb_system_user_alias">'Value Reference Tables'!$C$248</definedName>
    <definedName name="flt_vidb_system_user_description">'Value Reference Tables'!$C$250</definedName>
    <definedName name="flt_vidb_system_user_password">'Value Reference Tables'!$C$249</definedName>
    <definedName name="flt_vidb_user_base_dn">'Value Reference Tables'!$C$197</definedName>
    <definedName name="flt_vidb_user_name">'Value Reference Tables'!$C$189</definedName>
    <definedName name="flt_vidb_user_principal_name">'Value Reference Tables'!$C$195</definedName>
    <definedName name="flt_vidb_vcenter_fqdn">'Value Reference Tables'!$C$171</definedName>
    <definedName name="flt_vidb_version">'Value Reference Tables'!$C$156</definedName>
    <definedName name="flt_vidb_vip_fqdn">'Value Reference Tables'!$C$71</definedName>
    <definedName name="flt_vidb_vip_ip">'Value Reference Tables'!$C$29</definedName>
    <definedName name="group_gg_kub_admins">'Value Reference Tables'!$L$131</definedName>
    <definedName name="group_gg_kub_readonly">'Value Reference Tables'!$L$132</definedName>
    <definedName name="group_gg_nsx_auditors">'Value Reference Tables'!$L$160</definedName>
    <definedName name="group_gg_nsx_enterprise_admins">'Value Reference Tables'!$L$158</definedName>
    <definedName name="group_gg_nsx_network_admins">'Value Reference Tables'!$L$159</definedName>
    <definedName name="group_gg_sso_admins">'Value Reference Tables'!$L$157</definedName>
    <definedName name="group_gg_vc_admins">'Value Reference Tables'!$L$155</definedName>
    <definedName name="group_gg_vc_read_only">'Value Reference Tables'!$L$156</definedName>
    <definedName name="group_gg_vcf_admins">'Value Reference Tables'!$L$152</definedName>
    <definedName name="group_gg_vcf_operators">'Value Reference Tables'!$L$153</definedName>
    <definedName name="group_gg_vcf_viewers">'Value Reference Tables'!$L$154</definedName>
    <definedName name="group_gg_vra_cloud_assembly_admins">'Value Reference Tables'!$L$146</definedName>
    <definedName name="group_gg_vra_cloud_assembly_users">'Value Reference Tables'!$L$147</definedName>
    <definedName name="group_gg_vra_cloud_assembly_viewers">'Value Reference Tables'!$L$148</definedName>
    <definedName name="group_gg_vra_orchestrator_viewers">'Value Reference Tables'!$L$149</definedName>
    <definedName name="group_gg_vra_org_owners">'Value Reference Tables'!$L$145</definedName>
    <definedName name="group_gg_vra_project_admins_sample">'Value Reference Tables'!$L$150</definedName>
    <definedName name="group_gg_vra_project_users_sample">'Value Reference Tables'!$L$151</definedName>
    <definedName name="group_gg_vrli_admins">'Value Reference Tables'!$L$142</definedName>
    <definedName name="group_gg_vrli_users">'Value Reference Tables'!$L$143</definedName>
    <definedName name="group_gg_vrli_viewers">'Value Reference Tables'!$L$144</definedName>
    <definedName name="group_gg_vrops_admins">'Value Reference Tables'!$L$139</definedName>
    <definedName name="group_gg_vrops_content_admins">'Value Reference Tables'!$L$140</definedName>
    <definedName name="group_gg_vrops_read_only">'Value Reference Tables'!$L$141</definedName>
    <definedName name="group_gg_vrslcm_admins">'Value Reference Tables'!$L$136</definedName>
    <definedName name="group_gg_vrslcm_content_developers">'Value Reference Tables'!$L$138</definedName>
    <definedName name="group_gg_vrslcm_release_managers">'Value Reference Tables'!$L$137</definedName>
    <definedName name="group_parent_gg_wsa_admins">'Value Reference Tables'!$L$133</definedName>
    <definedName name="group_parent_gg_wsa_directory_admins">'Value Reference Tables'!$L$134</definedName>
    <definedName name="group_parent_gg_wsa_read_only">'Value Reference Tables'!$L$135</definedName>
    <definedName name="input_administrator_vsphere_local_password">#REF!</definedName>
    <definedName name="input_air_GPU_network_operator_namespace">'Private AI Ready Infrastructure'!$D$82</definedName>
    <definedName name="input_air_GPU_operator_namespace">'Private AI Ready Infrastructure'!$D$77</definedName>
    <definedName name="input_air_GPU_VM_class">'Private AI Ready Infrastructure'!$D$59</definedName>
    <definedName name="input_air_license">'Private AI Ready Infrastructure'!$D$9</definedName>
    <definedName name="input_avilb_root_password">#REF!</definedName>
    <definedName name="input_ca_administrator_password">#REF!</definedName>
    <definedName name="input_ca_administrator_username">#REF!</definedName>
    <definedName name="input_ca_algorithm">#REF!</definedName>
    <definedName name="input_ca_country">#REF!</definedName>
    <definedName name="input_ca_email_address">#REF!</definedName>
    <definedName name="input_ca_key_size">#REF!</definedName>
    <definedName name="input_ca_locality">#REF!</definedName>
    <definedName name="input_ca_organization">#REF!</definedName>
    <definedName name="input_ca_organization_unit">#REF!</definedName>
    <definedName name="input_ca_state">#REF!</definedName>
    <definedName name="input_ca_template_name">#REF!</definedName>
    <definedName name="input_cbr_aria_logs_key">'Cloud-Based Ransomware Recovery'!$D$39</definedName>
    <definedName name="input_cbr_aria_logs_url">'Cloud-Based Ransomware Recovery'!$D$38</definedName>
    <definedName name="input_cbr_firewall_group">'Cloud-Based Ransomware Recovery'!$D$26</definedName>
    <definedName name="input_cbr_firewall_ip_addresses">'Cloud-Based Ransomware Recovery'!$D$27</definedName>
    <definedName name="input_cbr_firewall_rule_vcenter">'Cloud-Based Ransomware Recovery'!$D$25</definedName>
    <definedName name="input_cbr_recovery_host_count">'Cloud-Based Ransomware Recovery'!$D$21</definedName>
    <definedName name="input_cbr_recovery_host_type">'Cloud-Based Ransomware Recovery'!$D$20</definedName>
    <definedName name="input_cbr_recovery_management_subnet">'Cloud-Based Ransomware Recovery'!$D$24</definedName>
    <definedName name="input_cbr_recovery_region">'Cloud-Based Ransomware Recovery'!$D$19</definedName>
    <definedName name="input_cbr_recovery_sddc_name">'Cloud-Based Ransomware Recovery'!$D$18</definedName>
    <definedName name="input_cbr_recovery_subnet">'Cloud-Based Ransomware Recovery'!$D$23</definedName>
    <definedName name="input_cbr_recovery_vpc">'Cloud-Based Ransomware Recovery'!$D$22</definedName>
    <definedName name="input_cbr_vcdr_anti_affinity">'Cloud-Based Ransomware Recovery'!$D$35</definedName>
    <definedName name="input_cbr_vcdr_cdp1_hostname">'Cloud-Based Ransomware Recovery'!$E$9</definedName>
    <definedName name="input_cbr_vcdr_cdp1_ip">'Cloud-Based Ransomware Recovery'!$G$9</definedName>
    <definedName name="input_cbr_vcdr_cdp2_hostname">'Cloud-Based Ransomware Recovery'!$E$10</definedName>
    <definedName name="input_cbr_vcdr_cdp2_ip">'Cloud-Based Ransomware Recovery'!$G$10</definedName>
    <definedName name="input_cbr_vcdr_cloud_file_system">'Cloud-Based Ransomware Recovery'!$D$28</definedName>
    <definedName name="input_cbr_vcdr_email_recipient">'Cloud-Based Ransomware Recovery'!$D$36</definedName>
    <definedName name="input_cbr_vcdr_email_sender">'Cloud-Based Ransomware Recovery'!$D$37</definedName>
    <definedName name="input_cbr_vcdr_label">'Cloud-Based Ransomware Recovery'!$D$34</definedName>
    <definedName name="input_cbr_vcdr_orchestrator_fqdn">'Cloud-Based Ransomware Recovery'!$D$32</definedName>
    <definedName name="input_cbr_vcdr_ova">'Cloud-Based Ransomware Recovery'!$D$31</definedName>
    <definedName name="input_cbr_vcdr_passcode">'Cloud-Based Ransomware Recovery'!$D$33</definedName>
    <definedName name="input_cbr_vcdr_site_name">'Cloud-Based Ransomware Recovery'!$D$29</definedName>
    <definedName name="input_cbr_vcdr_timezone">'Cloud-Based Ransomware Recovery'!$D$30</definedName>
    <definedName name="input_cbr_vcdr_vsphere_role">'Cloud-Based Ransomware Recovery'!$D$14</definedName>
    <definedName name="input_cbr_vm_folder">'Cloud-Based Ransomware Recovery'!$D$17</definedName>
    <definedName name="input_cbw_hcx_cdp_fqdn">'Cross Cloud Mobility'!$D$65</definedName>
    <definedName name="input_ccm_aws_admin_password">'Cross Cloud Mobility'!$D$37</definedName>
    <definedName name="input_ccm_aws_admin_ssouser">'Cross Cloud Mobility'!$D$36</definedName>
    <definedName name="input_ccm_aws_host_count">'Cross Cloud Mobility'!$D$23</definedName>
    <definedName name="input_ccm_aws_host_type">'Cross Cloud Mobility'!$D$22</definedName>
    <definedName name="input_ccm_aws_management_subnet">'Cross Cloud Mobility'!$D$26</definedName>
    <definedName name="input_ccm_aws_region">'Cross Cloud Mobility'!$D$21</definedName>
    <definedName name="input_ccm_aws_sddc_name">'Cross Cloud Mobility'!$D$20</definedName>
    <definedName name="input_ccm_aws_subnet">'Cross Cloud Mobility'!$D$25</definedName>
    <definedName name="input_ccm_aws_vpc">'Cross Cloud Mobility'!$D$24</definedName>
    <definedName name="input_ccm_firewall_group">'Cross Cloud Mobility'!$D$29</definedName>
    <definedName name="input_ccm_firewall_ip_addresses">'Cross Cloud Mobility'!$D$30</definedName>
    <definedName name="input_ccm_firewall_rule_hcx">'Cross Cloud Mobility'!$D$28</definedName>
    <definedName name="input_ccm_firewall_rule_vcenter">'Cross Cloud Mobility'!$D$27</definedName>
    <definedName name="input_ccm_hcx_admin_password">'Cross Cloud Mobility'!$D$33</definedName>
    <definedName name="input_ccm_hcx_cdp_hostname">'Cross Cloud Mobility'!$E$9</definedName>
    <definedName name="input_ccm_hcx_cdp_ip">'Cross Cloud Mobility'!$G$9</definedName>
    <definedName name="input_ccm_hcx_compute_profile">'Cross Cloud Mobility'!$D$38</definedName>
    <definedName name="input_ccm_hcx_dc_location">'Cross Cloud Mobility'!$D$32</definedName>
    <definedName name="input_ccm_hcx_license">'Cross Cloud Mobility'!$D$31</definedName>
    <definedName name="input_ccm_hcx_mgmt_network_ip_range">'Cross Cloud Mobility'!$F$11</definedName>
    <definedName name="input_ccm_hcx_remote_url">'Cross Cloud Mobility'!$D$35</definedName>
    <definedName name="input_ccm_hcx_resource_pool">'Cross Cloud Mobility'!$D$19</definedName>
    <definedName name="input_ccm_hcx_root_password">'Cross Cloud Mobility'!$D$34</definedName>
    <definedName name="input_ccm_hcx_service_mesh">'Cross Cloud Mobility'!$D$39</definedName>
    <definedName name="input_ccm_hcx_vm_folder">'Cross Cloud Mobility'!$D$18</definedName>
    <definedName name="input_ccm_hcx_vmotion_network_ip_range">'Cross Cloud Mobility'!$F$12</definedName>
    <definedName name="input_ccm_hcx_vsphere_role">'Cross Cloud Mobility'!$D$16</definedName>
    <definedName name="input_ccm_vm_folder">'Cross Cloud Mobility'!$D$17</definedName>
    <definedName name="input_certificate_authority_fqdn">#REF!</definedName>
    <definedName name="input_certificate_authority_name">#REF!</definedName>
    <definedName name="input_child_ad_groups_ou">'Active Directory Inputs'!$E$11</definedName>
    <definedName name="input_child_ad_users_ou">'Active Directory Inputs'!$G$11</definedName>
    <definedName name="input_child_dns_zone">Arkham!$C$11</definedName>
    <definedName name="input_child_svc_nsx_ad_password">'Active Directory Inputs'!$G$19</definedName>
    <definedName name="input_child_svc_nsx_ad_user">'Active Directory Inputs'!$E$19</definedName>
    <definedName name="input_child_svc_vsphere_ad_password">'Active Directory Inputs'!$G$18</definedName>
    <definedName name="input_child_svc_vsphere_ad_user">'Active Directory Inputs'!$E$18</definedName>
    <definedName name="input_cluster_az1_host_overlay_cidr">#REF!</definedName>
    <definedName name="input_cluster_az1_host_overlay_gateway_ip">#REF!</definedName>
    <definedName name="input_cluster_az1_host_overlay_network_pool_description">#REF!</definedName>
    <definedName name="input_cluster_az1_host_overlay_network_pool_name">#REF!</definedName>
    <definedName name="input_cluster_az1_host_overlay_network_profile_name">#REF!</definedName>
    <definedName name="input_cluster_az1_host_overlay_pool_end_ip">#REF!</definedName>
    <definedName name="input_cluster_az1_host_overlay_pool_start_ip">#REF!</definedName>
    <definedName name="input_cluster_az1_host_overlay_uplink_profile_name">#REF!</definedName>
    <definedName name="input_cluster_az1_host_overlay_vlan">#REF!</definedName>
    <definedName name="input_cluster_az1_host1_fqdn">#REF!</definedName>
    <definedName name="input_cluster_az1_host1_mgmt_ip">#REF!</definedName>
    <definedName name="input_cluster_az1_host10_fqdn">#REF!</definedName>
    <definedName name="input_cluster_az1_host10_mgmt_ip">#REF!</definedName>
    <definedName name="input_cluster_az1_host11_fqdn">#REF!</definedName>
    <definedName name="input_cluster_az1_host11_mgmt_ip">#REF!</definedName>
    <definedName name="input_cluster_az1_host12_fqdn">#REF!</definedName>
    <definedName name="input_cluster_az1_host12_mgmt_ip">#REF!</definedName>
    <definedName name="input_cluster_az1_host13_fqdn">#REF!</definedName>
    <definedName name="input_cluster_az1_host13_mgmt_ip">#REF!</definedName>
    <definedName name="input_cluster_az1_host14_fqdn">#REF!</definedName>
    <definedName name="input_cluster_az1_host14_mgmt_ip">#REF!</definedName>
    <definedName name="input_cluster_az1_host15_fqdn">#REF!</definedName>
    <definedName name="input_cluster_az1_host15_mgmt_ip">#REF!</definedName>
    <definedName name="input_cluster_az1_host16_fqdn">#REF!</definedName>
    <definedName name="input_cluster_az1_host16_mgmt_ip">#REF!</definedName>
    <definedName name="input_cluster_az1_host2_fqdn">#REF!</definedName>
    <definedName name="input_cluster_az1_host2_mgmt_ip">#REF!</definedName>
    <definedName name="input_cluster_az1_host3_fqdn">#REF!</definedName>
    <definedName name="input_cluster_az1_host3_mgmt_ip">#REF!</definedName>
    <definedName name="input_cluster_az1_host4_fqdn">#REF!</definedName>
    <definedName name="input_cluster_az1_host4_mgmt_ip">#REF!</definedName>
    <definedName name="input_cluster_az1_host5_fqdn">#REF!</definedName>
    <definedName name="input_cluster_az1_host5_mgmt_ip">#REF!</definedName>
    <definedName name="input_cluster_az1_host6_fqdn">#REF!</definedName>
    <definedName name="input_cluster_az1_host6_mgmt_ip">#REF!</definedName>
    <definedName name="input_cluster_az1_host7_fqdn">#REF!</definedName>
    <definedName name="input_cluster_az1_host7_mgmt_ip">#REF!</definedName>
    <definedName name="input_cluster_az1_host8_fqdn">#REF!</definedName>
    <definedName name="input_cluster_az1_host8_mgmt_ip">#REF!</definedName>
    <definedName name="input_cluster_az1_host9_fqdn">#REF!</definedName>
    <definedName name="input_cluster_az1_host9_mgmt_ip">#REF!</definedName>
    <definedName name="input_cluster_az1_mgmt_cidr">#REF!</definedName>
    <definedName name="input_cluster_az1_mgmt_gateway_ip">#REF!</definedName>
    <definedName name="input_cluster_az1_mgmt_mtu">#REF!</definedName>
    <definedName name="input_cluster_az1_mgmt_pg">#REF!</definedName>
    <definedName name="input_cluster_az1_mgmt_vlan">#REF!</definedName>
    <definedName name="input_cluster_az1_mgmt_vm_pg">#REF!</definedName>
    <definedName name="input_cluster_az1_nsx_uplink_count">#REF!</definedName>
    <definedName name="input_cluster_az1_nsx_uplink1">#REF!</definedName>
    <definedName name="input_cluster_az1_nsx_uplink1_active">#REF!</definedName>
    <definedName name="input_cluster_az1_nsx_uplink2">#REF!</definedName>
    <definedName name="input_cluster_az1_nsx_uplink2_active">#REF!</definedName>
    <definedName name="input_cluster_az1_pool_name">#REF!</definedName>
    <definedName name="input_cluster_az1_principal_storage_gateway_cidr">#REF!</definedName>
    <definedName name="input_cluster_az1_principal_storage_mtu">#REF!</definedName>
    <definedName name="input_cluster_az1_principal_storage_pg">#REF!</definedName>
    <definedName name="input_cluster_az1_principal_storage_pool_end_ip">#REF!</definedName>
    <definedName name="input_cluster_az1_principal_storage_pool_start_ip">#REF!</definedName>
    <definedName name="input_cluster_az1_principal_storage_vlan">#REF!</definedName>
    <definedName name="input_cluster_az1_secondary_storage_gateway_cidr">#REF!</definedName>
    <definedName name="input_cluster_az1_secondary_storage_mtu">#REF!</definedName>
    <definedName name="input_cluster_az1_secondary_storage_pool_end_ip">#REF!</definedName>
    <definedName name="input_cluster_az1_secondary_storage_pool_start_ip">#REF!</definedName>
    <definedName name="input_cluster_az1_secondary_storage_vlan">#REF!</definedName>
    <definedName name="input_cluster_az1_storage_cluster_gateway_cidr">#REF!</definedName>
    <definedName name="input_cluster_az1_storage_cluster_mtu">#REF!</definedName>
    <definedName name="input_cluster_az1_storage_cluster_pool_end_ip">#REF!</definedName>
    <definedName name="input_cluster_az1_storage_cluster_pool_start_ip">#REF!</definedName>
    <definedName name="input_cluster_az1_storage_cluster_vlan">#REF!</definedName>
    <definedName name="input_cluster_az1_vmotion_gateway_cidr">#REF!</definedName>
    <definedName name="input_cluster_az1_vmotion_mtu">#REF!</definedName>
    <definedName name="input_cluster_az1_vmotion_pg">#REF!</definedName>
    <definedName name="input_cluster_az1_vmotion_pool_end_ip">#REF!</definedName>
    <definedName name="input_cluster_az1_vmotion_pool_start_ip">#REF!</definedName>
    <definedName name="input_cluster_az1_vmotion_vlan">#REF!</definedName>
    <definedName name="input_cluster_az1_vsan_storage_client_pg">#REF!</definedName>
    <definedName name="input_cluster_az2_host_overlay_cidr">#REF!</definedName>
    <definedName name="input_cluster_az2_host_overlay_gateway_ip">#REF!</definedName>
    <definedName name="input_cluster_az2_host_overlay_gateway_mtu">#REF!</definedName>
    <definedName name="input_cluster_az2_host_overlay_network_pool_name">#REF!</definedName>
    <definedName name="input_cluster_az2_host_overlay_network_profile_name">#REF!</definedName>
    <definedName name="input_cluster_az2_host_overlay_pool_end_ip">#REF!</definedName>
    <definedName name="input_cluster_az2_host_overlay_pool_start_ip">#REF!</definedName>
    <definedName name="input_cluster_az2_host_overlay_uplink_profile_name">#REF!</definedName>
    <definedName name="input_cluster_az2_host_overlay_vlan">#REF!</definedName>
    <definedName name="input_cluster_az2_host1_fqdn">#REF!</definedName>
    <definedName name="input_cluster_az2_host1_mgmt_ip">#REF!</definedName>
    <definedName name="input_cluster_az2_host10_fqdn">#REF!</definedName>
    <definedName name="input_cluster_az2_host10_mgmt_ip">#REF!</definedName>
    <definedName name="input_cluster_az2_host11_fqdn">#REF!</definedName>
    <definedName name="input_cluster_az2_host11_mgmt_ip">#REF!</definedName>
    <definedName name="input_cluster_az2_host12_fqdn">#REF!</definedName>
    <definedName name="input_cluster_az2_host12_mgmt_ip">#REF!</definedName>
    <definedName name="input_cluster_az2_host13_fqdn">#REF!</definedName>
    <definedName name="input_cluster_az2_host13_mgmt_ip">#REF!</definedName>
    <definedName name="input_cluster_az2_host14_fqdn">#REF!</definedName>
    <definedName name="input_cluster_az2_host14_mgmt_ip">#REF!</definedName>
    <definedName name="input_cluster_az2_host15_fqdn">#REF!</definedName>
    <definedName name="input_cluster_az2_host15_mgmt_ip">#REF!</definedName>
    <definedName name="input_cluster_az2_host16_fqdn">#REF!</definedName>
    <definedName name="input_cluster_az2_host16_mgmt_ip">#REF!</definedName>
    <definedName name="input_cluster_az2_host2_fqdn">#REF!</definedName>
    <definedName name="input_cluster_az2_host2_mgmt_ip">#REF!</definedName>
    <definedName name="input_cluster_az2_host3_fqdn">#REF!</definedName>
    <definedName name="input_cluster_az2_host3_mgmt_ip">#REF!</definedName>
    <definedName name="input_cluster_az2_host4_fqdn">#REF!</definedName>
    <definedName name="input_cluster_az2_host4_mgmt_ip">#REF!</definedName>
    <definedName name="input_cluster_az2_host5_fqdn">#REF!</definedName>
    <definedName name="input_cluster_az2_host5_mgmt_ip">#REF!</definedName>
    <definedName name="input_cluster_az2_host6_fqdn">#REF!</definedName>
    <definedName name="input_cluster_az2_host6_mgmt_ip">#REF!</definedName>
    <definedName name="input_cluster_az2_host7_fqdn">#REF!</definedName>
    <definedName name="input_cluster_az2_host7_mgmt_ip">#REF!</definedName>
    <definedName name="input_cluster_az2_host8_fqdn">#REF!</definedName>
    <definedName name="input_cluster_az2_host8_mgmt_ip">#REF!</definedName>
    <definedName name="input_cluster_az2_host9_fqdn">#REF!</definedName>
    <definedName name="input_cluster_az2_host9_mgmt_ip">#REF!</definedName>
    <definedName name="input_cluster_az2_mgmt_cidr">#REF!</definedName>
    <definedName name="input_cluster_az2_mgmt_gateway_ip">#REF!</definedName>
    <definedName name="input_cluster_az2_mgmt_mtu">#REF!</definedName>
    <definedName name="input_cluster_az2_mgmt_vlan">#REF!</definedName>
    <definedName name="input_cluster_az2_pool_name">#REF!</definedName>
    <definedName name="input_cluster_az2_principal_storage_gateway_ip">#REF!</definedName>
    <definedName name="input_cluster_az2_principal_storage_mask">#REF!</definedName>
    <definedName name="input_cluster_az2_principal_storage_mtu">#REF!</definedName>
    <definedName name="input_cluster_az2_principal_storage_network">#REF!</definedName>
    <definedName name="input_cluster_az2_principal_storage_pool_end_ip">#REF!</definedName>
    <definedName name="input_cluster_az2_principal_storage_pool_start_ip">#REF!</definedName>
    <definedName name="input_cluster_az2_principal_storage_vlan">#REF!</definedName>
    <definedName name="input_cluster_az2_secondary_storage_gateway_ip">#REF!</definedName>
    <definedName name="input_cluster_az2_secondary_storage_mask">#REF!</definedName>
    <definedName name="input_cluster_az2_secondary_storage_mtu">#REF!</definedName>
    <definedName name="input_cluster_az2_secondary_storage_network">#REF!</definedName>
    <definedName name="input_cluster_az2_secondary_storage_pool_end_ip">#REF!</definedName>
    <definedName name="input_cluster_az2_secondary_storage_pool_start_ip">#REF!</definedName>
    <definedName name="input_cluster_az2_secondary_storage_vlan">#REF!</definedName>
    <definedName name="input_cluster_az2_storage_cluster_gateway_ip">#REF!</definedName>
    <definedName name="input_cluster_az2_storage_cluster_mask">#REF!</definedName>
    <definedName name="input_cluster_az2_storage_cluster_mtu">#REF!</definedName>
    <definedName name="input_cluster_az2_storage_cluster_network">#REF!</definedName>
    <definedName name="input_cluster_az2_storage_cluster_pool_end_ip">#REF!</definedName>
    <definedName name="input_cluster_az2_storage_cluster_pool_start_ip">#REF!</definedName>
    <definedName name="input_cluster_az2_storage_cluster_vlan">#REF!</definedName>
    <definedName name="input_cluster_az2_tor1_peer_asn">#REF!</definedName>
    <definedName name="input_cluster_az2_tor1_peer_ip">#REF!</definedName>
    <definedName name="input_cluster_az2_tor2_peer_asn">#REF!</definedName>
    <definedName name="input_cluster_az2_tor2_peer_ip">#REF!</definedName>
    <definedName name="input_cluster_az2_vmotion_gateway_ip">#REF!</definedName>
    <definedName name="input_cluster_az2_vmotion_mask">#REF!</definedName>
    <definedName name="input_cluster_az2_vmotion_mtu">#REF!</definedName>
    <definedName name="input_cluster_az2_vmotion_network">#REF!</definedName>
    <definedName name="input_cluster_az2_vmotion_pool_end_ip">#REF!</definedName>
    <definedName name="input_cluster_az2_vmotion_pool_start_ip">#REF!</definedName>
    <definedName name="input_cluster_az2_vmotion_vlan">#REF!</definedName>
    <definedName name="input_cluster_cluster_sddc_id">#REF!</definedName>
    <definedName name="input_cluster_datacenter">#REF!</definedName>
    <definedName name="input_cluster_domain_name">#REF!</definedName>
    <definedName name="input_cluster_esx_root_password">#REF!</definedName>
    <definedName name="input_cluster_esx_root_username">#REF!</definedName>
    <definedName name="input_cluster_host_overlay_transportzone">#REF!</definedName>
    <definedName name="input_cluster_image_name">#REF!</definedName>
    <definedName name="input_cluster_name">#REF!</definedName>
    <definedName name="input_cluster_nfs_datastore_name">#REF!</definedName>
    <definedName name="input_cluster_nfs_server_address">#REF!</definedName>
    <definedName name="input_cluster_nfs_share_path">#REF!</definedName>
    <definedName name="input_cluster_nsx_vlan_transport_zone_name">#REF!</definedName>
    <definedName name="input_cluster_nsxt_vip_fqdn">#REF!</definedName>
    <definedName name="input_cluster_storage_cluster_name">#REF!</definedName>
    <definedName name="input_cluster_vc_fqdn">#REF!</definedName>
    <definedName name="input_cluster_vds01_lag_name">#REF!</definedName>
    <definedName name="input_cluster_vds01_mtu">#REF!</definedName>
    <definedName name="input_cluster_vds01_name">#REF!</definedName>
    <definedName name="input_cluster_vds01_pnics">#REF!</definedName>
    <definedName name="input_cluster_vds01_uplink_count">#REF!</definedName>
    <definedName name="input_cluster_vds02_lag_name">#REF!</definedName>
    <definedName name="input_cluster_vds02_mtu">#REF!</definedName>
    <definedName name="input_cluster_vds02_name">#REF!</definedName>
    <definedName name="input_cluster_vds02_pnics">#REF!</definedName>
    <definedName name="input_cluster_vds02_uplink_count">#REF!</definedName>
    <definedName name="input_cluster_vds03_lag_name">#REF!</definedName>
    <definedName name="input_cluster_vds03_mtu">#REF!</definedName>
    <definedName name="input_cluster_vds03_name">#REF!</definedName>
    <definedName name="input_cluster_vds03_pnics">#REF!</definedName>
    <definedName name="input_cluster_vds03_uplink_count">#REF!</definedName>
    <definedName name="input_cluster_vmfs_datastore_name">#REF!</definedName>
    <definedName name="input_cluster_vsan_datastore">#REF!</definedName>
    <definedName name="input_cluster_vsan_type_non_vsan_storage">'Static Reference Tables'!$F$55:$F$57</definedName>
    <definedName name="input_cluster_vsan_type_with_client_network">'Static Reference Tables'!$E$57</definedName>
    <definedName name="input_cluster_vsan_type_without_client_network">'Static Reference Tables'!$E$55:$E$57</definedName>
    <definedName name="input_cluster_witness_cluster">#REF!</definedName>
    <definedName name="input_cluster_witness_dns1_ip">#REF!</definedName>
    <definedName name="input_cluster_witness_dns2_ip">#REF!</definedName>
    <definedName name="input_cluster_witness_fqdn">#REF!</definedName>
    <definedName name="input_cluster_witness_hostname">#REF!</definedName>
    <definedName name="input_cluster_witness_ip">#REF!</definedName>
    <definedName name="input_cluster_witness_mgmt_pg">#REF!</definedName>
    <definedName name="input_cluster_witness_ntp1_server">#REF!</definedName>
    <definedName name="input_cluster_witness_ntp2_server">#REF!</definedName>
    <definedName name="input_cluster_witness_vm_folder">#REF!</definedName>
    <definedName name="input_cluster_witness_vsan_datastore">#REF!</definedName>
    <definedName name="input_cluster_witness_zone_vc_fqdn">#REF!</definedName>
    <definedName name="input_cluster_witnessaz_mask">#REF!</definedName>
    <definedName name="input_cluster_witnessaz_mgmt_cidr">#REF!</definedName>
    <definedName name="input_cluster_witnessaz_mgmt_gateway_ip">#REF!</definedName>
    <definedName name="input_cluster_witnessaz_mgmt_mtu">#REF!</definedName>
    <definedName name="input_cluster_witnessaz_mgmt_vlan">#REF!</definedName>
    <definedName name="input_cr_clean_room">#REF!</definedName>
    <definedName name="input_cr_console_cloud">#REF!</definedName>
    <definedName name="input_cr_mgmt_protect_vc_domain">#REF!</definedName>
    <definedName name="input_cr_mgmt_protect_vc_fqdn">#REF!</definedName>
    <definedName name="input_cr_wld_pnr_fqdn">#REF!</definedName>
    <definedName name="input_cr_wld_pnr_ip">#REF!</definedName>
    <definedName name="input_cr_wld_protect_vc_replication_user">#REF!</definedName>
    <definedName name="input_cr_wld_vrms_pg">#REF!</definedName>
    <definedName name="input_domain_controller_hostname">Arkham!$C$15</definedName>
    <definedName name="input_esxi_root_password">#REF!</definedName>
    <definedName name="input_flt_auto_node_pool_end_ip">#REF!</definedName>
    <definedName name="input_flt_auto_node_pool_start_ip">#REF!</definedName>
    <definedName name="input_flt_auto_sr_fqdn">#REF!</definedName>
    <definedName name="input_flt_custom_network_auto_admin_password">#REF!</definedName>
    <definedName name="input_flt_custom_network_auto_nodea_ip">#REF!</definedName>
    <definedName name="input_flt_custom_network_auto_nodeb_ip">#REF!</definedName>
    <definedName name="input_flt_custom_network_auto_nodec_ip">#REF!</definedName>
    <definedName name="input_flt_custom_network_auto_noded_ip">#REF!</definedName>
    <definedName name="input_flt_custom_network_auto_nodee_ip">#REF!</definedName>
    <definedName name="input_flt_custom_network_auto_prefix">#REF!</definedName>
    <definedName name="input_flt_custom_network_auto_sr_fqdn">#REF!</definedName>
    <definedName name="input_flt_custom_network_auto_sr_ip">#REF!</definedName>
    <definedName name="input_flt_custom_network_auto_vip_fqdn">#REF!</definedName>
    <definedName name="input_flt_custom_network_auto_vip_ip">#REF!</definedName>
    <definedName name="input_flt_custom_network_flt_admin_password">#REF!</definedName>
    <definedName name="input_flt_custom_network_flt_fqdn">#REF!</definedName>
    <definedName name="input_flt_custom_network_flt_ip">#REF!</definedName>
    <definedName name="input_flt_custom_network_flt_root_password">#REF!</definedName>
    <definedName name="input_flt_custom_network_flt_use_existing">#REF!</definedName>
    <definedName name="input_flt_custom_network_local_reg_gateway_ip">#REF!</definedName>
    <definedName name="input_flt_custom_network_local_reg_mask">#REF!</definedName>
    <definedName name="input_flt_custom_network_local_reg_pg">#REF!</definedName>
    <definedName name="input_flt_custom_network_ops_admin_password">#REF!</definedName>
    <definedName name="input_flt_custom_network_ops_collector_fqdn">#REF!</definedName>
    <definedName name="input_flt_custom_network_ops_collector_ip">#REF!</definedName>
    <definedName name="input_flt_custom_network_ops_collector_root_password">#REF!</definedName>
    <definedName name="input_flt_custom_network_ops_collector_version">#REF!</definedName>
    <definedName name="input_flt_custom_network_ops_nodea_fqdn">#REF!</definedName>
    <definedName name="input_flt_custom_network_ops_nodea_ip">#REF!</definedName>
    <definedName name="input_flt_custom_network_ops_nodeb_fqdn">#REF!</definedName>
    <definedName name="input_flt_custom_network_ops_nodeb_ip">#REF!</definedName>
    <definedName name="input_flt_custom_network_ops_nodec_fqdn">#REF!</definedName>
    <definedName name="input_flt_custom_network_ops_nodec_ip">#REF!</definedName>
    <definedName name="input_flt_custom_network_ops_root_password">#REF!</definedName>
    <definedName name="input_flt_custom_network_ops_use_existing">#REF!</definedName>
    <definedName name="input_flt_custom_network_ops_vip_fqdn">#REF!</definedName>
    <definedName name="input_flt_custom_network_ops_vip_ip">#REF!</definedName>
    <definedName name="input_flt_custom_network_x_reg_gateway_ip">#REF!</definedName>
    <definedName name="input_flt_custom_network_x_reg_mask">#REF!</definedName>
    <definedName name="input_flt_custom_network_x_reg_pg">#REF!</definedName>
    <definedName name="input_flt_def_administrator_vsphere_local_password">#REF!</definedName>
    <definedName name="input_flt_def_administrator_vsphere_local_username">#REF!</definedName>
    <definedName name="input_flt_def_auto_node_pool_end_ip">#REF!</definedName>
    <definedName name="input_flt_def_auto_node_pool_start_ip">#REF!</definedName>
    <definedName name="input_flt_def_auto_sr_fqdn">#REF!</definedName>
    <definedName name="input_flt_def_auto_sr_ip">#REF!</definedName>
    <definedName name="input_flt_def_sddc_mgr_fqdn">#REF!</definedName>
    <definedName name="input_flt_def_vcf_operations_az1_vcf_mgmt_gateway_cidr">#REF!</definedName>
    <definedName name="input_flt_def_vcf_operations_az1_vcf_mgmt_pg">#REF!</definedName>
    <definedName name="input_flt_def_vcf_operations_lc_fqdn">#REF!</definedName>
    <definedName name="input_flt_def_vcf_operations_lc_ip">#REF!</definedName>
    <definedName name="input_flt_def_vcf_operations_nodea_fqdn">#REF!</definedName>
    <definedName name="input_flt_def_vcf_operations_nodea_ip">#REF!</definedName>
    <definedName name="input_flt_def_vcf_operations_nodeb_fqdn">#REF!</definedName>
    <definedName name="input_flt_def_vcf_operations_nodeb_ip">#REF!</definedName>
    <definedName name="input_flt_def_vcf_operations_nodec_fqdn">#REF!</definedName>
    <definedName name="input_flt_def_vcf_operations_nodec_ip">#REF!</definedName>
    <definedName name="input_flt_def_vcf_operations_proxy_fqdn">#REF!</definedName>
    <definedName name="input_flt_def_vcf_operations_proxy_ip">#REF!</definedName>
    <definedName name="input_flt_def_vcf_operations_virtual_fqdn">#REF!</definedName>
    <definedName name="input_flt_def_vcf_operations_virtual_ip">#REF!</definedName>
    <definedName name="input_flt_def_vra_virtual_fqdn">#REF!</definedName>
    <definedName name="input_flt_def_vra_virtual_ip">#REF!</definedName>
    <definedName name="input_flt_ic_fqdn">#REF!</definedName>
    <definedName name="input_flt_ic_ip">#REF!</definedName>
    <definedName name="input_flt_lc_fqdn">#REF!</definedName>
    <definedName name="input_flt_lc_ip">#REF!</definedName>
    <definedName name="input_flt_logs_admin_password">#REF!</definedName>
    <definedName name="input_flt_logs_admin_username">#REF!</definedName>
    <definedName name="input_flt_logs_vip_fqdn">#REF!</definedName>
    <definedName name="input_flt_logs_vip_ip">#REF!</definedName>
    <definedName name="input_flt_net_admin_password">#REF!</definedName>
    <definedName name="input_flt_net_nodea_fqdn">#REF!</definedName>
    <definedName name="input_flt_net_nodea_ip">#REF!</definedName>
    <definedName name="input_flt_net_prxy_fqdn">#REF!</definedName>
    <definedName name="input_flt_net_prxy_ip">#REF!</definedName>
    <definedName name="input_flt_sr_fqdn">#REF!</definedName>
    <definedName name="input_flt_vcfms_node_pool_end_ip">#REF!</definedName>
    <definedName name="input_flt_vcfms_node_pool_start_ip">#REF!</definedName>
    <definedName name="input_flt_vidb_base_dn">#REF!</definedName>
    <definedName name="input_flt_vidb_bind_password">#REF!</definedName>
    <definedName name="input_flt_vidb_bind_username">#REF!</definedName>
    <definedName name="input_flt_vidb_directory_name">#REF!</definedName>
    <definedName name="input_flt_vidb_distinguished_name">#REF!</definedName>
    <definedName name="input_flt_vidb_employeeID">#REF!</definedName>
    <definedName name="input_flt_vidb_encrypted_cert">#REF!</definedName>
    <definedName name="input_flt_vidb_first_name">#REF!</definedName>
    <definedName name="input_flt_vidb_group_base_dn">#REF!</definedName>
    <definedName name="input_flt_vidb_last_name">#REF!</definedName>
    <definedName name="input_flt_vidb_mail">#REF!</definedName>
    <definedName name="input_flt_vidb_primary_domain_controller">#REF!</definedName>
    <definedName name="input_flt_vidb_primary_domain_controller_port">#REF!</definedName>
    <definedName name="input_flt_vidb_secondary_domain_controller">#REF!</definedName>
    <definedName name="input_flt_vidb_secondary_domain_controller_port">#REF!</definedName>
    <definedName name="input_flt_vidb_user_base_dn">#REF!</definedName>
    <definedName name="input_flt_vidb_user_name">#REF!</definedName>
    <definedName name="input_flt_vidb_user_principal_name">#REF!</definedName>
    <definedName name="input_flt_vidb_vip_fqdn">#REF!</definedName>
    <definedName name="input_flt_vidb_vip_ip">#REF!</definedName>
    <definedName name="input_gg_kub_admins_group">'Active Directory Inputs'!$E$75</definedName>
    <definedName name="input_gg_kub_readonly_group">'Active Directory Inputs'!$E$76</definedName>
    <definedName name="input_gg_nsx_auditors_group">'Active Directory Inputs'!$E$72</definedName>
    <definedName name="input_gg_nsx_enterprise_admins_group">'Active Directory Inputs'!$E$70</definedName>
    <definedName name="input_gg_nsx_network_admins_group">'Active Directory Inputs'!$E$71</definedName>
    <definedName name="input_gg_sso_admins_group">'Active Directory Inputs'!$E$69</definedName>
    <definedName name="input_gg_vc_admins_group">'Active Directory Inputs'!$E$67</definedName>
    <definedName name="input_gg_vc_read_only_group">'Active Directory Inputs'!$E$68</definedName>
    <definedName name="input_gg_vcf_admins_group">'Active Directory Inputs'!$E$64</definedName>
    <definedName name="input_gg_vcf_operators_group">'Active Directory Inputs'!$E$65</definedName>
    <definedName name="input_gg_vcf_viewers_group">'Active Directory Inputs'!$E$66</definedName>
    <definedName name="input_gg_vra_cloud_assembly_admins_group">'Active Directory Inputs'!$E$95</definedName>
    <definedName name="input_gg_vra_cloud_assembly_users_group">'Active Directory Inputs'!$E$96</definedName>
    <definedName name="input_gg_vra_cloud_assembly_viewers_group">'Active Directory Inputs'!$E$97</definedName>
    <definedName name="input_gg_vra_orchestrator_admins_group">'Active Directory Inputs'!$E$101</definedName>
    <definedName name="input_gg_vra_orchestrator_designers_group">'Active Directory Inputs'!$E$102</definedName>
    <definedName name="input_gg_vra_orchestrator_viewers_group">'Active Directory Inputs'!$E$103</definedName>
    <definedName name="input_gg_vra_org_owners_group">'Active Directory Inputs'!$E$94</definedName>
    <definedName name="input_gg_vra_project_admins_sample_group">'Active Directory Inputs'!$E$104</definedName>
    <definedName name="input_gg_vra_project_users_sample_group">'Active Directory Inputs'!$E$105</definedName>
    <definedName name="input_gg_vra_service_broker_admins_group">'Active Directory Inputs'!$E$98</definedName>
    <definedName name="input_gg_vra_service_broker_users_group">'Active Directory Inputs'!$E$99</definedName>
    <definedName name="input_gg_vra_service_broker_viewers_group">'Active Directory Inputs'!$E$100</definedName>
    <definedName name="input_gg_vrli_admins_group">'Active Directory Inputs'!$E$79</definedName>
    <definedName name="input_gg_vrli_users_group">'Active Directory Inputs'!$E$80</definedName>
    <definedName name="input_gg_vrli_viewers_group">'Active Directory Inputs'!$E$81</definedName>
    <definedName name="input_gg_vrni_admin_group">'Active Directory Inputs'!$E$89</definedName>
    <definedName name="input_gg_vrni_auditor_group">'Active Directory Inputs'!$E$91</definedName>
    <definedName name="input_gg_vrni_member_group">'Active Directory Inputs'!$E$90</definedName>
    <definedName name="input_gg_vrops_admins_group">'Active Directory Inputs'!$E$84</definedName>
    <definedName name="input_gg_vrops_content_admins_group">'Active Directory Inputs'!$E$85</definedName>
    <definedName name="input_gg_vrops_read_only_group">'Active Directory Inputs'!$E$86</definedName>
    <definedName name="input_gg_vrslcm_admins_group">'Active Directory Inputs'!$E$54</definedName>
    <definedName name="input_gg_vrslcm_content_developers_group">'Active Directory Inputs'!$E$56</definedName>
    <definedName name="input_gg_vrslcm_release_managers_group">'Active Directory Inputs'!$E$55</definedName>
    <definedName name="input_k8s_cluster_name">'Private AI Ready Infrastructure'!$D$46</definedName>
    <definedName name="input_k8s_ip_prefixlist">'Private AI Ready Infrastructure'!$D$20</definedName>
    <definedName name="input_k8s_ip_routemap">'Private AI Ready Infrastructure'!$D$21</definedName>
    <definedName name="input_k8s_kubectl_path">'Private AI Ready Infrastructure'!$D$26</definedName>
    <definedName name="input_k8s_mgmt_seg">'Private AI Ready Infrastructure'!$D$19</definedName>
    <definedName name="input_k8s_namepsace">'Private AI Ready Infrastructure'!$D$15</definedName>
    <definedName name="input_k8s_tanzu_k8s_cluster_pod_pool_cidr">'Private AI Ready Infrastructure'!$D$72</definedName>
    <definedName name="input_k8s_tanzu_k8s_cluster_service_pool_cidr">'Private AI Ready Infrastructure'!$D$71</definedName>
    <definedName name="input_k8s_vcenter_category">'Private AI Ready Infrastructure'!$D$22</definedName>
    <definedName name="input_k8s_vcenter_content_library">'Private AI Ready Infrastructure'!$D$95</definedName>
    <definedName name="input_k8s_vcenter_storage_policy">'Private AI Ready Infrastructure'!$D$47</definedName>
    <definedName name="input_k8s_vcenter_tag">'Private AI Ready Infrastructure'!$D$23</definedName>
    <definedName name="input_k8s_vm_class">'Private AI Ready Infrastructure'!$D$27</definedName>
    <definedName name="input_mgmt_avilb_cluster_name">#REF!</definedName>
    <definedName name="input_mgmt_avilb_cluster_version">#REF!</definedName>
    <definedName name="input_mgmt_avilb_fqdn">#REF!</definedName>
    <definedName name="input_mgmt_avilb_ip">#REF!</definedName>
    <definedName name="input_mgmt_avilb_mgra_ip">#REF!</definedName>
    <definedName name="input_mgmt_avilb_mgrb_ip">#REF!</definedName>
    <definedName name="input_mgmt_avilb_mgrc_ip">#REF!</definedName>
    <definedName name="input_mgmt_az1_dtgw_gateway_cidr">#REF!</definedName>
    <definedName name="input_mgmt_az1_dtgw_vlan">#REF!</definedName>
    <definedName name="input_mgmt_az1_edge_overlay_cidr">#REF!</definedName>
    <definedName name="input_mgmt_az1_edge_overlay_gateway_ip">#REF!</definedName>
    <definedName name="input_mgmt_az1_edge_overlay_mask">#REF!</definedName>
    <definedName name="input_mgmt_az1_edge_overlay_mtu">#REF!</definedName>
    <definedName name="input_mgmt_az1_edge_overlay_network_pool_name">#REF!</definedName>
    <definedName name="input_mgmt_az1_edge_overlay_pool_end_ip">#REF!</definedName>
    <definedName name="input_mgmt_az1_edge_overlay_pool_start_ip">#REF!</definedName>
    <definedName name="input_mgmt_az1_edge_overlay_vlan">#REF!</definedName>
    <definedName name="input_mgmt_az1_en1_edge_overlay_interface_ip_1_ip">#REF!</definedName>
    <definedName name="input_mgmt_az1_en1_edge_overlay_interface_ip_2_ip">#REF!</definedName>
    <definedName name="input_mgmt_az1_en1_eth0_uplink0">#REF!</definedName>
    <definedName name="input_mgmt_az1_en1_eth0_uplink1">#REF!</definedName>
    <definedName name="input_mgmt_az1_en1_eth1_uplink0">#REF!</definedName>
    <definedName name="input_mgmt_az1_en1_eth1_uplink1">#REF!</definedName>
    <definedName name="input_mgmt_az1_en1_fqdn">#REF!</definedName>
    <definedName name="input_mgmt_az1_en1_mgmt_cidr">#REF!</definedName>
    <definedName name="input_mgmt_az1_en1_uplink01_interface_cidr">#REF!</definedName>
    <definedName name="input_mgmt_az1_en1_uplink02_interface_cidr">#REF!</definedName>
    <definedName name="input_mgmt_az1_en2_edge_overlay_interface_ip_1_ip">#REF!</definedName>
    <definedName name="input_mgmt_az1_en2_edge_overlay_interface_ip_2_ip">#REF!</definedName>
    <definedName name="input_mgmt_az1_en2_eth0_uplink0">#REF!</definedName>
    <definedName name="input_mgmt_az1_en2_eth0_uplink1">#REF!</definedName>
    <definedName name="input_mgmt_az1_en2_eth1_uplink0">#REF!</definedName>
    <definedName name="input_mgmt_az1_en2_eth1_uplink1">#REF!</definedName>
    <definedName name="input_mgmt_az1_en2_fqdn">#REF!</definedName>
    <definedName name="input_mgmt_az1_en2_mgmt_cidr">#REF!</definedName>
    <definedName name="input_mgmt_az1_en2_uplink01_interface_cidr">#REF!</definedName>
    <definedName name="input_mgmt_az1_en2_uplink02_interface_cidr">#REF!</definedName>
    <definedName name="input_mgmt_az1_host_overlay_gateway_cidr">#REF!</definedName>
    <definedName name="input_mgmt_az1_host_overlay_mtu">#REF!</definedName>
    <definedName name="input_mgmt_az1_host_overlay_network_pool_description">Arkham!$Y$7</definedName>
    <definedName name="input_mgmt_az1_host_overlay_network_pool_name">Arkham!$Y$6</definedName>
    <definedName name="input_mgmt_az1_host_overlay_pool_end_ip">#REF!</definedName>
    <definedName name="input_mgmt_az1_host_overlay_pool_start_ip">#REF!</definedName>
    <definedName name="input_mgmt_az1_host_overlay_vlan">#REF!</definedName>
    <definedName name="input_mgmt_az1_host1_fqdn">#REF!</definedName>
    <definedName name="input_mgmt_az1_host1_mgmt_ip">#REF!</definedName>
    <definedName name="input_mgmt_az1_host1_vrms_ip">'Site Protection &amp; DR'!$D$176</definedName>
    <definedName name="input_mgmt_az1_host10_fqdn">#REF!</definedName>
    <definedName name="input_mgmt_az1_host10_mgmt_ip">#REF!</definedName>
    <definedName name="input_mgmt_az1_host10_vrms_ip">'Site Protection &amp; DR'!$D$185</definedName>
    <definedName name="input_mgmt_az1_host11_fqdn">#REF!</definedName>
    <definedName name="input_mgmt_az1_host11_mgmt_ip">#REF!</definedName>
    <definedName name="input_mgmt_az1_host11_vrms_ip">'Site Protection &amp; DR'!$D$186</definedName>
    <definedName name="input_mgmt_az1_host12_fqdn">#REF!</definedName>
    <definedName name="input_mgmt_az1_host12_mgmt_ip">#REF!</definedName>
    <definedName name="input_mgmt_az1_host12_vrms_ip">'Site Protection &amp; DR'!$D$187</definedName>
    <definedName name="input_mgmt_az1_host13_fqdn">#REF!</definedName>
    <definedName name="input_mgmt_az1_host13_mgmt_ip">#REF!</definedName>
    <definedName name="input_mgmt_az1_host13_vrms_ip">'Site Protection &amp; DR'!$D$188</definedName>
    <definedName name="input_mgmt_az1_host14_fqdn">#REF!</definedName>
    <definedName name="input_mgmt_az1_host14_mgmt_ip">#REF!</definedName>
    <definedName name="input_mgmt_az1_host14_vrms_ip">'Site Protection &amp; DR'!$D$189</definedName>
    <definedName name="input_mgmt_az1_host15_fqdn">#REF!</definedName>
    <definedName name="input_mgmt_az1_host15_mgmt_ip">#REF!</definedName>
    <definedName name="input_mgmt_az1_host15_vrms_ip">'Site Protection &amp; DR'!$D$190</definedName>
    <definedName name="input_mgmt_az1_host16_fqdn">#REF!</definedName>
    <definedName name="input_mgmt_az1_host16_mgmt_ip">#REF!</definedName>
    <definedName name="input_mgmt_az1_host16_vrms_ip">'Site Protection &amp; DR'!$D$191</definedName>
    <definedName name="input_mgmt_az1_host2_fqdn">#REF!</definedName>
    <definedName name="input_mgmt_az1_host2_mgmt_ip">#REF!</definedName>
    <definedName name="input_mgmt_az1_host2_vrms_ip">'Site Protection &amp; DR'!$D$177</definedName>
    <definedName name="input_mgmt_az1_host3_fqdn">#REF!</definedName>
    <definedName name="input_mgmt_az1_host3_mgmt_ip">#REF!</definedName>
    <definedName name="input_mgmt_az1_host3_vrms_ip">'Site Protection &amp; DR'!$D$178</definedName>
    <definedName name="input_mgmt_az1_host4_fqdn">#REF!</definedName>
    <definedName name="input_mgmt_az1_host4_mgmt_ip">#REF!</definedName>
    <definedName name="input_mgmt_az1_host4_vrms_ip">'Site Protection &amp; DR'!$D$179</definedName>
    <definedName name="input_mgmt_az1_host5_fqdn">#REF!</definedName>
    <definedName name="input_mgmt_az1_host5_mgmt_ip">#REF!</definedName>
    <definedName name="input_mgmt_az1_host5_vrms_ip">'Site Protection &amp; DR'!$D$180</definedName>
    <definedName name="input_mgmt_az1_host6_fqdn">#REF!</definedName>
    <definedName name="input_mgmt_az1_host6_mgmt_ip">#REF!</definedName>
    <definedName name="input_mgmt_az1_host6_vrms_ip">'Site Protection &amp; DR'!$D$181</definedName>
    <definedName name="input_mgmt_az1_host7_fqdn">#REF!</definedName>
    <definedName name="input_mgmt_az1_host7_mgmt_ip">#REF!</definedName>
    <definedName name="input_mgmt_az1_host7_vrms_ip">'Site Protection &amp; DR'!$D$182</definedName>
    <definedName name="input_mgmt_az1_host8_fqdn">#REF!</definedName>
    <definedName name="input_mgmt_az1_host8_mgmt_ip">#REF!</definedName>
    <definedName name="input_mgmt_az1_host8_vrms_ip">'Site Protection &amp; DR'!$D$183</definedName>
    <definedName name="input_mgmt_az1_host9_fqdn">#REF!</definedName>
    <definedName name="input_mgmt_az1_host9_mgmt_ip">#REF!</definedName>
    <definedName name="input_mgmt_az1_host9_vrms_ip">'Site Protection &amp; DR'!$D$184</definedName>
    <definedName name="input_mgmt_az1_mgmt_gateway_cidr">#REF!</definedName>
    <definedName name="input_mgmt_az1_mgmt_mtu">#REF!</definedName>
    <definedName name="input_mgmt_az1_mgmt_vlan">#REF!</definedName>
    <definedName name="input_mgmt_az1_mgmt_vm_gateway_cidr">#REF!</definedName>
    <definedName name="input_mgmt_az1_mgmt_vm_mtu">#REF!</definedName>
    <definedName name="input_mgmt_az1_mgmt_vm_vlan">#REF!</definedName>
    <definedName name="input_mgmt_az1_rtep_ip_pool_name">#REF!</definedName>
    <definedName name="input_mgmt_az1_rtep_overlay_cidr">#REF!</definedName>
    <definedName name="input_mgmt_az1_rtep_overlay_gateway_ip">#REF!</definedName>
    <definedName name="input_mgmt_az1_rtep_overlay_vlan">#REF!</definedName>
    <definedName name="input_mgmt_az1_secondary_storage_gateway_cidr">#REF!</definedName>
    <definedName name="input_mgmt_az1_secondary_storage_mtu">#REF!</definedName>
    <definedName name="input_mgmt_az1_secondary_storage_pool_end_ip">#REF!</definedName>
    <definedName name="input_mgmt_az1_secondary_storage_pool_start_ip">#REF!</definedName>
    <definedName name="input_mgmt_az1_secondary_storage_vlan">#REF!</definedName>
    <definedName name="input_mgmt_az1_tor1_peer_asn">#REF!</definedName>
    <definedName name="input_mgmt_az1_tor1_peer_bgp_password">#REF!</definedName>
    <definedName name="input_mgmt_az1_tor1_peer_ip">#REF!</definedName>
    <definedName name="input_mgmt_az1_tor2_peer_asn">#REF!</definedName>
    <definedName name="input_mgmt_az1_tor2_peer_bgp_password">#REF!</definedName>
    <definedName name="input_mgmt_az1_tor2_peer_ip">#REF!</definedName>
    <definedName name="input_mgmt_az1_uplink01_cidr">#REF!</definedName>
    <definedName name="input_mgmt_az1_uplink01_gateway_ip">#REF!</definedName>
    <definedName name="input_mgmt_az1_uplink01_mtu">#REF!</definedName>
    <definedName name="input_mgmt_az1_uplink01_vlan">#REF!</definedName>
    <definedName name="input_mgmt_az1_uplink02_cidr">#REF!</definedName>
    <definedName name="input_mgmt_az1_uplink02_gateway_ip">#REF!</definedName>
    <definedName name="input_mgmt_az1_uplink02_mtu">#REF!</definedName>
    <definedName name="input_mgmt_az1_uplink02_vlan">#REF!</definedName>
    <definedName name="input_mgmt_az1_vcf_mgmt_gateway_cidr">#REF!</definedName>
    <definedName name="input_mgmt_az1_vcf_mgmt_gateway_ipv6_cidr">#REF!</definedName>
    <definedName name="input_mgmt_az1_vcf_mgmt_mtu">#REF!</definedName>
    <definedName name="input_mgmt_az1_vcf_mgmt_vlan">#REF!</definedName>
    <definedName name="input_mgmt_az1_vmotion_gateway_cidr">#REF!</definedName>
    <definedName name="input_mgmt_az1_vmotion_mtu">#REF!</definedName>
    <definedName name="input_mgmt_az1_vmotion_pool_end_ip">#REF!</definedName>
    <definedName name="input_mgmt_az1_vmotion_pool_start_ip">#REF!</definedName>
    <definedName name="input_mgmt_az1_vmotion_vlan">#REF!</definedName>
    <definedName name="input_mgmt_az1_vrms_mask">'Site Protection &amp; DR'!$D$172</definedName>
    <definedName name="input_mgmt_az1_vrms_mtu">'Site Protection &amp; DR'!$D$174</definedName>
    <definedName name="input_mgmt_az1_vrms_vlan">'Site Protection &amp; DR'!$D$163</definedName>
    <definedName name="input_mgmt_az1_vsan_gateway_cidr">#REF!</definedName>
    <definedName name="input_mgmt_az1_vsan_mtu">#REF!</definedName>
    <definedName name="input_mgmt_az1_vsan_pool_end_ip">#REF!</definedName>
    <definedName name="input_mgmt_az1_vsan_pool_start_ip">#REF!</definedName>
    <definedName name="input_mgmt_az1_vsan_vlan">#REF!</definedName>
    <definedName name="input_mgmt_az2_host_overlay_cidr">#REF!</definedName>
    <definedName name="input_mgmt_az2_host_overlay_gateway_ip">#REF!</definedName>
    <definedName name="input_mgmt_az2_host_overlay_mtu">#REF!</definedName>
    <definedName name="input_mgmt_az2_host_overlay_network_pool_name">#REF!</definedName>
    <definedName name="input_mgmt_az2_host_overlay_network_profile_name">#REF!</definedName>
    <definedName name="input_mgmt_az2_host_overlay_pool_end_ip">#REF!</definedName>
    <definedName name="input_mgmt_az2_host_overlay_pool_start_ip">#REF!</definedName>
    <definedName name="input_mgmt_az2_host_overlay_uplink_profile_name">#REF!</definedName>
    <definedName name="input_mgmt_az2_host_overlay_vlan">#REF!</definedName>
    <definedName name="input_mgmt_az2_host1_fqdn">#REF!</definedName>
    <definedName name="input_mgmt_az2_host1_mgmt_ip">#REF!</definedName>
    <definedName name="input_mgmt_az2_host1_sddc_id">#REF!</definedName>
    <definedName name="input_mgmt_az2_host1_vrms_ip">'Site Protection &amp; DR'!$D$193</definedName>
    <definedName name="input_mgmt_az2_host10_fqdn">#REF!</definedName>
    <definedName name="input_mgmt_az2_host10_mgmt_ip">#REF!</definedName>
    <definedName name="input_mgmt_az2_host10_vrms_ip">'Site Protection &amp; DR'!$D$202</definedName>
    <definedName name="input_mgmt_az2_host11_fqdn">#REF!</definedName>
    <definedName name="input_mgmt_az2_host11_mgmt_ip">#REF!</definedName>
    <definedName name="input_mgmt_az2_host11_vrms_ip">'Site Protection &amp; DR'!$D$203</definedName>
    <definedName name="input_mgmt_az2_host12_fqdn">#REF!</definedName>
    <definedName name="input_mgmt_az2_host12_mgmt_ip">#REF!</definedName>
    <definedName name="input_mgmt_az2_host12_vrms_ip">'Site Protection &amp; DR'!$D$204</definedName>
    <definedName name="input_mgmt_az2_host13_fqdn">#REF!</definedName>
    <definedName name="input_mgmt_az2_host13_mgmt_ip">#REF!</definedName>
    <definedName name="input_mgmt_az2_host13_vrms_ip">'Site Protection &amp; DR'!$D$205</definedName>
    <definedName name="input_mgmt_az2_host14_fqdn">#REF!</definedName>
    <definedName name="input_mgmt_az2_host14_mgmt_ip">#REF!</definedName>
    <definedName name="input_mgmt_az2_host14_vrms_ip">'Site Protection &amp; DR'!$D$206</definedName>
    <definedName name="input_mgmt_az2_host15_fqdn">#REF!</definedName>
    <definedName name="input_mgmt_az2_host15_mgmt_ip">#REF!</definedName>
    <definedName name="input_mgmt_az2_host15_vrms_ip">'Site Protection &amp; DR'!$D$207</definedName>
    <definedName name="input_mgmt_az2_host16_fqdn">#REF!</definedName>
    <definedName name="input_mgmt_az2_host16_mgmt_ip">#REF!</definedName>
    <definedName name="input_mgmt_az2_host16_vrms_ip">'Site Protection &amp; DR'!$D$208</definedName>
    <definedName name="input_mgmt_az2_host2_fqdn">#REF!</definedName>
    <definedName name="input_mgmt_az2_host2_mgmt_ip">#REF!</definedName>
    <definedName name="input_mgmt_az2_host2_sddc_id">#REF!</definedName>
    <definedName name="input_mgmt_az2_host2_vrms_ip">'Site Protection &amp; DR'!$D$194</definedName>
    <definedName name="input_mgmt_az2_host3_fqdn">#REF!</definedName>
    <definedName name="input_mgmt_az2_host3_mgmt_ip">#REF!</definedName>
    <definedName name="input_mgmt_az2_host3_sddc_id">#REF!</definedName>
    <definedName name="input_mgmt_az2_host3_vrms_ip">'Site Protection &amp; DR'!$D$195</definedName>
    <definedName name="input_mgmt_az2_host4_fqdn">#REF!</definedName>
    <definedName name="input_mgmt_az2_host4_mgmt_ip">#REF!</definedName>
    <definedName name="input_mgmt_az2_host4_sddc_id">#REF!</definedName>
    <definedName name="input_mgmt_az2_host4_vrms_ip">'Site Protection &amp; DR'!$D$196</definedName>
    <definedName name="input_mgmt_az2_host5_fqdn">#REF!</definedName>
    <definedName name="input_mgmt_az2_host5_mgmt_ip">#REF!</definedName>
    <definedName name="input_mgmt_az2_host5_vrms_ip">'Site Protection &amp; DR'!$D$197</definedName>
    <definedName name="input_mgmt_az2_host6_fqdn">#REF!</definedName>
    <definedName name="input_mgmt_az2_host6_mgmt_ip">#REF!</definedName>
    <definedName name="input_mgmt_az2_host6_vrms_ip">'Site Protection &amp; DR'!$D$198</definedName>
    <definedName name="input_mgmt_az2_host7_fqdn">#REF!</definedName>
    <definedName name="input_mgmt_az2_host7_mgmt_ip">#REF!</definedName>
    <definedName name="input_mgmt_az2_host7_vrms_ip">'Site Protection &amp; DR'!$D$199</definedName>
    <definedName name="input_mgmt_az2_host8_fqdn">#REF!</definedName>
    <definedName name="input_mgmt_az2_host8_mgmt_ip">#REF!</definedName>
    <definedName name="input_mgmt_az2_host8_vrms_ip">'Site Protection &amp; DR'!$D$200</definedName>
    <definedName name="input_mgmt_az2_host9_fqdn">#REF!</definedName>
    <definedName name="input_mgmt_az2_host9_mgmt_ip">#REF!</definedName>
    <definedName name="input_mgmt_az2_host9_vrms_ip">'Site Protection &amp; DR'!$D$201</definedName>
    <definedName name="input_mgmt_az2_mgmt_cidr">#REF!</definedName>
    <definedName name="input_mgmt_az2_mgmt_gateway_ip">#REF!</definedName>
    <definedName name="input_mgmt_az2_mgmt_mtu">#REF!</definedName>
    <definedName name="input_mgmt_az2_mgmt_vlan">#REF!</definedName>
    <definedName name="input_mgmt_az2_pool_name">#REF!</definedName>
    <definedName name="input_mgmt_az2_secondary_storage_gateway_ip">#REF!</definedName>
    <definedName name="input_mgmt_az2_secondary_storage_mask">#REF!</definedName>
    <definedName name="input_mgmt_az2_secondary_storage_mtu">#REF!</definedName>
    <definedName name="input_mgmt_az2_secondary_storage_network">#REF!</definedName>
    <definedName name="input_mgmt_az2_secondary_storage_pool_end_ip">#REF!</definedName>
    <definedName name="input_mgmt_az2_secondary_storage_pool_start_ip">#REF!</definedName>
    <definedName name="input_mgmt_az2_secondary_storage_vlan">#REF!</definedName>
    <definedName name="input_mgmt_az2_tor1_peer_asn">#REF!</definedName>
    <definedName name="input_mgmt_az2_tor1_peer_bgp_password">#REF!</definedName>
    <definedName name="input_mgmt_az2_tor1_peer_ip">#REF!</definedName>
    <definedName name="input_mgmt_az2_tor2_peer_asn">#REF!</definedName>
    <definedName name="input_mgmt_az2_tor2_peer_bgp_password">#REF!</definedName>
    <definedName name="input_mgmt_az2_tor2_peer_ip">#REF!</definedName>
    <definedName name="input_mgmt_az2_vmotion_gateway_ip">#REF!</definedName>
    <definedName name="input_mgmt_az2_vmotion_mask">#REF!</definedName>
    <definedName name="input_mgmt_az2_vmotion_mtu">#REF!</definedName>
    <definedName name="input_mgmt_az2_vmotion_network">#REF!</definedName>
    <definedName name="input_mgmt_az2_vmotion_pool_end_ip">#REF!</definedName>
    <definedName name="input_mgmt_az2_vmotion_pool_start_ip">#REF!</definedName>
    <definedName name="input_mgmt_az2_vmotion_vlan">#REF!</definedName>
    <definedName name="input_mgmt_az2_vsan_gateway_ip">#REF!</definedName>
    <definedName name="input_mgmt_az2_vsan_mask">#REF!</definedName>
    <definedName name="input_mgmt_az2_vsan_mtu">#REF!</definedName>
    <definedName name="input_mgmt_az2_vsan_network">#REF!</definedName>
    <definedName name="input_mgmt_az2_vsan_pool_end_ip">#REF!</definedName>
    <definedName name="input_mgmt_az2_vsan_pool_start_ip">#REF!</definedName>
    <definedName name="input_mgmt_az2_vsan_vlan">#REF!</definedName>
    <definedName name="input_mgmt_cl01_az1_mgmt_pg">#REF!</definedName>
    <definedName name="input_mgmt_cl01_az1_mgmt_vm_pg">#REF!</definedName>
    <definedName name="input_mgmt_cl01_az1_nfs_pg">#REF!</definedName>
    <definedName name="input_mgmt_cl01_az1_uplink01_pg">#REF!</definedName>
    <definedName name="input_mgmt_cl01_az1_uplink02_pg">#REF!</definedName>
    <definedName name="input_mgmt_cl01_az1_vcf_mgmt_pg">#REF!</definedName>
    <definedName name="input_mgmt_cl01_az1_vmotion_pg">#REF!</definedName>
    <definedName name="input_mgmt_cl01_az1_vsan_pg">#REF!</definedName>
    <definedName name="input_mgmt_cl01_cluster">#REF!</definedName>
    <definedName name="input_mgmt_cl01_cluster_sddc_id">#REF!</definedName>
    <definedName name="input_mgmt_cl01_nfs_server_ip">#REF!</definedName>
    <definedName name="input_mgmt_cl01_nfs_share">#REF!</definedName>
    <definedName name="input_mgmt_cl01_vds01_lag_name">#REF!</definedName>
    <definedName name="input_mgmt_cl01_vds01_mtu">#REF!</definedName>
    <definedName name="input_mgmt_cl01_vds01_name">#REF!</definedName>
    <definedName name="input_mgmt_cl01_vds01_uplink_count">#REF!</definedName>
    <definedName name="input_mgmt_cl01_vds01_uplink1">#REF!</definedName>
    <definedName name="input_mgmt_cl01_vds01_uplink2">#REF!</definedName>
    <definedName name="input_mgmt_cl01_vds02_lag_name">#REF!</definedName>
    <definedName name="input_mgmt_cl01_vds02_mtu">#REF!</definedName>
    <definedName name="input_mgmt_cl01_vds02_name">#REF!</definedName>
    <definedName name="input_mgmt_cl01_vds02_uplink_count">#REF!</definedName>
    <definedName name="input_mgmt_cl01_vds02_uplink1">#REF!</definedName>
    <definedName name="input_mgmt_cl01_vds02_uplink2">#REF!</definedName>
    <definedName name="input_mgmt_cl01_vds03_lag_name">#REF!</definedName>
    <definedName name="input_mgmt_cl01_vds03_mtu">#REF!</definedName>
    <definedName name="input_mgmt_cl01_vds03_name">#REF!</definedName>
    <definedName name="input_mgmt_cl01_vds03_uplink_count">#REF!</definedName>
    <definedName name="input_mgmt_cl01_vds03_uplink1">#REF!</definedName>
    <definedName name="input_mgmt_cl01_vds03_uplink2">#REF!</definedName>
    <definedName name="input_mgmt_cl01_vsan_datastore">#REF!</definedName>
    <definedName name="input_mgmt_cross_instance_linked_t0_name">#REF!</definedName>
    <definedName name="input_mgmt_datacenter">#REF!</definedName>
    <definedName name="input_mgmt_depot_activation_code">#REF!</definedName>
    <definedName name="input_mgmt_ec_mtu">#REF!</definedName>
    <definedName name="input_mgmt_ec_name">#REF!</definedName>
    <definedName name="input_mgmt_ec_rp_name">#REF!</definedName>
    <definedName name="input_mgmt_ec01_en01_host_group_affinity_rule_name">#REF!</definedName>
    <definedName name="input_mgmt_ec01_en02_host_group_affinity_rule_name">#REF!</definedName>
    <definedName name="input_mgmt_en_asn">#REF!</definedName>
    <definedName name="input_mgmt_existing_active_nsx_gm">#REF!</definedName>
    <definedName name="input_mgmt_existing_cross_instance_t0_name">#REF!</definedName>
    <definedName name="input_mgmt_host_overlay_transportzone">Arkham!$Y$5</definedName>
    <definedName name="input_mgmt_internet_proxy_address">#REF!</definedName>
    <definedName name="input_mgmt_internet_proxy_email">#REF!</definedName>
    <definedName name="input_mgmt_internet_proxy_password">#REF!</definedName>
    <definedName name="input_mgmt_internet_proxy_port">#REF!</definedName>
    <definedName name="input_mgmt_nsxt_en_admin_password">#REF!</definedName>
    <definedName name="input_mgmt_nsxt_en_root_password">#REF!</definedName>
    <definedName name="input_mgmt_nsxt_federation_global_manager_name">#REF!</definedName>
    <definedName name="input_mgmt_nsxt_federation_location_name">#REF!</definedName>
    <definedName name="input_mgmt_nsxt_global_mgr_anti_affinity_rule_name">#REF!</definedName>
    <definedName name="input_mgmt_nsxt_global_mgr_certificate_id">#REF!</definedName>
    <definedName name="input_mgmt_nsxt_global_mgr_cluster_id">#REF!</definedName>
    <definedName name="input_mgmt_nsxt_global_mgr_vmca_signed_thumbprint">#REF!</definedName>
    <definedName name="input_mgmt_nsxt_global_mgra_fqdn">#REF!</definedName>
    <definedName name="input_mgmt_nsxt_global_mgra_hostname">#REF!</definedName>
    <definedName name="input_mgmt_nsxt_global_mgra_ip">#REF!</definedName>
    <definedName name="input_mgmt_nsxt_global_mgrb_fqdn">#REF!</definedName>
    <definedName name="input_mgmt_nsxt_global_mgrb_hostname">#REF!</definedName>
    <definedName name="input_mgmt_nsxt_global_mgrb_ip">#REF!</definedName>
    <definedName name="input_mgmt_nsxt_global_mgrc_fqdn">#REF!</definedName>
    <definedName name="input_mgmt_nsxt_global_mgrc_hostname">#REF!</definedName>
    <definedName name="input_mgmt_nsxt_global_mgrc_ip">#REF!</definedName>
    <definedName name="input_mgmt_nsxt_gm_fingerprint">#REF!</definedName>
    <definedName name="input_mgmt_nsxt_gm_vip_fqdn">#REF!</definedName>
    <definedName name="input_mgmt_nsxt_gm_vip_ip">#REF!</definedName>
    <definedName name="input_mgmt_nsxt_lm_fingerprint">#REF!</definedName>
    <definedName name="input_mgmt_nsxt_mgra_fqdn">#REF!</definedName>
    <definedName name="input_mgmt_nsxt_mgra_ip">#REF!</definedName>
    <definedName name="input_mgmt_nsxt_mgrb_fqdn">#REF!</definedName>
    <definedName name="input_mgmt_nsxt_mgrb_ip">#REF!</definedName>
    <definedName name="input_mgmt_nsxt_mgrc_fqdn">#REF!</definedName>
    <definedName name="input_mgmt_nsxt_mgrc_ip">#REF!</definedName>
    <definedName name="input_mgmt_nsxt_vip_fqdn">#REF!</definedName>
    <definedName name="input_mgmt_nsxt_vip_ip">#REF!</definedName>
    <definedName name="input_mgmt_nsxt_xreg_t1_name">#REF!</definedName>
    <definedName name="input_mgmt_offline_depot_fqdn">#REF!</definedName>
    <definedName name="input_mgmt_offline_depot_port">#REF!</definedName>
    <definedName name="input_mgmt_recovery_lb_creation_method">'Dumping Ground'!$D$53</definedName>
    <definedName name="input_mgmt_rtep_overlay_pool_end_ip">#REF!</definedName>
    <definedName name="input_mgmt_rtep_overlay_pool_start_ip">#REF!</definedName>
    <definedName name="input_mgmt_rwr_recovery_site_az1_mgmt_cidr">'On-Premises Ransomware Recovery'!$D$101</definedName>
    <definedName name="input_mgmt_rwr_vc_fqdn">'On-Premises Ransomware Recovery'!$D$9</definedName>
    <definedName name="input_mgmt_sddc_domain">#REF!</definedName>
    <definedName name="input_mgmt_srm_admin_email">'Dumping Ground'!$D$41</definedName>
    <definedName name="input_mgmt_srm_admin_password">'Dumping Ground'!$D$38</definedName>
    <definedName name="input_mgmt_srm_database_password">'Dumping Ground'!$D$39</definedName>
    <definedName name="input_mgmt_srm_days">'Site Protection &amp; DR'!$D$255</definedName>
    <definedName name="input_mgmt_srm_instances_per_day">'Site Protection &amp; DR'!$D$254</definedName>
    <definedName name="input_mgmt_srm_ip">'Dumping Ground'!$G$6</definedName>
    <definedName name="input_mgmt_srm_logs_pg">'Site Protection &amp; DR'!$D$282</definedName>
    <definedName name="input_mgmt_srm_logs_rp">'Site Protection &amp; DR'!$D$283</definedName>
    <definedName name="input_mgmt_srm_net_pg">'Site Protection &amp; DR'!$D$307</definedName>
    <definedName name="input_mgmt_srm_net_rp">'Site Protection &amp; DR'!$D$308</definedName>
    <definedName name="input_mgmt_srm_p12_password">'Dumping Ground'!$D$42</definedName>
    <definedName name="input_mgmt_srm_recovery_cluster">'Site Protection &amp; DR'!$D$324</definedName>
    <definedName name="input_mgmt_srm_recovery_datastore">'Site Protection &amp; DR'!$D$252</definedName>
    <definedName name="input_mgmt_srm_recovery_gateway">'Site Protection &amp; DR'!$D$382</definedName>
    <definedName name="input_mgmt_srm_recovery_mask">'Site Protection &amp; DR'!$D$383</definedName>
    <definedName name="input_mgmt_srm_recovery_nsx_ec_name">'Dumping Ground'!$D$60</definedName>
    <definedName name="input_mgmt_srm_recovery_nsx_location">'Dumping Ground'!$D$59</definedName>
    <definedName name="input_mgmt_srm_recovery_pg">'Site Protection &amp; DR'!$D$376</definedName>
    <definedName name="input_mgmt_srm_recovery_sddc_manager_domain">'Dumping Ground'!$D$58</definedName>
    <definedName name="input_mgmt_srm_recovery_sddc_manager_fqdn">'Dumping Ground'!$D$17</definedName>
    <definedName name="input_mgmt_srm_recovery_sddc_manager_password">'Dumping Ground'!$D$19</definedName>
    <definedName name="input_mgmt_srm_recovery_sddc_manager_username">'Dumping Ground'!$D$18</definedName>
    <definedName name="input_mgmt_srm_recovery_t1_si_ip">'Dumping Ground'!$G$7</definedName>
    <definedName name="input_mgmt_srm_recovery_vcenter_fqdn">'Site Protection &amp; DR'!$D$217</definedName>
    <definedName name="input_mgmt_srm_recovery_vcenter_password">'Site Protection &amp; DR'!$D$219</definedName>
    <definedName name="input_mgmt_srm_recovery_vcenter_username">'Site Protection &amp; DR'!$D$218</definedName>
    <definedName name="input_mgmt_srm_root_password">'Dumping Ground'!$D$37</definedName>
    <definedName name="input_mgmt_srm_rpo">'Site Protection &amp; DR'!$D$253</definedName>
    <definedName name="input_mgmt_srm_site_name">'Dumping Ground'!$D$40</definedName>
    <definedName name="input_mgmt_srm_sso_domain_membership">'Dumping Ground'!$D$64</definedName>
    <definedName name="input_mgmt_srm_vm_folder">'Dumping Ground'!$D$36</definedName>
    <definedName name="input_mgmt_srm_vm_size">#REF!</definedName>
    <definedName name="input_mgmt_srm_vra_pg">'Dumping Ground'!$D$50</definedName>
    <definedName name="input_mgmt_srm_vra_rp">'Dumping Ground'!$D$51</definedName>
    <definedName name="input_mgmt_srm_vrops_pg">'Site Protection &amp; DR'!$D$256</definedName>
    <definedName name="input_mgmt_srm_vrops_rp">'Site Protection &amp; DR'!$D$257</definedName>
    <definedName name="input_mgmt_srm_vrslcm_wsa_pg">'Dumping Ground'!$D$46</definedName>
    <definedName name="input_mgmt_srm_vrslcm_wsa_rp">'Dumping Ground'!$D$47</definedName>
    <definedName name="input_mgmt_sso_domain">#REF!</definedName>
    <definedName name="input_mgmt_sso_domain_username">#REF!</definedName>
    <definedName name="input_mgmt_supvr_api_server_fqdn">#REF!</definedName>
    <definedName name="input_mgmt_supvr_cp_storage_policy">#REF!</definedName>
    <definedName name="input_mgmt_supvr_ed_storage_policy">#REF!</definedName>
    <definedName name="input_mgmt_supvr_ic_storage_policy">#REF!</definedName>
    <definedName name="input_mgmt_supvr_ip_address_range">#REF!</definedName>
    <definedName name="input_mgmt_supvr_mgmt_dns_server">#REF!</definedName>
    <definedName name="input_mgmt_supvr_mgmt_dns_zones">#REF!</definedName>
    <definedName name="input_mgmt_supvr_mgmt_ntp_server">#REF!</definedName>
    <definedName name="input_mgmt_supvr_name">#REF!</definedName>
    <definedName name="input_mgmt_supvr_nsx_project">#REF!</definedName>
    <definedName name="input_mgmt_supvr_vpc_connectivity_profile">#REF!</definedName>
    <definedName name="input_mgmt_supvr_vpc_ext_ip_blocks_name">#REF!</definedName>
    <definedName name="input_mgmt_supvr_vpc_priv_cidr">#REF!</definedName>
    <definedName name="input_mgmt_supvr_vpc_priv_ip_blocks_name">#REF!</definedName>
    <definedName name="input_mgmt_supvr_vpc_service_cidr">#REF!</definedName>
    <definedName name="input_mgmt_supvr_wld_dns_server">#REF!</definedName>
    <definedName name="input_mgmt_supvr_wld_ntp_server">#REF!</definedName>
    <definedName name="input_mgmt_supvr_zone_name">#REF!</definedName>
    <definedName name="input_mgmt_tier0_name">#REF!</definedName>
    <definedName name="input_mgmt_tier1_name">'Value Reference Tables'!$U$208</definedName>
    <definedName name="input_mgmt_vc_fqdn">#REF!</definedName>
    <definedName name="input_mgmt_vc_ip">#REF!</definedName>
    <definedName name="input_mgmt_vna_rp_name">#REF!</definedName>
    <definedName name="input_mgmt_vnaa_cidr">#REF!</definedName>
    <definedName name="input_mgmt_vnaa_fqdn">#REF!</definedName>
    <definedName name="input_mgmt_vnab_cidr">#REF!</definedName>
    <definedName name="input_mgmt_vnab_fqdn">#REF!</definedName>
    <definedName name="input_mgmt_vpc_ext_ip_blocks_cidr">#REF!</definedName>
    <definedName name="input_mgmt_vpc_ext_ip_blocks_excluded_ips">#REF!</definedName>
    <definedName name="input_mgmt_vpc_ext_ip_blocks_name">#REF!</definedName>
    <definedName name="input_mgmt_vpc_ext_ip_blocks_reserved">#REF!</definedName>
    <definedName name="input_mgmt_vpc_ext_ip_blocks_visability">#REF!</definedName>
    <definedName name="input_mgmt_vpc_priv_ip_blocks_excluded_ips">#REF!</definedName>
    <definedName name="input_mgmt_vpc_priv_ip_blocks_name">#REF!</definedName>
    <definedName name="input_mgmt_vpc_priv_ip_blocks_reserved">#REF!</definedName>
    <definedName name="input_mgmt_vpc_priv_ip_blocks_visability">#REF!</definedName>
    <definedName name="input_mgmt_vpc_transit_gateway_ip_blocks_cidr">#REF!</definedName>
    <definedName name="input_mgmt_vpc_vna_cluster_name">#REF!</definedName>
    <definedName name="input_mgmt_vrms_admin_email">'Site Protection &amp; DR'!$D$153</definedName>
    <definedName name="input_mgmt_vrms_admin_password">'Dumping Ground'!$D$30</definedName>
    <definedName name="input_mgmt_vrms_hostname">'Dumping Ground'!$E$4</definedName>
    <definedName name="input_mgmt_vrms_mgmt_ip">'Site Protection &amp; DR'!$D$113</definedName>
    <definedName name="input_mgmt_vrms_p12_password">'Dumping Ground'!$D$34</definedName>
    <definedName name="input_mgmt_vrms_pg">'Site Protection &amp; DR'!$D$162</definedName>
    <definedName name="input_mgmt_vrms_recovery_replication_cidr">'Dumping Ground'!$D$63</definedName>
    <definedName name="input_mgmt_vrms_root_password">'Dumping Ground'!$D$29</definedName>
    <definedName name="input_mgmt_vrms_site_name">'Site Protection &amp; DR'!$D$152</definedName>
    <definedName name="input_mgmt_vrms_vm_folder">'Dumping Ground'!$D$28</definedName>
    <definedName name="input_mgmt_vrms_vrms_ip">'Dumping Ground'!$G$5</definedName>
    <definedName name="input_mgmt_vsan_dit_rekey_custom_interval">#REF!</definedName>
    <definedName name="input_mgmt_vsan_dit_rekey_default_interval">#REF!</definedName>
    <definedName name="input_mgmt_witness_cluster">#REF!</definedName>
    <definedName name="input_mgmt_witness_dns1_ip">#REF!</definedName>
    <definedName name="input_mgmt_witness_dns2_ip">#REF!</definedName>
    <definedName name="input_mgmt_witness_fqdn">#REF!</definedName>
    <definedName name="input_mgmt_witness_hostname">#REF!</definedName>
    <definedName name="input_mgmt_witness_ip">#REF!</definedName>
    <definedName name="input_mgmt_witness_mgmt_pg">#REF!</definedName>
    <definedName name="input_mgmt_witness_ntp1_server">#REF!</definedName>
    <definedName name="input_mgmt_witness_ntp2_server">#REF!</definedName>
    <definedName name="input_mgmt_witness_root_password">#REF!</definedName>
    <definedName name="input_mgmt_witness_vm_folder">#REF!</definedName>
    <definedName name="input_mgmt_witness_vsan_datastore">#REF!</definedName>
    <definedName name="input_mgmt_witness_zone_vc_fqdn">#REF!</definedName>
    <definedName name="input_mgmt_witness_zone_vc_ip">#REF!</definedName>
    <definedName name="input_mgmt_witnessaz_mgmt_cidr">#REF!</definedName>
    <definedName name="input_mgmt_witnessaz_mgmt_gateway_ip">#REF!</definedName>
    <definedName name="input_mgmt_witnessaz_mgmt_mtu">#REF!</definedName>
    <definedName name="input_mgmt_witnessaz_mgmt_vlan">#REF!</definedName>
    <definedName name="input_nsxt_gm_admin_password">#REF!</definedName>
    <definedName name="input_nsxt_gm_audit_password">#REF!</definedName>
    <definedName name="input_nsxt_gm_root_password">#REF!</definedName>
    <definedName name="input_nsxt_lm_admin_password">#REF!</definedName>
    <definedName name="input_nsxt_lm_audit_password">#REF!</definedName>
    <definedName name="input_nsxt_lm_root_password">#REF!</definedName>
    <definedName name="input_parent_ad_groups_ou">'Active Directory Inputs'!$E$10</definedName>
    <definedName name="input_parent_ad_users_ou">'Active Directory Inputs'!$G$10</definedName>
    <definedName name="input_parent_dns_zone">#REF!</definedName>
    <definedName name="input_parent_gg_wsa_admins_group">'Active Directory Inputs'!$E$59</definedName>
    <definedName name="input_parent_gg_wsa_directory_admins_group">'Active Directory Inputs'!$E$60</definedName>
    <definedName name="input_parent_gg_wsa_read_only_group">'Active Directory Inputs'!$E$61</definedName>
    <definedName name="input_region_ad_child_fqdn">'Active Directory Inputs'!$E$9</definedName>
    <definedName name="input_region_ad_child_netbios">'Active Directory Inputs'!$G$9</definedName>
    <definedName name="input_region_ad_parent_fqdn">'Active Directory Inputs'!$E$8</definedName>
    <definedName name="input_region_ad_parent_netbios">'Active Directory Inputs'!$G$8</definedName>
    <definedName name="input_region_dns1_ip">#REF!</definedName>
    <definedName name="input_region_dns2_ip">#REF!</definedName>
    <definedName name="input_region_ntp1_server">#REF!</definedName>
    <definedName name="input_region_ntp2_server">#REF!</definedName>
    <definedName name="input_rwr_child_dns_zone">'On-Premises Ransomware Recovery'!$D$20</definedName>
    <definedName name="input_rwr_datacenter">'On-Premises Ransomware Recovery'!$D$143</definedName>
    <definedName name="input_rwr_sso_domain_name">'On-Premises Ransomware Recovery'!$D$43</definedName>
    <definedName name="input_rwr_vlr_replication_password">'On-Premises Ransomware Recovery'!$D$45</definedName>
    <definedName name="input_rwr_vrms_pg">'On-Premises Ransomware Recovery'!$D$71</definedName>
    <definedName name="input_sddc_mgr_admin_local_password">#REF!</definedName>
    <definedName name="input_sddc_mgr_fqdn">#REF!</definedName>
    <definedName name="input_sddc_mgr_ip">#REF!</definedName>
    <definedName name="input_sddc_mgr_root_password">#REF!</definedName>
    <definedName name="input_sddc_mgr_vcf_password">#REF!</definedName>
    <definedName name="input_sftp_server">#REF!</definedName>
    <definedName name="input_sftp_server_backup_dir">#REF!</definedName>
    <definedName name="input_sftp_server_passphrase">#REF!</definedName>
    <definedName name="input_sftp_server_port">#REF!</definedName>
    <definedName name="input_sftp_server_protocol">#REF!</definedName>
    <definedName name="input_sftp_server_sshfingerprint">#REF!</definedName>
    <definedName name="input_smtp_server">Arkham!$C$16</definedName>
    <definedName name="input_smtp_server_port">Arkham!$C$17</definedName>
    <definedName name="input_svc_cbr_vcdr_vsphere_password">'Cloud-Based Ransomware Recovery'!$D$16</definedName>
    <definedName name="input_svc_cbr_vcdr_vsphere_user">'Cloud-Based Ransomware Recovery'!$D$15</definedName>
    <definedName name="input_svc_ccm_hcx_nsx_password">'Active Directory Inputs'!$G$49</definedName>
    <definedName name="input_svc_ccm_hcx_nsx_user">'Active Directory Inputs'!$E$49</definedName>
    <definedName name="input_svc_ccm_hcx_vsphere_password">'Active Directory Inputs'!$G$48</definedName>
    <definedName name="input_svc_ccm_hcx_vsphere_user">'Active Directory Inputs'!$E$48</definedName>
    <definedName name="input_svc_hrm_vrops_user">'Active Directory Inputs'!$E$45</definedName>
    <definedName name="input_svc_ila_ad_password">'Active Directory Inputs'!$G$24</definedName>
    <definedName name="input_svc_ila_ad_user">'Active Directory Inputs'!$E$24</definedName>
    <definedName name="input_svc_inv_ad_password">'Active Directory Inputs'!$G$32</definedName>
    <definedName name="input_svc_inv_ad_user">'Active Directory Inputs'!$E$32</definedName>
    <definedName name="input_svc_inv_vrops_password">'Active Directory Inputs'!$G$34</definedName>
    <definedName name="input_svc_inv_vrops_user">'Active Directory Inputs'!$E$34</definedName>
    <definedName name="input_svc_inv_vsphere_password">'Active Directory Inputs'!$G$33</definedName>
    <definedName name="input_svc_inv_vsphere_user">'Active Directory Inputs'!$E$33</definedName>
    <definedName name="input_svc_iom_vcf_password">'Active Directory Inputs'!$G$27</definedName>
    <definedName name="input_svc_iom_vcf_user">'Active Directory Inputs'!$E$27</definedName>
    <definedName name="input_svc_iom_vsphere_password">'Active Directory Inputs'!$G$28</definedName>
    <definedName name="input_svc_iom_vsphere_user">'Active Directory Inputs'!$E$28</definedName>
    <definedName name="input_svc_my_vmware_password">#REF!</definedName>
    <definedName name="input_svc_vcf_bck_password">#REF!</definedName>
    <definedName name="input_svc_vcf_bck_user">#REF!</definedName>
    <definedName name="input_svc_vcf_ca_vcf_password">#REF!</definedName>
    <definedName name="input_svc_vcf_ca_vcf_user">#REF!</definedName>
    <definedName name="input_svc_vra_nsx_password">'Active Directory Inputs'!$G$38</definedName>
    <definedName name="input_svc_vra_nsx_user">'Active Directory Inputs'!$E$38</definedName>
    <definedName name="input_svc_vra_vcf_password">'Active Directory Inputs'!$G$39</definedName>
    <definedName name="input_svc_vra_vcf_user">'Active Directory Inputs'!$E$39</definedName>
    <definedName name="input_svc_vra_vrops_password">'Active Directory Inputs'!$G$41</definedName>
    <definedName name="input_svc_vra_vrops_user">'Active Directory Inputs'!$E$41</definedName>
    <definedName name="input_svc_vra_vsphere_password">'Active Directory Inputs'!$G$37</definedName>
    <definedName name="input_svc_vra_vsphere_user">'Active Directory Inputs'!$E$37</definedName>
    <definedName name="input_svc_vro_vsphere_password">'Active Directory Inputs'!$G$40</definedName>
    <definedName name="input_svc_vro_vsphere_user">'Active Directory Inputs'!$E$40</definedName>
    <definedName name="input_svc_vrops_vra_password">'Active Directory Inputs'!$G$29</definedName>
    <definedName name="input_svc_vrops_vra_user">'Active Directory Inputs'!$E$29</definedName>
    <definedName name="input_vcenter_root_password">#REF!</definedName>
    <definedName name="input_vcf_automation_additional_vips">Arkham!$Y$56</definedName>
    <definedName name="input_vcf_automation_admin_password">#REF!</definedName>
    <definedName name="input_vcf_automation_admin_password_alias">Arkham!$Y$41</definedName>
    <definedName name="input_vcf_automation_admin_password_description">Arkham!$Y$42</definedName>
    <definedName name="input_vcf_automation_admin_username">Arkham!$Y$43</definedName>
    <definedName name="input_vcf_automation_auto_sr_fqdn">#REF!</definedName>
    <definedName name="input_vcf_automation_cert_alias">Arkham!$Y$15</definedName>
    <definedName name="input_vcf_automation_cert_common_name">Arkham!$Y$17</definedName>
    <definedName name="input_vcf_automation_cert_country_code">Arkham!$Y$20</definedName>
    <definedName name="input_vcf_automation_cert_file">Arkham!$Y$16</definedName>
    <definedName name="input_vcf_automation_cert_locality">Arkham!$Y$21</definedName>
    <definedName name="input_vcf_automation_cert_organisation">Arkham!$Y$18</definedName>
    <definedName name="input_vcf_automation_cert_state">Arkham!$Y$22</definedName>
    <definedName name="input_vcf_automation_folder">Arkham!$Y$28</definedName>
    <definedName name="input_vcf_automation_gateway_ip">Arkham!$Y$38</definedName>
    <definedName name="input_vcf_automation_mask">Arkham!$Y$39</definedName>
    <definedName name="input_vcf_automation_nodea_ip">Arkham!$Y$57</definedName>
    <definedName name="input_vcf_automation_nodeb_ip">Arkham!$Y$58</definedName>
    <definedName name="input_vcf_automation_nodec_ip">Arkham!$Y$59</definedName>
    <definedName name="input_vcf_automation_noded_ip">Arkham!$Y$60</definedName>
    <definedName name="input_vcf_automation_nodee_ip">Arkham!$Y$61</definedName>
    <definedName name="input_vcf_automation_nodeef_ip">Arkham!$Y$62</definedName>
    <definedName name="input_vcf_automation_ou_cert">Arkham!$Y$19</definedName>
    <definedName name="input_vcf_automation_portgroup">Arkham!$Y$30</definedName>
    <definedName name="input_vcf_automation_resource_pool">Arkham!$Y$29</definedName>
    <definedName name="input_vcf_automation_root_password">Arkham!$Y$45</definedName>
    <definedName name="input_vcf_automation_root_password_alias">Arkham!$Y$44</definedName>
    <definedName name="input_vcf_automation_root_password_description">Arkham!$Y$46</definedName>
    <definedName name="input_vcf_automation_root_username">Arkham!$Y$47</definedName>
    <definedName name="input_vcf_automation_runtime_cidr">#REF!</definedName>
    <definedName name="input_vcf_automation_sr_ip">#REF!</definedName>
    <definedName name="input_vcf_automation_version">#REF!</definedName>
    <definedName name="input_vcf_automation_vip_fqdn">#REF!</definedName>
    <definedName name="input_vcf_automation_vip_ip">#REF!</definedName>
    <definedName name="input_vcf_installer_fqdn">#REF!</definedName>
    <definedName name="input_vcf_installer_ip">#REF!</definedName>
    <definedName name="input_vcf_instance_name">#REF!</definedName>
    <definedName name="input_vrslcm_admin_password">#REF!</definedName>
    <definedName name="input_vvs_dr_dns1_ip">'Site Protection &amp; DR'!$D$69</definedName>
    <definedName name="input_vvs_dr_dns2_ip">'Site Protection &amp; DR'!$D$70</definedName>
    <definedName name="input_vvs_dr_flt_auto_fqdn">'Site Protection &amp; DR'!$D$67</definedName>
    <definedName name="input_vvs_dr_flt_fleet_manager_fqdn">'Site Protection &amp; DR'!$D$13</definedName>
    <definedName name="input_vvs_dr_flt_logs_nodea_fqdn">'Site Protection &amp; DR'!$D$35</definedName>
    <definedName name="input_vvs_dr_flt_logs_nodeb_fqdn">'Site Protection &amp; DR'!$D$36</definedName>
    <definedName name="input_vvs_dr_flt_logs_nodec_fqdn">'Site Protection &amp; DR'!$D$37</definedName>
    <definedName name="input_vvs_dr_flt_net_nodea_fqdn">'Site Protection &amp; DR'!$D$38</definedName>
    <definedName name="input_vvs_dr_flt_net_nodeb_fqdn">'Site Protection &amp; DR'!$D$39</definedName>
    <definedName name="input_vvs_dr_flt_net_nodec_fqdn">'Site Protection &amp; DR'!$D$40</definedName>
    <definedName name="input_vvs_dr_flt_ops_nodea_fqdn">'Site Protection &amp; DR'!$D$21</definedName>
    <definedName name="input_vvs_dr_flt_ops_nodeb_fqdn">'Site Protection &amp; DR'!$D$33</definedName>
    <definedName name="input_vvs_dr_flt_ops_nodec_fqdn">'Site Protection &amp; DR'!$D$34</definedName>
    <definedName name="input_vvs_dr_mgmt_az1_mgmt_vm_pg">'Site Protection &amp; DR'!$D$104</definedName>
    <definedName name="input_vvs_dr_mgmt_cl01_cluster">'Site Protection &amp; DR'!$D$100</definedName>
    <definedName name="input_vvs_dr_mgmt_cl01_datastore">'Site Protection &amp; DR'!$D$103</definedName>
    <definedName name="input_vvs_dr_mgmt_vc_fqdn">'Site Protection &amp; DR'!$D$99</definedName>
    <definedName name="input_vvs_dr_ntp1_server">'Site Protection &amp; DR'!$D$23</definedName>
    <definedName name="input_vvs_dr_parent_dns_zone">'Site Protection &amp; DR'!$D$17</definedName>
    <definedName name="input_vvs_dr_sso_domain">'Site Protection &amp; DR'!$D$133</definedName>
    <definedName name="input_vvs_dr_vr_password">'Site Protection &amp; DR'!$D$135</definedName>
    <definedName name="input_vvs_dr_vr_username">'Site Protection &amp; DR'!$D$134</definedName>
    <definedName name="input_vvs_mgmt_dr_vlr_fqdn">'Site Protection &amp; DR'!$D$105</definedName>
    <definedName name="input_vvs_mgmt_dr_vlr_hostname">'Site Protection &amp; DR'!$D$101</definedName>
    <definedName name="input_witness_dns_zone">Arkham!$C$12</definedName>
    <definedName name="input_wld_administrator_vsphere_local_password">#REF!</definedName>
    <definedName name="input_wld_avilb_cluster_name">#REF!</definedName>
    <definedName name="input_wld_avilb_cluster_version">#REF!</definedName>
    <definedName name="input_wld_avilb_fqdn">#REF!</definedName>
    <definedName name="input_wld_avilb_ip">#REF!</definedName>
    <definedName name="input_wld_avilb_mgra_ip">#REF!</definedName>
    <definedName name="input_wld_avilb_mgrb_ip">#REF!</definedName>
    <definedName name="input_wld_avilb_mgrc_ip">#REF!</definedName>
    <definedName name="input_wld_az1_dtgw_gateway_cidr">#REF!</definedName>
    <definedName name="input_wld_az1_dtgw_vlan">#REF!</definedName>
    <definedName name="input_wld_az1_edge_overlay_cidr">#REF!</definedName>
    <definedName name="input_wld_az1_edge_overlay_gateway_ip">#REF!</definedName>
    <definedName name="input_wld_az1_edge_overlay_mask">#REF!</definedName>
    <definedName name="input_wld_az1_edge_overlay_network_pool_name">#REF!</definedName>
    <definedName name="input_wld_az1_edge_overlay_pool_end_ip">#REF!</definedName>
    <definedName name="input_wld_az1_edge_overlay_pool_start_ip">#REF!</definedName>
    <definedName name="input_wld_az1_edge_overlay_vlan">#REF!</definedName>
    <definedName name="input_wld_az1_en1_edge_overlay_interface_ip_1_ip">#REF!</definedName>
    <definedName name="input_wld_az1_en1_edge_overlay_interface_ip_2_ip">#REF!</definedName>
    <definedName name="input_wld_az1_en1_eth0_uplink0">#REF!</definedName>
    <definedName name="input_wld_az1_en1_eth0_uplink1">#REF!</definedName>
    <definedName name="input_wld_az1_en1_eth1_uplink0">#REF!</definedName>
    <definedName name="input_wld_az1_en1_eth1_uplink1">#REF!</definedName>
    <definedName name="input_wld_az1_en1_fqdn">#REF!</definedName>
    <definedName name="input_wld_az1_en1_mgmt_cidr">#REF!</definedName>
    <definedName name="input_wld_az1_en1_uplink01_interface_cidr">#REF!</definedName>
    <definedName name="input_wld_az1_en1_uplink02_interface_cidr">#REF!</definedName>
    <definedName name="input_wld_az1_en2_edge_overlay_interface_ip_1_ip">#REF!</definedName>
    <definedName name="input_wld_az1_en2_edge_overlay_interface_ip_2_ip">#REF!</definedName>
    <definedName name="input_wld_az1_en2_eth0_uplink0">#REF!</definedName>
    <definedName name="input_wld_az1_en2_eth0_uplink1">#REF!</definedName>
    <definedName name="input_wld_az1_en2_eth1_uplink0">#REF!</definedName>
    <definedName name="input_wld_az1_en2_eth1_uplink1">#REF!</definedName>
    <definedName name="input_wld_az1_en2_fqdn">#REF!</definedName>
    <definedName name="input_wld_az1_en2_mgmt_cidr">#REF!</definedName>
    <definedName name="input_wld_az1_en2_uplink01_interface_cidr">#REF!</definedName>
    <definedName name="input_wld_az1_en2_uplink02_interface_cidr">#REF!</definedName>
    <definedName name="input_wld_az1_host_overlay_cidr">#REF!</definedName>
    <definedName name="input_wld_az1_host_overlay_gateway_ip">#REF!</definedName>
    <definedName name="input_wld_az1_host_overlay_mtu">#REF!</definedName>
    <definedName name="input_wld_az1_host_overlay_network_pool_description">#REF!</definedName>
    <definedName name="input_wld_az1_host_overlay_network_pool_name">#REF!</definedName>
    <definedName name="input_wld_az1_host_overlay_pool_end_ip">#REF!</definedName>
    <definedName name="input_wld_az1_host_overlay_pool_start_ip">#REF!</definedName>
    <definedName name="input_wld_az1_host_overlay_uplink_profile_name">#REF!</definedName>
    <definedName name="input_wld_az1_host_overlay_vlan">#REF!</definedName>
    <definedName name="input_wld_az1_host1_fqdn">#REF!</definedName>
    <definedName name="input_wld_az1_host1_mgmt_ip">#REF!</definedName>
    <definedName name="input_wld_az1_host1_vrms_ip">'Dumping Ground'!$D$293</definedName>
    <definedName name="input_wld_az1_host10_fqdn">#REF!</definedName>
    <definedName name="input_wld_az1_host10_mgmt_ip">#REF!</definedName>
    <definedName name="input_wld_az1_host10_vrms_ip">'Dumping Ground'!$D$302</definedName>
    <definedName name="input_wld_az1_host11_fqdn">#REF!</definedName>
    <definedName name="input_wld_az1_host11_mgmt_ip">#REF!</definedName>
    <definedName name="input_wld_az1_host11_vrms_ip">'Dumping Ground'!$D$303</definedName>
    <definedName name="input_wld_az1_host12_fqdn">#REF!</definedName>
    <definedName name="input_wld_az1_host12_mgmt_ip">#REF!</definedName>
    <definedName name="input_wld_az1_host12_vrms_ip">'Dumping Ground'!$D$304</definedName>
    <definedName name="input_wld_az1_host13_fqdn">#REF!</definedName>
    <definedName name="input_wld_az1_host13_mgmt_ip">#REF!</definedName>
    <definedName name="input_wld_az1_host13_vrms_ip">'Dumping Ground'!$D$305</definedName>
    <definedName name="input_wld_az1_host14_fqdn">#REF!</definedName>
    <definedName name="input_wld_az1_host14_mgmt_ip">#REF!</definedName>
    <definedName name="input_wld_az1_host14_vrms_ip">'Dumping Ground'!$D$306</definedName>
    <definedName name="input_wld_az1_host15_fqdn">#REF!</definedName>
    <definedName name="input_wld_az1_host15_mgmt_ip">#REF!</definedName>
    <definedName name="input_wld_az1_host15_vrms_ip">'Dumping Ground'!$D$307</definedName>
    <definedName name="input_wld_az1_host16_fqdn">#REF!</definedName>
    <definedName name="input_wld_az1_host16_mgmt_ip">#REF!</definedName>
    <definedName name="input_wld_az1_host16_vrms_ip">'Dumping Ground'!$D$308</definedName>
    <definedName name="input_wld_az1_host2_fqdn">#REF!</definedName>
    <definedName name="input_wld_az1_host2_mgmt_ip">#REF!</definedName>
    <definedName name="input_wld_az1_host2_vrms_ip">'Dumping Ground'!$D$294</definedName>
    <definedName name="input_wld_az1_host3_fqdn">#REF!</definedName>
    <definedName name="input_wld_az1_host3_mgmt_ip">#REF!</definedName>
    <definedName name="input_wld_az1_host3_vrms_ip">'Dumping Ground'!$D$295</definedName>
    <definedName name="input_wld_az1_host4_fqdn">#REF!</definedName>
    <definedName name="input_wld_az1_host4_mgmt_ip">#REF!</definedName>
    <definedName name="input_wld_az1_host4_vrms_ip">'Dumping Ground'!$D$296</definedName>
    <definedName name="input_wld_az1_host5_fqdn">#REF!</definedName>
    <definedName name="input_wld_az1_host5_mgmt_ip">#REF!</definedName>
    <definedName name="input_wld_az1_host5_vrms_ip">'Dumping Ground'!$D$297</definedName>
    <definedName name="input_wld_az1_host6_fqdn">#REF!</definedName>
    <definedName name="input_wld_az1_host6_mgmt_ip">#REF!</definedName>
    <definedName name="input_wld_az1_host6_vrms_ip">'Dumping Ground'!$D$298</definedName>
    <definedName name="input_wld_az1_host7_fqdn">#REF!</definedName>
    <definedName name="input_wld_az1_host7_mgmt_ip">#REF!</definedName>
    <definedName name="input_wld_az1_host7_vrms_ip">'Dumping Ground'!$D$299</definedName>
    <definedName name="input_wld_az1_host8_fqdn">#REF!</definedName>
    <definedName name="input_wld_az1_host8_mgmt_ip">#REF!</definedName>
    <definedName name="input_wld_az1_host8_vrms_ip">'Dumping Ground'!$D$300</definedName>
    <definedName name="input_wld_az1_host9_fqdn">#REF!</definedName>
    <definedName name="input_wld_az1_host9_mgmt_ip">#REF!</definedName>
    <definedName name="input_wld_az1_host9_vrms_ip">'Dumping Ground'!$D$301</definedName>
    <definedName name="input_wld_az1_mgmt_gateway_cidr">#REF!</definedName>
    <definedName name="input_wld_az1_mgmt_mtu">#REF!</definedName>
    <definedName name="input_wld_az1_mgmt_vlan">#REF!</definedName>
    <definedName name="input_wld_az1_mgmt_vm_gateway_cidr">#REF!</definedName>
    <definedName name="input_wld_az1_mgmt_vm_mtu">#REF!</definedName>
    <definedName name="input_wld_az1_mgmt_vm_vlan">#REF!</definedName>
    <definedName name="input_wld_az1_pool_name">#REF!</definedName>
    <definedName name="input_wld_az1_principal_storage_gateway_cidr">#REF!</definedName>
    <definedName name="input_wld_az1_principal_storage_mtu">#REF!</definedName>
    <definedName name="input_wld_az1_principal_storage_pool_end_ip">#REF!</definedName>
    <definedName name="input_wld_az1_principal_storage_pool_start_ip">#REF!</definedName>
    <definedName name="input_wld_az1_principal_storage_vlan">#REF!</definedName>
    <definedName name="input_wld_az1_rack1_host_overlay_network_profile_name">#REF!</definedName>
    <definedName name="input_wld_az1_rack2_edge_overlay_gateway_ip">Arkham!$C$64</definedName>
    <definedName name="input_wld_az1_rack2_edge_overlay_mask">Arkham!$C$67</definedName>
    <definedName name="input_wld_az1_rack2_edge_overlay_mtu">Arkham!$C$70</definedName>
    <definedName name="input_wld_az1_rack2_edge_overlay_network">Arkham!$C$61</definedName>
    <definedName name="input_wld_az1_rack2_edge_overlay_network_pool_name">#REF!</definedName>
    <definedName name="input_wld_az1_rack2_edge_overlay_pool_end_ip">Arkham!$C$72</definedName>
    <definedName name="input_wld_az1_rack2_edge_overlay_pool_start_ip">Arkham!$C$71</definedName>
    <definedName name="input_wld_az1_rack2_edge_overlay_vlan">Arkham!$C$58</definedName>
    <definedName name="input_wld_az1_rack2_host_overlay_cidr">Arkham!$C$23</definedName>
    <definedName name="input_wld_az1_rack2_host_overlay_gateway_ip">#REF!</definedName>
    <definedName name="input_wld_az1_rack2_host_overlay_mask">#REF!</definedName>
    <definedName name="input_wld_az1_rack2_host_overlay_mtu">#REF!</definedName>
    <definedName name="input_wld_az1_rack2_host_overlay_network">#REF!</definedName>
    <definedName name="input_wld_az1_rack2_host_overlay_network_pool_name">#REF!</definedName>
    <definedName name="input_wld_az1_rack2_host_overlay_network_profile_name">#REF!</definedName>
    <definedName name="input_wld_az1_rack2_host_overlay_pool_end_ip">#REF!</definedName>
    <definedName name="input_wld_az1_rack2_host_overlay_pool_start_ip">#REF!</definedName>
    <definedName name="input_wld_az1_rack2_host_overlay_uplink_profile_name">#REF!</definedName>
    <definedName name="input_wld_az1_rack2_host_overlay_vlan">#REF!</definedName>
    <definedName name="input_wld_az1_rack2_host1_fqdn">#REF!</definedName>
    <definedName name="input_wld_az1_rack2_host1_mgmt_ip">#REF!</definedName>
    <definedName name="input_wld_az1_rack2_host10_fqdn">#REF!</definedName>
    <definedName name="input_wld_az1_rack2_host10_mgmt_ip">#REF!</definedName>
    <definedName name="input_wld_az1_rack2_host11_fqdn">#REF!</definedName>
    <definedName name="input_wld_az1_rack2_host11_mgmt_ip">#REF!</definedName>
    <definedName name="input_wld_az1_rack2_host12_fqdn">#REF!</definedName>
    <definedName name="input_wld_az1_rack2_host12_mgmt_ip">#REF!</definedName>
    <definedName name="input_wld_az1_rack2_host13_fqdn">#REF!</definedName>
    <definedName name="input_wld_az1_rack2_host13_mgmt_ip">#REF!</definedName>
    <definedName name="input_wld_az1_rack2_host14_fqdn">#REF!</definedName>
    <definedName name="input_wld_az1_rack2_host14_mgmt_ip">#REF!</definedName>
    <definedName name="input_wld_az1_rack2_host15_fqdn">#REF!</definedName>
    <definedName name="input_wld_az1_rack2_host15_mgmt_ip">#REF!</definedName>
    <definedName name="input_wld_az1_rack2_host16_fqdn">#REF!</definedName>
    <definedName name="input_wld_az1_rack2_host16_mgmt_ip">#REF!</definedName>
    <definedName name="input_wld_az1_rack2_host2_fqdn">#REF!</definedName>
    <definedName name="input_wld_az1_rack2_host2_mgmt_ip">#REF!</definedName>
    <definedName name="input_wld_az1_rack2_host3_fqdn">#REF!</definedName>
    <definedName name="input_wld_az1_rack2_host3_mgmt_ip">#REF!</definedName>
    <definedName name="input_wld_az1_rack2_host4_fqdn">#REF!</definedName>
    <definedName name="input_wld_az1_rack2_host4_mgmt_ip">#REF!</definedName>
    <definedName name="input_wld_az1_rack2_host5_fqdn">#REF!</definedName>
    <definedName name="input_wld_az1_rack2_host5_mgmt_ip">#REF!</definedName>
    <definedName name="input_wld_az1_rack2_host6_fqdn">#REF!</definedName>
    <definedName name="input_wld_az1_rack2_host6_mgmt_ip">#REF!</definedName>
    <definedName name="input_wld_az1_rack2_host7_fqdn">#REF!</definedName>
    <definedName name="input_wld_az1_rack2_host7_mgmt_ip">#REF!</definedName>
    <definedName name="input_wld_az1_rack2_host8_fqdn">#REF!</definedName>
    <definedName name="input_wld_az1_rack2_host8_mgmt_ip">#REF!</definedName>
    <definedName name="input_wld_az1_rack2_host9_fqdn">#REF!</definedName>
    <definedName name="input_wld_az1_rack2_host9_mgmt_ip">#REF!</definedName>
    <definedName name="input_wld_az1_rack2_mgmt_cidr">#REF!</definedName>
    <definedName name="input_wld_az1_rack2_mgmt_gateway_ip">#REF!</definedName>
    <definedName name="input_wld_az1_rack2_mgmt_mtu">#REF!</definedName>
    <definedName name="input_wld_az1_rack2_mgmt_vlan">#REF!</definedName>
    <definedName name="input_wld_az1_rack2_mgmt_vm_cidr">'Value Reference Tables - MR'!$N$275</definedName>
    <definedName name="input_wld_az1_rack2_mgmt_vm_gateway_ip">'Value Reference Tables - MR'!$P$275</definedName>
    <definedName name="input_wld_az1_rack2_mgmt_vm_mtu">'Value Reference Tables - MR'!$R$275</definedName>
    <definedName name="input_wld_az1_rack2_mgmt_vm_vlan">'Value Reference Tables - MR'!$L$275</definedName>
    <definedName name="input_wld_az1_rack2_pool_name">#REF!</definedName>
    <definedName name="input_wld_az1_rack2_principal_storage_cidr">Arkham!$C$21</definedName>
    <definedName name="input_wld_az1_rack2_principal_storage_gateway_ip">#REF!</definedName>
    <definedName name="input_wld_az1_rack2_principal_storage_mask">#REF!</definedName>
    <definedName name="input_wld_az1_rack2_principal_storage_mtu">#REF!</definedName>
    <definedName name="input_wld_az1_rack2_principal_storage_network">#REF!</definedName>
    <definedName name="input_wld_az1_rack2_principal_storage_pool_end_ip">#REF!</definedName>
    <definedName name="input_wld_az1_rack2_principal_storage_pool_start_ip">#REF!</definedName>
    <definedName name="input_wld_az1_rack2_principal_storage_vlan">#REF!</definedName>
    <definedName name="input_wld_az1_rack2_rtep_ip_pool_name">#REF!</definedName>
    <definedName name="input_wld_az1_rack2_secondary_storage_cidr">Arkham!$C$22</definedName>
    <definedName name="input_wld_az1_rack2_secondary_storage_gateway_ip">'Dumping Ground'!$D$512</definedName>
    <definedName name="input_wld_az1_rack2_secondary_storage_mask">'Dumping Ground'!$D$511</definedName>
    <definedName name="input_wld_az1_rack2_secondary_storage_mtu">'Dumping Ground'!$D$509</definedName>
    <definedName name="input_wld_az1_rack2_secondary_storage_network">'Dumping Ground'!$D$510</definedName>
    <definedName name="input_wld_az1_rack2_secondary_storage_pool_end_ip">'Dumping Ground'!$D$514</definedName>
    <definedName name="input_wld_az1_rack2_secondary_storage_pool_start_ip">'Dumping Ground'!$D$513</definedName>
    <definedName name="input_wld_az1_rack2_secondary_storage_vlan">'Dumping Ground'!$D$508</definedName>
    <definedName name="input_wld_az1_rack2_tor1_peer_asn">Arkham!$C$75</definedName>
    <definedName name="input_wld_az1_rack2_tor1_peer_bgp_password">Arkham!$C$76</definedName>
    <definedName name="input_wld_az1_rack2_tor1_peer_ip">Arkham!$C$74</definedName>
    <definedName name="input_wld_az1_rack2_tor2_peer_asn">Arkham!$C$78</definedName>
    <definedName name="input_wld_az1_rack2_tor2_peer_bgp_password">Arkham!$C$79</definedName>
    <definedName name="input_wld_az1_rack2_tor2_peer_ip">Arkham!$C$77</definedName>
    <definedName name="input_wld_az1_rack2_uplink01_gateway_ip">Arkham!$C$62</definedName>
    <definedName name="input_wld_az1_rack2_uplink01_mask">Arkham!$C$65</definedName>
    <definedName name="input_wld_az1_rack2_uplink01_mtu">Arkham!$C$68</definedName>
    <definedName name="input_wld_az1_rack2_uplink01_network">Arkham!$C$59</definedName>
    <definedName name="input_wld_az1_rack2_uplink01_vlan">Arkham!$C$56</definedName>
    <definedName name="input_wld_az1_rack2_uplink02_gateway_ip">Arkham!$C$63</definedName>
    <definedName name="input_wld_az1_rack2_uplink02_mask">Arkham!$C$66</definedName>
    <definedName name="input_wld_az1_rack2_uplink02_mtu">Arkham!$C$69</definedName>
    <definedName name="input_wld_az1_rack2_uplink02_network">Arkham!$C$60</definedName>
    <definedName name="input_wld_az1_rack2_uplink02_vlan">Arkham!$C$57</definedName>
    <definedName name="input_wld_az1_rack2_vmotion_cidr">Arkham!$C$20</definedName>
    <definedName name="input_wld_az1_rack2_vmotion_gateway_ip">#REF!</definedName>
    <definedName name="input_wld_az1_rack2_vmotion_mask">#REF!</definedName>
    <definedName name="input_wld_az1_rack2_vmotion_mtu">#REF!</definedName>
    <definedName name="input_wld_az1_rack2_vmotion_network">#REF!</definedName>
    <definedName name="input_wld_az1_rack2_vmotion_pool_end_ip">#REF!</definedName>
    <definedName name="input_wld_az1_rack2_vmotion_pool_start_ip">#REF!</definedName>
    <definedName name="input_wld_az1_rack2_vmotion_vlan">#REF!</definedName>
    <definedName name="input_wld_az1_rack2_vsan_fault_domain">#REF!</definedName>
    <definedName name="input_wld_az1_rack3_edge_overlay_gateway_ip">Arkham!$F$64</definedName>
    <definedName name="input_wld_az1_rack3_edge_overlay_mask">Arkham!$F$67</definedName>
    <definedName name="input_wld_az1_rack3_edge_overlay_mtu">Arkham!$F$70</definedName>
    <definedName name="input_wld_az1_rack3_edge_overlay_network">Arkham!$F$61</definedName>
    <definedName name="input_wld_az1_rack3_edge_overlay_network_pool_name">#REF!</definedName>
    <definedName name="input_wld_az1_rack3_edge_overlay_pool_end_ip">Arkham!$F$72</definedName>
    <definedName name="input_wld_az1_rack3_edge_overlay_pool_start_ip">Arkham!$F$71</definedName>
    <definedName name="input_wld_az1_rack3_edge_overlay_vlan">Arkham!$F$58</definedName>
    <definedName name="input_wld_az1_rack3_host_overlay_cidr">Arkham!$C$27</definedName>
    <definedName name="input_wld_az1_rack3_host_overlay_gateway_ip">#REF!</definedName>
    <definedName name="input_wld_az1_rack3_host_overlay_mask">#REF!</definedName>
    <definedName name="input_wld_az1_rack3_host_overlay_mtu">#REF!</definedName>
    <definedName name="input_wld_az1_rack3_host_overlay_network">#REF!</definedName>
    <definedName name="input_wld_az1_rack3_host_overlay_network_pool_name">#REF!</definedName>
    <definedName name="input_wld_az1_rack3_host_overlay_network_profile_name">#REF!</definedName>
    <definedName name="input_wld_az1_rack3_host_overlay_pool_end_ip">#REF!</definedName>
    <definedName name="input_wld_az1_rack3_host_overlay_pool_start_ip">#REF!</definedName>
    <definedName name="input_wld_az1_rack3_host_overlay_uplink_profile_name">#REF!</definedName>
    <definedName name="input_wld_az1_rack3_host_overlay_vlan">#REF!</definedName>
    <definedName name="input_wld_az1_rack3_host1_fqdn">#REF!</definedName>
    <definedName name="input_wld_az1_rack3_host1_mgmt_ip">#REF!</definedName>
    <definedName name="input_wld_az1_rack3_host10_fqdn">#REF!</definedName>
    <definedName name="input_wld_az1_rack3_host10_mgmt_ip">#REF!</definedName>
    <definedName name="input_wld_az1_rack3_host11_fqdn">#REF!</definedName>
    <definedName name="input_wld_az1_rack3_host11_mgmt_ip">#REF!</definedName>
    <definedName name="input_wld_az1_rack3_host12_fqdn">#REF!</definedName>
    <definedName name="input_wld_az1_rack3_host12_mgmt_ip">#REF!</definedName>
    <definedName name="input_wld_az1_rack3_host13_fqdn">#REF!</definedName>
    <definedName name="input_wld_az1_rack3_host13_mgmt_ip">#REF!</definedName>
    <definedName name="input_wld_az1_rack3_host14_fqdn">#REF!</definedName>
    <definedName name="input_wld_az1_rack3_host14_mgmt_ip">#REF!</definedName>
    <definedName name="input_wld_az1_rack3_host15_fqdn">#REF!</definedName>
    <definedName name="input_wld_az1_rack3_host15_mgmt_ip">#REF!</definedName>
    <definedName name="input_wld_az1_rack3_host16_fqdn">#REF!</definedName>
    <definedName name="input_wld_az1_rack3_host16_mgmt_ip">#REF!</definedName>
    <definedName name="input_wld_az1_rack3_host2_fqdn">#REF!</definedName>
    <definedName name="input_wld_az1_rack3_host2_mgmt_ip">#REF!</definedName>
    <definedName name="input_wld_az1_rack3_host3_fqdn">#REF!</definedName>
    <definedName name="input_wld_az1_rack3_host3_mgmt_ip">#REF!</definedName>
    <definedName name="input_wld_az1_rack3_host4_fqdn">#REF!</definedName>
    <definedName name="input_wld_az1_rack3_host4_mgmt_ip">#REF!</definedName>
    <definedName name="input_wld_az1_rack3_host5_fqdn">#REF!</definedName>
    <definedName name="input_wld_az1_rack3_host5_mgmt_ip">#REF!</definedName>
    <definedName name="input_wld_az1_rack3_host6_fqdn">#REF!</definedName>
    <definedName name="input_wld_az1_rack3_host6_mgmt_ip">#REF!</definedName>
    <definedName name="input_wld_az1_rack3_host7_fqdn">#REF!</definedName>
    <definedName name="input_wld_az1_rack3_host7_mgmt_ip">#REF!</definedName>
    <definedName name="input_wld_az1_rack3_host8_fqdn">#REF!</definedName>
    <definedName name="input_wld_az1_rack3_host8_mgmt_ip">#REF!</definedName>
    <definedName name="input_wld_az1_rack3_host9_fqdn">#REF!</definedName>
    <definedName name="input_wld_az1_rack3_host9_mgmt_ip">#REF!</definedName>
    <definedName name="input_wld_az1_rack3_mgmt_cidr">#REF!</definedName>
    <definedName name="input_wld_az1_rack3_mgmt_gateway_ip">#REF!</definedName>
    <definedName name="input_wld_az1_rack3_mgmt_mtu">#REF!</definedName>
    <definedName name="input_wld_az1_rack3_mgmt_vlan">#REF!</definedName>
    <definedName name="input_wld_az1_rack3_mgmt_vm_cidr">'Value Reference Tables - MR'!$N$276</definedName>
    <definedName name="input_wld_az1_rack3_mgmt_vm_gateway_ip">'Value Reference Tables - MR'!$P$276</definedName>
    <definedName name="input_wld_az1_rack3_mgmt_vm_mtu">'Value Reference Tables - MR'!$R$276</definedName>
    <definedName name="input_wld_az1_rack3_mgmt_vm_vlan">'Value Reference Tables - MR'!$L$276</definedName>
    <definedName name="input_wld_az1_rack3_pool_name">#REF!</definedName>
    <definedName name="input_wld_az1_rack3_principal_storage_cidr">Arkham!$C$25</definedName>
    <definedName name="input_wld_az1_rack3_principal_storage_gateway_ip">#REF!</definedName>
    <definedName name="input_wld_az1_rack3_principal_storage_mask">#REF!</definedName>
    <definedName name="input_wld_az1_rack3_principal_storage_mtu">#REF!</definedName>
    <definedName name="input_wld_az1_rack3_principal_storage_network">#REF!</definedName>
    <definedName name="input_wld_az1_rack3_principal_storage_pool_end_ip">#REF!</definedName>
    <definedName name="input_wld_az1_rack3_principal_storage_pool_start_ip">#REF!</definedName>
    <definedName name="input_wld_az1_rack3_principal_storage_vlan">#REF!</definedName>
    <definedName name="input_wld_az1_rack3_rtep_ip_pool_name">#REF!</definedName>
    <definedName name="input_wld_az1_rack3_secondary_storage_cidr">Arkham!$C$26</definedName>
    <definedName name="input_wld_az1_rack3_secondary_storage_gateway_ip">'Dumping Ground'!$D$520</definedName>
    <definedName name="input_wld_az1_rack3_secondary_storage_mask">'Dumping Ground'!$D$519</definedName>
    <definedName name="input_wld_az1_rack3_secondary_storage_mtu">'Dumping Ground'!$D$517</definedName>
    <definedName name="input_wld_az1_rack3_secondary_storage_network">'Dumping Ground'!$D$518</definedName>
    <definedName name="input_wld_az1_rack3_secondary_storage_pool_end_ip">'Dumping Ground'!$D$522</definedName>
    <definedName name="input_wld_az1_rack3_secondary_storage_pool_start_ip">'Dumping Ground'!$D$521</definedName>
    <definedName name="input_wld_az1_rack3_secondary_storage_vlan">'Dumping Ground'!$D$516</definedName>
    <definedName name="input_wld_az1_rack3_tor1_peer_asn">Arkham!$F$75</definedName>
    <definedName name="input_wld_az1_rack3_tor1_peer_bgp_password">Arkham!$F$76</definedName>
    <definedName name="input_wld_az1_rack3_tor1_peer_ip">Arkham!$F$74</definedName>
    <definedName name="input_wld_az1_rack3_tor2_peer_asn">Arkham!$F$78</definedName>
    <definedName name="input_wld_az1_rack3_tor2_peer_bgp_password">Arkham!$F$79</definedName>
    <definedName name="input_wld_az1_rack3_tor2_peer_ip">Arkham!$F$77</definedName>
    <definedName name="input_wld_az1_rack3_uplink01_gateway_ip">Arkham!$F$62</definedName>
    <definedName name="input_wld_az1_rack3_uplink01_mask">Arkham!$F$65</definedName>
    <definedName name="input_wld_az1_rack3_uplink01_mtu">Arkham!$F$68</definedName>
    <definedName name="input_wld_az1_rack3_uplink01_network">Arkham!$F$59</definedName>
    <definedName name="input_wld_az1_rack3_uplink01_vlan">Arkham!$F$56</definedName>
    <definedName name="input_wld_az1_rack3_uplink02_gateway_ip">Arkham!$F$63</definedName>
    <definedName name="input_wld_az1_rack3_uplink02_mask">Arkham!$F$66</definedName>
    <definedName name="input_wld_az1_rack3_uplink02_mtu">Arkham!$F$69</definedName>
    <definedName name="input_wld_az1_rack3_uplink02_network">Arkham!$F$60</definedName>
    <definedName name="input_wld_az1_rack3_uplink02_vlan">Arkham!$F$57</definedName>
    <definedName name="input_wld_az1_rack3_vmotion_cidr">Arkham!$C$24</definedName>
    <definedName name="input_wld_az1_rack3_vmotion_gateway_ip">#REF!</definedName>
    <definedName name="input_wld_az1_rack3_vmotion_mask">#REF!</definedName>
    <definedName name="input_wld_az1_rack3_vmotion_mtu">#REF!</definedName>
    <definedName name="input_wld_az1_rack3_vmotion_network">#REF!</definedName>
    <definedName name="input_wld_az1_rack3_vmotion_pool_end_ip">#REF!</definedName>
    <definedName name="input_wld_az1_rack3_vmotion_pool_start_ip">#REF!</definedName>
    <definedName name="input_wld_az1_rack3_vmotion_vlan">#REF!</definedName>
    <definedName name="input_wld_az1_rack3_vsan_fault_domain">#REF!</definedName>
    <definedName name="input_wld_az1_rack4_edge_overlay_gateway_ip">Arkham!$I$64</definedName>
    <definedName name="input_wld_az1_rack4_edge_overlay_mask">Arkham!$I$67</definedName>
    <definedName name="input_wld_az1_rack4_edge_overlay_mtu">Arkham!$I$70</definedName>
    <definedName name="input_wld_az1_rack4_edge_overlay_network">Arkham!$I$61</definedName>
    <definedName name="input_wld_az1_rack4_edge_overlay_network_pool_name">#REF!</definedName>
    <definedName name="input_wld_az1_rack4_edge_overlay_pool_end_ip">Arkham!$I$72</definedName>
    <definedName name="input_wld_az1_rack4_edge_overlay_pool_start_ip">Arkham!$I$71</definedName>
    <definedName name="input_wld_az1_rack4_edge_overlay_vlan">Arkham!$I$58</definedName>
    <definedName name="input_wld_az1_rack4_host_overlay_cidr">Arkham!$C$31</definedName>
    <definedName name="input_wld_az1_rack4_host_overlay_gateway_ip">#REF!</definedName>
    <definedName name="input_wld_az1_rack4_host_overlay_mask">#REF!</definedName>
    <definedName name="input_wld_az1_rack4_host_overlay_mtu">#REF!</definedName>
    <definedName name="input_wld_az1_rack4_host_overlay_network">#REF!</definedName>
    <definedName name="input_wld_az1_rack4_host_overlay_network_pool_name">#REF!</definedName>
    <definedName name="input_wld_az1_rack4_host_overlay_network_profile_name">#REF!</definedName>
    <definedName name="input_wld_az1_rack4_host_overlay_pool_end_ip">#REF!</definedName>
    <definedName name="input_wld_az1_rack4_host_overlay_pool_start_ip">#REF!</definedName>
    <definedName name="input_wld_az1_rack4_host_overlay_uplink_profile_name">#REF!</definedName>
    <definedName name="input_wld_az1_rack4_host_overlay_vlan">#REF!</definedName>
    <definedName name="input_wld_az1_rack4_host1_fqdn">#REF!</definedName>
    <definedName name="input_wld_az1_rack4_host1_mgmt_ip">#REF!</definedName>
    <definedName name="input_wld_az1_rack4_host10_fqdn">#REF!</definedName>
    <definedName name="input_wld_az1_rack4_host10_mgmt_ip">#REF!</definedName>
    <definedName name="input_wld_az1_rack4_host11_fqdn">#REF!</definedName>
    <definedName name="input_wld_az1_rack4_host11_mgmt_ip">#REF!</definedName>
    <definedName name="input_wld_az1_rack4_host12_fqdn">#REF!</definedName>
    <definedName name="input_wld_az1_rack4_host12_mgmt_ip">#REF!</definedName>
    <definedName name="input_wld_az1_rack4_host13_fqdn">#REF!</definedName>
    <definedName name="input_wld_az1_rack4_host13_mgmt_ip">#REF!</definedName>
    <definedName name="input_wld_az1_rack4_host14_fqdn">#REF!</definedName>
    <definedName name="input_wld_az1_rack4_host14_mgmt_ip">#REF!</definedName>
    <definedName name="input_wld_az1_rack4_host15_fqdn">#REF!</definedName>
    <definedName name="input_wld_az1_rack4_host15_mgmt_ip">#REF!</definedName>
    <definedName name="input_wld_az1_rack4_host16_fqdn">#REF!</definedName>
    <definedName name="input_wld_az1_rack4_host16_mgmt_ip">#REF!</definedName>
    <definedName name="input_wld_az1_rack4_host2_fqdn">#REF!</definedName>
    <definedName name="input_wld_az1_rack4_host2_mgmt_ip">#REF!</definedName>
    <definedName name="input_wld_az1_rack4_host3_fqdn">#REF!</definedName>
    <definedName name="input_wld_az1_rack4_host3_mgmt_ip">#REF!</definedName>
    <definedName name="input_wld_az1_rack4_host4_fqdn">#REF!</definedName>
    <definedName name="input_wld_az1_rack4_host4_mgmt_ip">#REF!</definedName>
    <definedName name="input_wld_az1_rack4_host5_fqdn">#REF!</definedName>
    <definedName name="input_wld_az1_rack4_host5_mgmt_ip">#REF!</definedName>
    <definedName name="input_wld_az1_rack4_host6_fqdn">#REF!</definedName>
    <definedName name="input_wld_az1_rack4_host6_mgmt_ip">#REF!</definedName>
    <definedName name="input_wld_az1_rack4_host7_fqdn">#REF!</definedName>
    <definedName name="input_wld_az1_rack4_host7_mgmt_ip">#REF!</definedName>
    <definedName name="input_wld_az1_rack4_host8_fqdn">#REF!</definedName>
    <definedName name="input_wld_az1_rack4_host8_mgmt_ip">#REF!</definedName>
    <definedName name="input_wld_az1_rack4_host9_fqdn">#REF!</definedName>
    <definedName name="input_wld_az1_rack4_host9_mgmt_ip">#REF!</definedName>
    <definedName name="input_wld_az1_rack4_mgmt_cidr">#REF!</definedName>
    <definedName name="input_wld_az1_rack4_mgmt_gateway_ip">#REF!</definedName>
    <definedName name="input_wld_az1_rack4_mgmt_mtu">#REF!</definedName>
    <definedName name="input_wld_az1_rack4_mgmt_vlan">#REF!</definedName>
    <definedName name="input_wld_az1_rack4_mgmt_vm_cidr">'Value Reference Tables - MR'!$N$277</definedName>
    <definedName name="input_wld_az1_rack4_mgmt_vm_gateway_ip">'Value Reference Tables - MR'!$P$277</definedName>
    <definedName name="input_wld_az1_rack4_mgmt_vm_mtu">'Value Reference Tables - MR'!$R$277</definedName>
    <definedName name="input_wld_az1_rack4_mgmt_vm_vlan">'Value Reference Tables - MR'!$L$277</definedName>
    <definedName name="input_wld_az1_rack4_pool_name">#REF!</definedName>
    <definedName name="input_wld_az1_rack4_principal_storage_cidr">Arkham!$C$29</definedName>
    <definedName name="input_wld_az1_rack4_principal_storage_gateway_ip">#REF!</definedName>
    <definedName name="input_wld_az1_rack4_principal_storage_mask">#REF!</definedName>
    <definedName name="input_wld_az1_rack4_principal_storage_mtu">#REF!</definedName>
    <definedName name="input_wld_az1_rack4_principal_storage_network">#REF!</definedName>
    <definedName name="input_wld_az1_rack4_principal_storage_pool_end_ip">#REF!</definedName>
    <definedName name="input_wld_az1_rack4_principal_storage_pool_start_ip">#REF!</definedName>
    <definedName name="input_wld_az1_rack4_principal_storage_vlan">#REF!</definedName>
    <definedName name="input_wld_az1_rack4_rtep_ip_pool_name">#REF!</definedName>
    <definedName name="input_wld_az1_rack4_secondary_storage_cidr">Arkham!$C$30</definedName>
    <definedName name="input_wld_az1_rack4_secondary_storage_gateway_ip">'Dumping Ground'!$D$528</definedName>
    <definedName name="input_wld_az1_rack4_secondary_storage_mask">'Dumping Ground'!$D$527</definedName>
    <definedName name="input_wld_az1_rack4_secondary_storage_mtu">'Dumping Ground'!$D$525</definedName>
    <definedName name="input_wld_az1_rack4_secondary_storage_network">'Dumping Ground'!$D$526</definedName>
    <definedName name="input_wld_az1_rack4_secondary_storage_pool_end_ip">'Dumping Ground'!$D$530</definedName>
    <definedName name="input_wld_az1_rack4_secondary_storage_pool_start_ip">'Dumping Ground'!$D$529</definedName>
    <definedName name="input_wld_az1_rack4_secondary_storage_vlan">'Dumping Ground'!$D$524</definedName>
    <definedName name="input_wld_az1_rack4_tor1_peer_asn">Arkham!$I$75</definedName>
    <definedName name="input_wld_az1_rack4_tor1_peer_bgp_password">Arkham!$I$76</definedName>
    <definedName name="input_wld_az1_rack4_tor1_peer_ip">Arkham!$I$74</definedName>
    <definedName name="input_wld_az1_rack4_tor2_peer_asn">Arkham!$I$78</definedName>
    <definedName name="input_wld_az1_rack4_tor2_peer_bgp_password">Arkham!$I$79</definedName>
    <definedName name="input_wld_az1_rack4_tor2_peer_ip">Arkham!$I$77</definedName>
    <definedName name="input_wld_az1_rack4_uplink01_gateway_ip">Arkham!$I$62</definedName>
    <definedName name="input_wld_az1_rack4_uplink01_mask">Arkham!$I$65</definedName>
    <definedName name="input_wld_az1_rack4_uplink01_mtu">Arkham!$I$68</definedName>
    <definedName name="input_wld_az1_rack4_uplink01_network">Arkham!$I$59</definedName>
    <definedName name="input_wld_az1_rack4_uplink01_vlan">Arkham!$I$56</definedName>
    <definedName name="input_wld_az1_rack4_uplink02_gateway_ip">Arkham!$I$63</definedName>
    <definedName name="input_wld_az1_rack4_uplink02_mask">Arkham!$I$66</definedName>
    <definedName name="input_wld_az1_rack4_uplink02_mtu">Arkham!$I$69</definedName>
    <definedName name="input_wld_az1_rack4_uplink02_network">Arkham!$I$60</definedName>
    <definedName name="input_wld_az1_rack4_uplink02_vlan">Arkham!$I$57</definedName>
    <definedName name="input_wld_az1_rack4_vmotion_cidr">Arkham!$C$28</definedName>
    <definedName name="input_wld_az1_rack4_vmotion_gateway_ip">#REF!</definedName>
    <definedName name="input_wld_az1_rack4_vmotion_mask">#REF!</definedName>
    <definedName name="input_wld_az1_rack4_vmotion_mtu">#REF!</definedName>
    <definedName name="input_wld_az1_rack4_vmotion_network">#REF!</definedName>
    <definedName name="input_wld_az1_rack4_vmotion_pool_end_ip">#REF!</definedName>
    <definedName name="input_wld_az1_rack4_vmotion_pool_start_ip">#REF!</definedName>
    <definedName name="input_wld_az1_rack4_vmotion_vlan">#REF!</definedName>
    <definedName name="input_wld_az1_rack4_vsan_fault_domain">#REF!</definedName>
    <definedName name="input_wld_az1_rack5_edge_overlay_gateway_ip">Arkham!$L$64</definedName>
    <definedName name="input_wld_az1_rack5_edge_overlay_mask">Arkham!$L$67</definedName>
    <definedName name="input_wld_az1_rack5_edge_overlay_mtu">Arkham!$L$70</definedName>
    <definedName name="input_wld_az1_rack5_edge_overlay_network">Arkham!$L$61</definedName>
    <definedName name="input_wld_az1_rack5_edge_overlay_network_pool_name">#REF!</definedName>
    <definedName name="input_wld_az1_rack5_edge_overlay_pool_end_ip">Arkham!$L$72</definedName>
    <definedName name="input_wld_az1_rack5_edge_overlay_pool_start_ip">Arkham!$L$71</definedName>
    <definedName name="input_wld_az1_rack5_edge_overlay_vlan">Arkham!$L$58</definedName>
    <definedName name="input_wld_az1_rack5_host_overlay_cidr">Arkham!$C$35</definedName>
    <definedName name="input_wld_az1_rack5_host_overlay_gateway_ip">#REF!</definedName>
    <definedName name="input_wld_az1_rack5_host_overlay_mask">#REF!</definedName>
    <definedName name="input_wld_az1_rack5_host_overlay_mtu">#REF!</definedName>
    <definedName name="input_wld_az1_rack5_host_overlay_network">#REF!</definedName>
    <definedName name="input_wld_az1_rack5_host_overlay_network_pool_name">#REF!</definedName>
    <definedName name="input_wld_az1_rack5_host_overlay_network_profile_name">#REF!</definedName>
    <definedName name="input_wld_az1_rack5_host_overlay_pool_end_ip">#REF!</definedName>
    <definedName name="input_wld_az1_rack5_host_overlay_pool_start_ip">#REF!</definedName>
    <definedName name="input_wld_az1_rack5_host_overlay_uplink_profile_name">#REF!</definedName>
    <definedName name="input_wld_az1_rack5_host_overlay_vlan">#REF!</definedName>
    <definedName name="input_wld_az1_rack5_host1_fqdn">#REF!</definedName>
    <definedName name="input_wld_az1_rack5_host1_mgmt_ip">#REF!</definedName>
    <definedName name="input_wld_az1_rack5_host10_fqdn">#REF!</definedName>
    <definedName name="input_wld_az1_rack5_host10_mgmt_ip">#REF!</definedName>
    <definedName name="input_wld_az1_rack5_host11_fqdn">#REF!</definedName>
    <definedName name="input_wld_az1_rack5_host11_mgmt_ip">#REF!</definedName>
    <definedName name="input_wld_az1_rack5_host12_fqdn">#REF!</definedName>
    <definedName name="input_wld_az1_rack5_host12_mgmt_ip">#REF!</definedName>
    <definedName name="input_wld_az1_rack5_host13_fqdn">#REF!</definedName>
    <definedName name="input_wld_az1_rack5_host13_mgmt_ip">#REF!</definedName>
    <definedName name="input_wld_az1_rack5_host14_fqdn">#REF!</definedName>
    <definedName name="input_wld_az1_rack5_host14_mgmt_ip">#REF!</definedName>
    <definedName name="input_wld_az1_rack5_host15_fqdn">#REF!</definedName>
    <definedName name="input_wld_az1_rack5_host15_mgmt_ip">#REF!</definedName>
    <definedName name="input_wld_az1_rack5_host16_fqdn">#REF!</definedName>
    <definedName name="input_wld_az1_rack5_host16_mgmt_ip">#REF!</definedName>
    <definedName name="input_wld_az1_rack5_host2_fqdn">#REF!</definedName>
    <definedName name="input_wld_az1_rack5_host2_mgmt_ip">#REF!</definedName>
    <definedName name="input_wld_az1_rack5_host3_fqdn">#REF!</definedName>
    <definedName name="input_wld_az1_rack5_host3_mgmt_ip">#REF!</definedName>
    <definedName name="input_wld_az1_rack5_host4_fqdn">#REF!</definedName>
    <definedName name="input_wld_az1_rack5_host4_mgmt_ip">#REF!</definedName>
    <definedName name="input_wld_az1_rack5_host5_fqdn">#REF!</definedName>
    <definedName name="input_wld_az1_rack5_host5_mgmt_ip">#REF!</definedName>
    <definedName name="input_wld_az1_rack5_host6_fqdn">#REF!</definedName>
    <definedName name="input_wld_az1_rack5_host6_mgmt_ip">#REF!</definedName>
    <definedName name="input_wld_az1_rack5_host7_fqdn">#REF!</definedName>
    <definedName name="input_wld_az1_rack5_host7_mgmt_ip">#REF!</definedName>
    <definedName name="input_wld_az1_rack5_host8_fqdn">#REF!</definedName>
    <definedName name="input_wld_az1_rack5_host8_mgmt_ip">#REF!</definedName>
    <definedName name="input_wld_az1_rack5_host9_fqdn">#REF!</definedName>
    <definedName name="input_wld_az1_rack5_host9_mgmt_ip">#REF!</definedName>
    <definedName name="input_wld_az1_rack5_mgmt_cidr">#REF!</definedName>
    <definedName name="input_wld_az1_rack5_mgmt_gateway_ip">#REF!</definedName>
    <definedName name="input_wld_az1_rack5_mgmt_mtu">#REF!</definedName>
    <definedName name="input_wld_az1_rack5_mgmt_vlan">#REF!</definedName>
    <definedName name="input_wld_az1_rack5_mgmt_vm_cidr">'Value Reference Tables - MR'!$N$278</definedName>
    <definedName name="input_wld_az1_rack5_mgmt_vm_gateway_ip">'Value Reference Tables - MR'!$P$278</definedName>
    <definedName name="input_wld_az1_rack5_mgmt_vm_mtu">'Value Reference Tables - MR'!$R$278</definedName>
    <definedName name="input_wld_az1_rack5_mgmt_vm_vlan">'Value Reference Tables - MR'!$L$278</definedName>
    <definedName name="input_wld_az1_rack5_pool_name">#REF!</definedName>
    <definedName name="input_wld_az1_rack5_principal_storage_cidr">Arkham!$C$33</definedName>
    <definedName name="input_wld_az1_rack5_principal_storage_gateway_ip">#REF!</definedName>
    <definedName name="input_wld_az1_rack5_principal_storage_mask">#REF!</definedName>
    <definedName name="input_wld_az1_rack5_principal_storage_mtu">#REF!</definedName>
    <definedName name="input_wld_az1_rack5_principal_storage_network">#REF!</definedName>
    <definedName name="input_wld_az1_rack5_principal_storage_pool_end_ip">#REF!</definedName>
    <definedName name="input_wld_az1_rack5_principal_storage_pool_start_ip">#REF!</definedName>
    <definedName name="input_wld_az1_rack5_principal_storage_vlan">#REF!</definedName>
    <definedName name="input_wld_az1_rack5_rtep_ip_pool_name">#REF!</definedName>
    <definedName name="input_wld_az1_rack5_secondary_storage_cidr">Arkham!$C$34</definedName>
    <definedName name="input_wld_az1_rack5_secondary_storage_gateway_ip">'Dumping Ground'!$D$536</definedName>
    <definedName name="input_wld_az1_rack5_secondary_storage_mask">'Dumping Ground'!$D$535</definedName>
    <definedName name="input_wld_az1_rack5_secondary_storage_mtu">'Dumping Ground'!$D$533</definedName>
    <definedName name="input_wld_az1_rack5_secondary_storage_network">'Dumping Ground'!$D$534</definedName>
    <definedName name="input_wld_az1_rack5_secondary_storage_pool_end_ip">'Dumping Ground'!$D$538</definedName>
    <definedName name="input_wld_az1_rack5_secondary_storage_pool_start_ip">'Dumping Ground'!$D$537</definedName>
    <definedName name="input_wld_az1_rack5_secondary_storage_vlan">'Dumping Ground'!$D$532</definedName>
    <definedName name="input_wld_az1_rack5_tor1_peer_asn">Arkham!$L$75</definedName>
    <definedName name="input_wld_az1_rack5_tor1_peer_bgp_password">Arkham!$L$76</definedName>
    <definedName name="input_wld_az1_rack5_tor1_peer_ip">Arkham!$L$74</definedName>
    <definedName name="input_wld_az1_rack5_tor2_peer_asn">Arkham!$L$78</definedName>
    <definedName name="input_wld_az1_rack5_tor2_peer_bgp_password">Arkham!$L$79</definedName>
    <definedName name="input_wld_az1_rack5_tor2_peer_ip">Arkham!$L$77</definedName>
    <definedName name="input_wld_az1_rack5_uplink01_gateway_ip">Arkham!$L$62</definedName>
    <definedName name="input_wld_az1_rack5_uplink01_mask">Arkham!$L$65</definedName>
    <definedName name="input_wld_az1_rack5_uplink01_mtu">Arkham!$L$68</definedName>
    <definedName name="input_wld_az1_rack5_uplink01_network">Arkham!$L$59</definedName>
    <definedName name="input_wld_az1_rack5_uplink01_vlan">Arkham!$L$56</definedName>
    <definedName name="input_wld_az1_rack5_uplink02_gateway_ip">Arkham!$L$63</definedName>
    <definedName name="input_wld_az1_rack5_uplink02_mask">Arkham!$L$66</definedName>
    <definedName name="input_wld_az1_rack5_uplink02_mtu">Arkham!$L$69</definedName>
    <definedName name="input_wld_az1_rack5_uplink02_network">Arkham!$L$60</definedName>
    <definedName name="input_wld_az1_rack5_uplink02_vlan">Arkham!$L$57</definedName>
    <definedName name="input_wld_az1_rack5_vmotion_cidr">Arkham!$C$32</definedName>
    <definedName name="input_wld_az1_rack5_vmotion_gateway_ip">#REF!</definedName>
    <definedName name="input_wld_az1_rack5_vmotion_mask">#REF!</definedName>
    <definedName name="input_wld_az1_rack5_vmotion_mtu">#REF!</definedName>
    <definedName name="input_wld_az1_rack5_vmotion_network">#REF!</definedName>
    <definedName name="input_wld_az1_rack5_vmotion_pool_end_ip">#REF!</definedName>
    <definedName name="input_wld_az1_rack5_vmotion_pool_start_ip">#REF!</definedName>
    <definedName name="input_wld_az1_rack5_vmotion_vlan">#REF!</definedName>
    <definedName name="input_wld_az1_rack5_vsan_fault_domain">#REF!</definedName>
    <definedName name="input_wld_az1_rack6_edge_overlay_gateway_ip">Arkham!$O$64</definedName>
    <definedName name="input_wld_az1_rack6_edge_overlay_mask">Arkham!$O$67</definedName>
    <definedName name="input_wld_az1_rack6_edge_overlay_mtu">Arkham!$O$70</definedName>
    <definedName name="input_wld_az1_rack6_edge_overlay_network">Arkham!$O$61</definedName>
    <definedName name="input_wld_az1_rack6_edge_overlay_network_pool_name">#REF!</definedName>
    <definedName name="input_wld_az1_rack6_edge_overlay_pool_end_ip">Arkham!$O$72</definedName>
    <definedName name="input_wld_az1_rack6_edge_overlay_pool_start_ip">Arkham!$O$71</definedName>
    <definedName name="input_wld_az1_rack6_edge_overlay_vlan">Arkham!$O$58</definedName>
    <definedName name="input_wld_az1_rack6_host_overlay_cidr">Arkham!$C$39</definedName>
    <definedName name="input_wld_az1_rack6_host_overlay_gateway_ip">#REF!</definedName>
    <definedName name="input_wld_az1_rack6_host_overlay_mask">#REF!</definedName>
    <definedName name="input_wld_az1_rack6_host_overlay_mtu">#REF!</definedName>
    <definedName name="input_wld_az1_rack6_host_overlay_network">#REF!</definedName>
    <definedName name="input_wld_az1_rack6_host_overlay_network_pool_name">#REF!</definedName>
    <definedName name="input_wld_az1_rack6_host_overlay_network_profile_name">#REF!</definedName>
    <definedName name="input_wld_az1_rack6_host_overlay_pool_end_ip">#REF!</definedName>
    <definedName name="input_wld_az1_rack6_host_overlay_pool_start_ip">#REF!</definedName>
    <definedName name="input_wld_az1_rack6_host_overlay_uplink_profile_name">#REF!</definedName>
    <definedName name="input_wld_az1_rack6_host_overlay_vlan">#REF!</definedName>
    <definedName name="input_wld_az1_rack6_host1_fqdn">#REF!</definedName>
    <definedName name="input_wld_az1_rack6_host1_mgmt_ip">#REF!</definedName>
    <definedName name="input_wld_az1_rack6_host10_fqdn">#REF!</definedName>
    <definedName name="input_wld_az1_rack6_host10_mgmt_ip">#REF!</definedName>
    <definedName name="input_wld_az1_rack6_host11_fqdn">#REF!</definedName>
    <definedName name="input_wld_az1_rack6_host11_mgmt_ip">#REF!</definedName>
    <definedName name="input_wld_az1_rack6_host12_fqdn">#REF!</definedName>
    <definedName name="input_wld_az1_rack6_host12_mgmt_ip">#REF!</definedName>
    <definedName name="input_wld_az1_rack6_host13_fqdn">#REF!</definedName>
    <definedName name="input_wld_az1_rack6_host13_mgmt_ip">#REF!</definedName>
    <definedName name="input_wld_az1_rack6_host14_fqdn">#REF!</definedName>
    <definedName name="input_wld_az1_rack6_host14_mgmt_ip">#REF!</definedName>
    <definedName name="input_wld_az1_rack6_host15_fqdn">#REF!</definedName>
    <definedName name="input_wld_az1_rack6_host15_mgmt_ip">#REF!</definedName>
    <definedName name="input_wld_az1_rack6_host16_fqdn">#REF!</definedName>
    <definedName name="input_wld_az1_rack6_host16_mgmt_ip">#REF!</definedName>
    <definedName name="input_wld_az1_rack6_host2_fqdn">#REF!</definedName>
    <definedName name="input_wld_az1_rack6_host2_mgmt_ip">#REF!</definedName>
    <definedName name="input_wld_az1_rack6_host3_fqdn">#REF!</definedName>
    <definedName name="input_wld_az1_rack6_host3_mgmt_ip">#REF!</definedName>
    <definedName name="input_wld_az1_rack6_host4_fqdn">#REF!</definedName>
    <definedName name="input_wld_az1_rack6_host4_mgmt_ip">#REF!</definedName>
    <definedName name="input_wld_az1_rack6_host5_fqdn">#REF!</definedName>
    <definedName name="input_wld_az1_rack6_host5_mgmt_ip">#REF!</definedName>
    <definedName name="input_wld_az1_rack6_host6_fqdn">#REF!</definedName>
    <definedName name="input_wld_az1_rack6_host6_mgmt_ip">#REF!</definedName>
    <definedName name="input_wld_az1_rack6_host7_fqdn">#REF!</definedName>
    <definedName name="input_wld_az1_rack6_host7_mgmt_ip">#REF!</definedName>
    <definedName name="input_wld_az1_rack6_host8_fqdn">#REF!</definedName>
    <definedName name="input_wld_az1_rack6_host8_mgmt_ip">#REF!</definedName>
    <definedName name="input_wld_az1_rack6_host9_fqdn">#REF!</definedName>
    <definedName name="input_wld_az1_rack6_host9_mgmt_ip">#REF!</definedName>
    <definedName name="input_wld_az1_rack6_mgmt_cidr">#REF!</definedName>
    <definedName name="input_wld_az1_rack6_mgmt_gateway_ip">#REF!</definedName>
    <definedName name="input_wld_az1_rack6_mgmt_mtu">#REF!</definedName>
    <definedName name="input_wld_az1_rack6_mgmt_vlan">#REF!</definedName>
    <definedName name="input_wld_az1_rack6_mgmt_vm_cidr">'Value Reference Tables - MR'!$N$279</definedName>
    <definedName name="input_wld_az1_rack6_mgmt_vm_gateway_ip">'Value Reference Tables - MR'!$P$279</definedName>
    <definedName name="input_wld_az1_rack6_mgmt_vm_mtu">'Value Reference Tables - MR'!$R$279</definedName>
    <definedName name="input_wld_az1_rack6_mgmt_vm_vlan">'Value Reference Tables - MR'!$L$279</definedName>
    <definedName name="input_wld_az1_rack6_pool_name">#REF!</definedName>
    <definedName name="input_wld_az1_rack6_principal_storage_cidr">Arkham!$C$37</definedName>
    <definedName name="input_wld_az1_rack6_principal_storage_gateway_ip">#REF!</definedName>
    <definedName name="input_wld_az1_rack6_principal_storage_mask">#REF!</definedName>
    <definedName name="input_wld_az1_rack6_principal_storage_mtu">#REF!</definedName>
    <definedName name="input_wld_az1_rack6_principal_storage_network">#REF!</definedName>
    <definedName name="input_wld_az1_rack6_principal_storage_pool_end_ip">#REF!</definedName>
    <definedName name="input_wld_az1_rack6_principal_storage_pool_start_ip">#REF!</definedName>
    <definedName name="input_wld_az1_rack6_principal_storage_vlan">#REF!</definedName>
    <definedName name="input_wld_az1_rack6_rtep_ip_pool_name">#REF!</definedName>
    <definedName name="input_wld_az1_rack6_secondary_storage_cidr">Arkham!$C$38</definedName>
    <definedName name="input_wld_az1_rack6_secondary_storage_gateway_ip">'Dumping Ground'!$D$544</definedName>
    <definedName name="input_wld_az1_rack6_secondary_storage_mask">'Dumping Ground'!$D$543</definedName>
    <definedName name="input_wld_az1_rack6_secondary_storage_mtu">'Dumping Ground'!$D$541</definedName>
    <definedName name="input_wld_az1_rack6_secondary_storage_network">'Dumping Ground'!$D$542</definedName>
    <definedName name="input_wld_az1_rack6_secondary_storage_pool_end_ip">'Dumping Ground'!$D$546</definedName>
    <definedName name="input_wld_az1_rack6_secondary_storage_pool_start_ip">'Dumping Ground'!$D$545</definedName>
    <definedName name="input_wld_az1_rack6_secondary_storage_vlan">'Dumping Ground'!$D$540</definedName>
    <definedName name="input_wld_az1_rack6_tor1_peer_asn">Arkham!$O$75</definedName>
    <definedName name="input_wld_az1_rack6_tor1_peer_bgp_password">Arkham!$O$76</definedName>
    <definedName name="input_wld_az1_rack6_tor1_peer_ip">Arkham!$O$74</definedName>
    <definedName name="input_wld_az1_rack6_tor2_peer_asn">Arkham!$O$78</definedName>
    <definedName name="input_wld_az1_rack6_tor2_peer_bgp_password">Arkham!$O$79</definedName>
    <definedName name="input_wld_az1_rack6_tor2_peer_ip">Arkham!$O$77</definedName>
    <definedName name="input_wld_az1_rack6_uplink01_gateway_ip">Arkham!$O$62</definedName>
    <definedName name="input_wld_az1_rack6_uplink01_mask">Arkham!$O$65</definedName>
    <definedName name="input_wld_az1_rack6_uplink01_mtu">Arkham!$O$68</definedName>
    <definedName name="input_wld_az1_rack6_uplink01_network">Arkham!$O$59</definedName>
    <definedName name="input_wld_az1_rack6_uplink01_vlan">Arkham!$O$56</definedName>
    <definedName name="input_wld_az1_rack6_uplink02_gateway_ip">Arkham!$O$63</definedName>
    <definedName name="input_wld_az1_rack6_uplink02_mask">Arkham!$O$66</definedName>
    <definedName name="input_wld_az1_rack6_uplink02_mtu">Arkham!$O$69</definedName>
    <definedName name="input_wld_az1_rack6_uplink02_network">Arkham!$O$60</definedName>
    <definedName name="input_wld_az1_rack6_uplink02_vlan">Arkham!$O$57</definedName>
    <definedName name="input_wld_az1_rack6_vmotion_cidr">Arkham!$C$36</definedName>
    <definedName name="input_wld_az1_rack6_vmotion_gateway_ip">#REF!</definedName>
    <definedName name="input_wld_az1_rack6_vmotion_mask">#REF!</definedName>
    <definedName name="input_wld_az1_rack6_vmotion_mtu">#REF!</definedName>
    <definedName name="input_wld_az1_rack6_vmotion_network">#REF!</definedName>
    <definedName name="input_wld_az1_rack6_vmotion_pool_end_ip">#REF!</definedName>
    <definedName name="input_wld_az1_rack6_vmotion_pool_start_ip">#REF!</definedName>
    <definedName name="input_wld_az1_rack6_vmotion_vlan">#REF!</definedName>
    <definedName name="input_wld_az1_rack6_vsan_fault_domain">#REF!</definedName>
    <definedName name="input_wld_az1_rack7_edge_overlay_gateway_ip">Arkham!$R$64</definedName>
    <definedName name="input_wld_az1_rack7_edge_overlay_mask">Arkham!$R$67</definedName>
    <definedName name="input_wld_az1_rack7_edge_overlay_mtu">Arkham!$R$70</definedName>
    <definedName name="input_wld_az1_rack7_edge_overlay_network">Arkham!$R$61</definedName>
    <definedName name="input_wld_az1_rack7_edge_overlay_network_pool_name">#REF!</definedName>
    <definedName name="input_wld_az1_rack7_edge_overlay_pool_end_ip">Arkham!$R$72</definedName>
    <definedName name="input_wld_az1_rack7_edge_overlay_pool_start_ip">Arkham!$R$71</definedName>
    <definedName name="input_wld_az1_rack7_edge_overlay_vlan">Arkham!$R$58</definedName>
    <definedName name="input_wld_az1_rack7_host_overlay_cidr">Arkham!$C$43</definedName>
    <definedName name="input_wld_az1_rack7_host_overlay_gateway_ip">#REF!</definedName>
    <definedName name="input_wld_az1_rack7_host_overlay_mask">#REF!</definedName>
    <definedName name="input_wld_az1_rack7_host_overlay_mtu">#REF!</definedName>
    <definedName name="input_wld_az1_rack7_host_overlay_network">#REF!</definedName>
    <definedName name="input_wld_az1_rack7_host_overlay_network_pool_name">#REF!</definedName>
    <definedName name="input_wld_az1_rack7_host_overlay_network_profile_name">#REF!</definedName>
    <definedName name="input_wld_az1_rack7_host_overlay_pool_end_ip">#REF!</definedName>
    <definedName name="input_wld_az1_rack7_host_overlay_pool_start_ip">#REF!</definedName>
    <definedName name="input_wld_az1_rack7_host_overlay_uplink_profile_name">#REF!</definedName>
    <definedName name="input_wld_az1_rack7_host_overlay_vlan">#REF!</definedName>
    <definedName name="input_wld_az1_rack7_host1_fqdn">#REF!</definedName>
    <definedName name="input_wld_az1_rack7_host1_mgmt_ip">#REF!</definedName>
    <definedName name="input_wld_az1_rack7_host10_fqdn">#REF!</definedName>
    <definedName name="input_wld_az1_rack7_host10_mgmt_ip">#REF!</definedName>
    <definedName name="input_wld_az1_rack7_host11_fqdn">#REF!</definedName>
    <definedName name="input_wld_az1_rack7_host11_mgmt_ip">#REF!</definedName>
    <definedName name="input_wld_az1_rack7_host12_fqdn">#REF!</definedName>
    <definedName name="input_wld_az1_rack7_host12_mgmt_ip">#REF!</definedName>
    <definedName name="input_wld_az1_rack7_host13_fqdn">#REF!</definedName>
    <definedName name="input_wld_az1_rack7_host13_mgmt_ip">#REF!</definedName>
    <definedName name="input_wld_az1_rack7_host14_fqdn">#REF!</definedName>
    <definedName name="input_wld_az1_rack7_host14_mgmt_ip">#REF!</definedName>
    <definedName name="input_wld_az1_rack7_host15_fqdn">#REF!</definedName>
    <definedName name="input_wld_az1_rack7_host15_mgmt_ip">#REF!</definedName>
    <definedName name="input_wld_az1_rack7_host16_fqdn">#REF!</definedName>
    <definedName name="input_wld_az1_rack7_host16_mgmt_ip">#REF!</definedName>
    <definedName name="input_wld_az1_rack7_host2_fqdn">#REF!</definedName>
    <definedName name="input_wld_az1_rack7_host2_mgmt_ip">#REF!</definedName>
    <definedName name="input_wld_az1_rack7_host3_fqdn">#REF!</definedName>
    <definedName name="input_wld_az1_rack7_host3_mgmt_ip">#REF!</definedName>
    <definedName name="input_wld_az1_rack7_host4_fqdn">#REF!</definedName>
    <definedName name="input_wld_az1_rack7_host4_mgmt_ip">#REF!</definedName>
    <definedName name="input_wld_az1_rack7_host5_fqdn">#REF!</definedName>
    <definedName name="input_wld_az1_rack7_host5_mgmt_ip">#REF!</definedName>
    <definedName name="input_wld_az1_rack7_host6_fqdn">#REF!</definedName>
    <definedName name="input_wld_az1_rack7_host6_mgmt_ip">#REF!</definedName>
    <definedName name="input_wld_az1_rack7_host7_fqdn">#REF!</definedName>
    <definedName name="input_wld_az1_rack7_host7_mgmt_ip">#REF!</definedName>
    <definedName name="input_wld_az1_rack7_host8_fqdn">#REF!</definedName>
    <definedName name="input_wld_az1_rack7_host8_mgmt_ip">#REF!</definedName>
    <definedName name="input_wld_az1_rack7_host9_fqdn">#REF!</definedName>
    <definedName name="input_wld_az1_rack7_host9_mgmt_ip">#REF!</definedName>
    <definedName name="input_wld_az1_rack7_mgmt_cidr">#REF!</definedName>
    <definedName name="input_wld_az1_rack7_mgmt_gateway_ip">#REF!</definedName>
    <definedName name="input_wld_az1_rack7_mgmt_mtu">#REF!</definedName>
    <definedName name="input_wld_az1_rack7_mgmt_vlan">#REF!</definedName>
    <definedName name="input_wld_az1_rack7_mgmt_vm_cidr">'Value Reference Tables - MR'!$N$280</definedName>
    <definedName name="input_wld_az1_rack7_mgmt_vm_gateway_ip">'Value Reference Tables - MR'!$P$280</definedName>
    <definedName name="input_wld_az1_rack7_mgmt_vm_mtu">'Value Reference Tables - MR'!$R$280</definedName>
    <definedName name="input_wld_az1_rack7_mgmt_vm_vlan">'Value Reference Tables - MR'!$L$280</definedName>
    <definedName name="input_wld_az1_rack7_pool_name">#REF!</definedName>
    <definedName name="input_wld_az1_rack7_principal_storage_cidr">Arkham!$C$41</definedName>
    <definedName name="input_wld_az1_rack7_principal_storage_gateway_ip">#REF!</definedName>
    <definedName name="input_wld_az1_rack7_principal_storage_mask">#REF!</definedName>
    <definedName name="input_wld_az1_rack7_principal_storage_mtu">#REF!</definedName>
    <definedName name="input_wld_az1_rack7_principal_storage_network">#REF!</definedName>
    <definedName name="input_wld_az1_rack7_principal_storage_pool_end_ip">#REF!</definedName>
    <definedName name="input_wld_az1_rack7_principal_storage_pool_start_ip">#REF!</definedName>
    <definedName name="input_wld_az1_rack7_principal_storage_vlan">#REF!</definedName>
    <definedName name="input_wld_az1_rack7_rtep_ip_pool_name">#REF!</definedName>
    <definedName name="input_wld_az1_rack7_secondary_storage_cidr">Arkham!$C$42</definedName>
    <definedName name="input_wld_az1_rack7_secondary_storage_gateway_ip">'Dumping Ground'!$D$552</definedName>
    <definedName name="input_wld_az1_rack7_secondary_storage_mask">'Dumping Ground'!$D$551</definedName>
    <definedName name="input_wld_az1_rack7_secondary_storage_mtu">'Dumping Ground'!$D$549</definedName>
    <definedName name="input_wld_az1_rack7_secondary_storage_network">'Dumping Ground'!$D$550</definedName>
    <definedName name="input_wld_az1_rack7_secondary_storage_pool_end_ip">'Dumping Ground'!$D$554</definedName>
    <definedName name="input_wld_az1_rack7_secondary_storage_pool_start_ip">'Dumping Ground'!$D$553</definedName>
    <definedName name="input_wld_az1_rack7_secondary_storage_vlan">'Dumping Ground'!$D$548</definedName>
    <definedName name="input_wld_az1_rack7_tor1_peer_asn">Arkham!$R$75</definedName>
    <definedName name="input_wld_az1_rack7_tor1_peer_bgp_password">Arkham!$R$76</definedName>
    <definedName name="input_wld_az1_rack7_tor1_peer_ip">Arkham!$R$74</definedName>
    <definedName name="input_wld_az1_rack7_tor2_peer_asn">Arkham!$R$78</definedName>
    <definedName name="input_wld_az1_rack7_tor2_peer_bgp_password">Arkham!$R$79</definedName>
    <definedName name="input_wld_az1_rack7_tor2_peer_ip">Arkham!$R$77</definedName>
    <definedName name="input_wld_az1_rack7_uplink01_gateway_ip">Arkham!$R$62</definedName>
    <definedName name="input_wld_az1_rack7_uplink01_mask">Arkham!$R$65</definedName>
    <definedName name="input_wld_az1_rack7_uplink01_mtu">Arkham!$R$68</definedName>
    <definedName name="input_wld_az1_rack7_uplink01_network">Arkham!$R$59</definedName>
    <definedName name="input_wld_az1_rack7_uplink01_vlan">Arkham!$R$56</definedName>
    <definedName name="input_wld_az1_rack7_uplink02_gateway_ip">Arkham!$R$63</definedName>
    <definedName name="input_wld_az1_rack7_uplink02_mask">Arkham!$R$66</definedName>
    <definedName name="input_wld_az1_rack7_uplink02_mtu">Arkham!$R$69</definedName>
    <definedName name="input_wld_az1_rack7_uplink02_network">Arkham!$R$60</definedName>
    <definedName name="input_wld_az1_rack7_uplink02_vlan">Arkham!$R$57</definedName>
    <definedName name="input_wld_az1_rack7_vmotion_cidr">Arkham!$C$40</definedName>
    <definedName name="input_wld_az1_rack7_vmotion_gateway_ip">#REF!</definedName>
    <definedName name="input_wld_az1_rack7_vmotion_mask">#REF!</definedName>
    <definedName name="input_wld_az1_rack7_vmotion_mtu">#REF!</definedName>
    <definedName name="input_wld_az1_rack7_vmotion_network">#REF!</definedName>
    <definedName name="input_wld_az1_rack7_vmotion_pool_end_ip">#REF!</definedName>
    <definedName name="input_wld_az1_rack7_vmotion_pool_start_ip">#REF!</definedName>
    <definedName name="input_wld_az1_rack7_vmotion_vlan">#REF!</definedName>
    <definedName name="input_wld_az1_rack7_vsan_fault_domain">#REF!</definedName>
    <definedName name="input_wld_az1_rack8_edge_overlay_gateway_ip">Arkham!$U$64</definedName>
    <definedName name="input_wld_az1_rack8_edge_overlay_mask">Arkham!$U$67</definedName>
    <definedName name="input_wld_az1_rack8_edge_overlay_mtu">Arkham!$U$70</definedName>
    <definedName name="input_wld_az1_rack8_edge_overlay_network">Arkham!$U$61</definedName>
    <definedName name="input_wld_az1_rack8_edge_overlay_network_pool_name">#REF!</definedName>
    <definedName name="input_wld_az1_rack8_edge_overlay_pool_end_ip">Arkham!$U$72</definedName>
    <definedName name="input_wld_az1_rack8_edge_overlay_pool_start_ip">Arkham!$U$71</definedName>
    <definedName name="input_wld_az1_rack8_edge_overlay_vlan">Arkham!$U$58</definedName>
    <definedName name="input_wld_az1_rack8_host_overlay_cidr">Arkham!$C$47</definedName>
    <definedName name="input_wld_az1_rack8_host_overlay_gateway_ip">#REF!</definedName>
    <definedName name="input_wld_az1_rack8_host_overlay_mask">#REF!</definedName>
    <definedName name="input_wld_az1_rack8_host_overlay_mtu">#REF!</definedName>
    <definedName name="input_wld_az1_rack8_host_overlay_network">#REF!</definedName>
    <definedName name="input_wld_az1_rack8_host_overlay_network_pool_name">#REF!</definedName>
    <definedName name="input_wld_az1_rack8_host_overlay_network_profile_name">#REF!</definedName>
    <definedName name="input_wld_az1_rack8_host_overlay_pool_end_ip">#REF!</definedName>
    <definedName name="input_wld_az1_rack8_host_overlay_pool_start_ip">#REF!</definedName>
    <definedName name="input_wld_az1_rack8_host_overlay_uplink_profile_name">#REF!</definedName>
    <definedName name="input_wld_az1_rack8_host_overlay_vlan">#REF!</definedName>
    <definedName name="input_wld_az1_rack8_host1_fqdn">#REF!</definedName>
    <definedName name="input_wld_az1_rack8_host1_mgmt_ip">#REF!</definedName>
    <definedName name="input_wld_az1_rack8_host10_fqdn">#REF!</definedName>
    <definedName name="input_wld_az1_rack8_host10_mgmt_ip">#REF!</definedName>
    <definedName name="input_wld_az1_rack8_host11_fqdn">#REF!</definedName>
    <definedName name="input_wld_az1_rack8_host11_mgmt_ip">#REF!</definedName>
    <definedName name="input_wld_az1_rack8_host12_fqdn">#REF!</definedName>
    <definedName name="input_wld_az1_rack8_host12_mgmt_ip">#REF!</definedName>
    <definedName name="input_wld_az1_rack8_host13_fqdn">#REF!</definedName>
    <definedName name="input_wld_az1_rack8_host13_mgmt_ip">#REF!</definedName>
    <definedName name="input_wld_az1_rack8_host14_fqdn">#REF!</definedName>
    <definedName name="input_wld_az1_rack8_host14_mgmt_ip">#REF!</definedName>
    <definedName name="input_wld_az1_rack8_host15_fqdn">#REF!</definedName>
    <definedName name="input_wld_az1_rack8_host15_mgmt_ip">#REF!</definedName>
    <definedName name="input_wld_az1_rack8_host16_fqdn">#REF!</definedName>
    <definedName name="input_wld_az1_rack8_host16_mgmt_ip">#REF!</definedName>
    <definedName name="input_wld_az1_rack8_host2_fqdn">#REF!</definedName>
    <definedName name="input_wld_az1_rack8_host2_mgmt_ip">#REF!</definedName>
    <definedName name="input_wld_az1_rack8_host3_fqdn">#REF!</definedName>
    <definedName name="input_wld_az1_rack8_host3_mgmt_ip">#REF!</definedName>
    <definedName name="input_wld_az1_rack8_host4_fqdn">#REF!</definedName>
    <definedName name="input_wld_az1_rack8_host4_mgmt_ip">#REF!</definedName>
    <definedName name="input_wld_az1_rack8_host5_fqdn">#REF!</definedName>
    <definedName name="input_wld_az1_rack8_host5_mgmt_ip">#REF!</definedName>
    <definedName name="input_wld_az1_rack8_host6_fqdn">#REF!</definedName>
    <definedName name="input_wld_az1_rack8_host6_mgmt_ip">#REF!</definedName>
    <definedName name="input_wld_az1_rack8_host7_fqdn">#REF!</definedName>
    <definedName name="input_wld_az1_rack8_host7_mgmt_ip">#REF!</definedName>
    <definedName name="input_wld_az1_rack8_host8_fqdn">#REF!</definedName>
    <definedName name="input_wld_az1_rack8_host8_mgmt_ip">#REF!</definedName>
    <definedName name="input_wld_az1_rack8_host9_fqdn">#REF!</definedName>
    <definedName name="input_wld_az1_rack8_host9_mgmt_ip">#REF!</definedName>
    <definedName name="input_wld_az1_rack8_mgmt_cidr">#REF!</definedName>
    <definedName name="input_wld_az1_rack8_mgmt_gateway_ip">#REF!</definedName>
    <definedName name="input_wld_az1_rack8_mgmt_mtu">#REF!</definedName>
    <definedName name="input_wld_az1_rack8_mgmt_vlan">#REF!</definedName>
    <definedName name="input_wld_az1_rack8_mgmt_vm_cidr">'Value Reference Tables - MR'!$N$281</definedName>
    <definedName name="input_wld_az1_rack8_mgmt_vm_gateway_ip">'Value Reference Tables - MR'!$P$281</definedName>
    <definedName name="input_wld_az1_rack8_mgmt_vm_mtu">'Value Reference Tables - MR'!$R$281</definedName>
    <definedName name="input_wld_az1_rack8_mgmt_vm_vlan">'Value Reference Tables - MR'!$L$281</definedName>
    <definedName name="input_wld_az1_rack8_pool_name">#REF!</definedName>
    <definedName name="input_wld_az1_rack8_principal_storage_cidr">Arkham!$C$45</definedName>
    <definedName name="input_wld_az1_rack8_principal_storage_gateway_ip">#REF!</definedName>
    <definedName name="input_wld_az1_rack8_principal_storage_mask">#REF!</definedName>
    <definedName name="input_wld_az1_rack8_principal_storage_mtu">#REF!</definedName>
    <definedName name="input_wld_az1_rack8_principal_storage_network">#REF!</definedName>
    <definedName name="input_wld_az1_rack8_principal_storage_pool_end_ip">#REF!</definedName>
    <definedName name="input_wld_az1_rack8_principal_storage_pool_start_ip">#REF!</definedName>
    <definedName name="input_wld_az1_rack8_principal_storage_vlan">#REF!</definedName>
    <definedName name="input_wld_az1_rack8_rtep_ip_pool_name">#REF!</definedName>
    <definedName name="input_wld_az1_rack8_secondary_storage_cidr">Arkham!$C$46</definedName>
    <definedName name="input_wld_az1_rack8_secondary_storage_gateway_ip">'Dumping Ground'!$D$560</definedName>
    <definedName name="input_wld_az1_rack8_secondary_storage_mask">'Dumping Ground'!$D$559</definedName>
    <definedName name="input_wld_az1_rack8_secondary_storage_mtu">'Dumping Ground'!$D$557</definedName>
    <definedName name="input_wld_az1_rack8_secondary_storage_network">'Dumping Ground'!$D$558</definedName>
    <definedName name="input_wld_az1_rack8_secondary_storage_pool_end_ip">'Dumping Ground'!$D$562</definedName>
    <definedName name="input_wld_az1_rack8_secondary_storage_pool_start_ip">'Dumping Ground'!$D$561</definedName>
    <definedName name="input_wld_az1_rack8_secondary_storage_vlan">'Dumping Ground'!$D$556</definedName>
    <definedName name="input_wld_az1_rack8_tor1_peer_asn">Arkham!$U$75</definedName>
    <definedName name="input_wld_az1_rack8_tor1_peer_bgp_password">Arkham!$U$76</definedName>
    <definedName name="input_wld_az1_rack8_tor1_peer_ip">Arkham!$U$74</definedName>
    <definedName name="input_wld_az1_rack8_tor2_peer_asn">Arkham!$U$78</definedName>
    <definedName name="input_wld_az1_rack8_tor2_peer_bgp_password">Arkham!$U$79</definedName>
    <definedName name="input_wld_az1_rack8_tor2_peer_ip">Arkham!$U$77</definedName>
    <definedName name="input_wld_az1_rack8_uplink01_gateway_ip">Arkham!$U$62</definedName>
    <definedName name="input_wld_az1_rack8_uplink01_mask">Arkham!$U$65</definedName>
    <definedName name="input_wld_az1_rack8_uplink01_mtu">Arkham!$U$68</definedName>
    <definedName name="input_wld_az1_rack8_uplink01_network">Arkham!$U$59</definedName>
    <definedName name="input_wld_az1_rack8_uplink01_vlan">Arkham!$U$56</definedName>
    <definedName name="input_wld_az1_rack8_uplink02_gateway_ip">Arkham!$U$63</definedName>
    <definedName name="input_wld_az1_rack8_uplink02_mask">Arkham!$U$66</definedName>
    <definedName name="input_wld_az1_rack8_uplink02_mtu">Arkham!$U$69</definedName>
    <definedName name="input_wld_az1_rack8_uplink02_network">Arkham!$U$60</definedName>
    <definedName name="input_wld_az1_rack8_uplink02_vlan">Arkham!$U$57</definedName>
    <definedName name="input_wld_az1_rack8_vmotion_cidr">Arkham!$C$44</definedName>
    <definedName name="input_wld_az1_rack8_vmotion_gateway_ip">#REF!</definedName>
    <definedName name="input_wld_az1_rack8_vmotion_mask">#REF!</definedName>
    <definedName name="input_wld_az1_rack8_vmotion_mtu">#REF!</definedName>
    <definedName name="input_wld_az1_rack8_vmotion_network">#REF!</definedName>
    <definedName name="input_wld_az1_rack8_vmotion_pool_end_ip">#REF!</definedName>
    <definedName name="input_wld_az1_rack8_vmotion_pool_start_ip">#REF!</definedName>
    <definedName name="input_wld_az1_rack8_vmotion_vlan">#REF!</definedName>
    <definedName name="input_wld_az1_rack8_vsan_fault_domain">#REF!</definedName>
    <definedName name="input_wld_az1_rtep_ip_pool_name">#REF!</definedName>
    <definedName name="input_wld_az1_rtep_overlay_cidr">#REF!</definedName>
    <definedName name="input_wld_az1_rtep_overlay_gateway_ip">#REF!</definedName>
    <definedName name="input_wld_az1_rtep_overlay_vlan">#REF!</definedName>
    <definedName name="input_wld_az1_secondary_storage_gateway_cidr">#REF!</definedName>
    <definedName name="input_wld_az1_secondary_storage_mtu">#REF!</definedName>
    <definedName name="input_wld_az1_secondary_storage_pool_end_ip">#REF!</definedName>
    <definedName name="input_wld_az1_secondary_storage_pool_start_ip">#REF!</definedName>
    <definedName name="input_wld_az1_secondary_storage_vlan">#REF!</definedName>
    <definedName name="input_wld_az1_storage_cluster_gateway_cidr">#REF!</definedName>
    <definedName name="input_wld_az1_storage_cluster_mtu">#REF!</definedName>
    <definedName name="input_wld_az1_storage_cluster_pool_end_ip">#REF!</definedName>
    <definedName name="input_wld_az1_storage_cluster_pool_start_ip">#REF!</definedName>
    <definedName name="input_wld_az1_storage_cluster_vlan">#REF!</definedName>
    <definedName name="input_wld_az1_tor1_peer_asn">#REF!</definedName>
    <definedName name="input_wld_az1_tor1_peer_bgp_password">#REF!</definedName>
    <definedName name="input_wld_az1_tor1_peer_ip">#REF!</definedName>
    <definedName name="input_wld_az1_tor2_peer_asn">#REF!</definedName>
    <definedName name="input_wld_az1_tor2_peer_bgp_password">#REF!</definedName>
    <definedName name="input_wld_az1_tor2_peer_ip">#REF!</definedName>
    <definedName name="input_wld_az1_uplink01_cidr">#REF!</definedName>
    <definedName name="input_wld_az1_uplink01_gateway_ip">#REF!</definedName>
    <definedName name="input_wld_az1_uplink01_mtu">#REF!</definedName>
    <definedName name="input_wld_az1_uplink01_vlan">#REF!</definedName>
    <definedName name="input_wld_az1_uplink02_cidr">#REF!</definedName>
    <definedName name="input_wld_az1_uplink02_gateway_ip">#REF!</definedName>
    <definedName name="input_wld_az1_uplink02_mtu">#REF!</definedName>
    <definedName name="input_wld_az1_uplink02_vlan">#REF!</definedName>
    <definedName name="input_wld_az1_vmotion_gateway_cidr">#REF!</definedName>
    <definedName name="input_wld_az1_vmotion_mtu">#REF!</definedName>
    <definedName name="input_wld_az1_vmotion_pool_end_ip">#REF!</definedName>
    <definedName name="input_wld_az1_vmotion_pool_start_ip">#REF!</definedName>
    <definedName name="input_wld_az1_vmotion_vlan">#REF!</definedName>
    <definedName name="input_wld_az1_vrms_cidr">'Dumping Ground'!$D$270</definedName>
    <definedName name="input_wld_az1_vrms_gateway_ip">'Dumping Ground'!$D$269</definedName>
    <definedName name="input_wld_az1_vrms_mtu">'Dumping Ground'!$D$271</definedName>
    <definedName name="input_wld_az1_vrms_vlan">'Dumping Ground'!$D$268</definedName>
    <definedName name="input_wld_az2_host_overlay_cidr">#REF!</definedName>
    <definedName name="input_wld_az2_host_overlay_gateway_ip">#REF!</definedName>
    <definedName name="input_wld_az2_host_overlay_mtu">#REF!</definedName>
    <definedName name="input_wld_az2_host_overlay_network_pool_name">#REF!</definedName>
    <definedName name="input_wld_az2_host_overlay_network_profile_name">#REF!</definedName>
    <definedName name="input_wld_az2_host_overlay_pool_end_ip">#REF!</definedName>
    <definedName name="input_wld_az2_host_overlay_pool_start_ip">#REF!</definedName>
    <definedName name="input_wld_az2_host_overlay_uplink_profile_name">#REF!</definedName>
    <definedName name="input_wld_az2_host_overlay_vlan">#REF!</definedName>
    <definedName name="input_wld_az2_host1_fqdn">#REF!</definedName>
    <definedName name="input_wld_az2_host1_mgmt_ip">#REF!</definedName>
    <definedName name="input_wld_az2_host1_sddc_id">#REF!</definedName>
    <definedName name="input_wld_az2_host1_vrms_ip">'Dumping Ground'!$D$310</definedName>
    <definedName name="input_wld_az2_host10_fqdn">#REF!</definedName>
    <definedName name="input_wld_az2_host10_mgmt_ip">#REF!</definedName>
    <definedName name="input_wld_az2_host10_vrms_ip">'Dumping Ground'!$D$319</definedName>
    <definedName name="input_wld_az2_host11_fqdn">#REF!</definedName>
    <definedName name="input_wld_az2_host11_mgmt_ip">#REF!</definedName>
    <definedName name="input_wld_az2_host11_vrms_ip">'Dumping Ground'!$D$320</definedName>
    <definedName name="input_wld_az2_host12_fqdn">#REF!</definedName>
    <definedName name="input_wld_az2_host12_mgmt_ip">#REF!</definedName>
    <definedName name="input_wld_az2_host12_vrms_ip">'Dumping Ground'!$D$321</definedName>
    <definedName name="input_wld_az2_host13_fqdn">#REF!</definedName>
    <definedName name="input_wld_az2_host13_mgmt_ip">#REF!</definedName>
    <definedName name="input_wld_az2_host13_vrms_ip">'Dumping Ground'!$D$322</definedName>
    <definedName name="input_wld_az2_host14_fqdn">#REF!</definedName>
    <definedName name="input_wld_az2_host14_mgmt_ip">#REF!</definedName>
    <definedName name="input_wld_az2_host14_vrms_ip">'Dumping Ground'!$D$323</definedName>
    <definedName name="input_wld_az2_host15_fqdn">#REF!</definedName>
    <definedName name="input_wld_az2_host15_mgmt_ip">#REF!</definedName>
    <definedName name="input_wld_az2_host15_vrms_ip">'Dumping Ground'!$D$324</definedName>
    <definedName name="input_wld_az2_host16_fqdn">#REF!</definedName>
    <definedName name="input_wld_az2_host16_mgmt_ip">#REF!</definedName>
    <definedName name="input_wld_az2_host16_vrms_ip">'Dumping Ground'!$D$325</definedName>
    <definedName name="input_wld_az2_host2_fqdn">#REF!</definedName>
    <definedName name="input_wld_az2_host2_mgmt_ip">#REF!</definedName>
    <definedName name="input_wld_az2_host2_sddc_id">#REF!</definedName>
    <definedName name="input_wld_az2_host2_vrms_ip">'Dumping Ground'!$D$311</definedName>
    <definedName name="input_wld_az2_host3_fqdn">#REF!</definedName>
    <definedName name="input_wld_az2_host3_mgmt_ip">#REF!</definedName>
    <definedName name="input_wld_az2_host3_sddc_id">#REF!</definedName>
    <definedName name="input_wld_az2_host3_vrms_ip">'Dumping Ground'!$D$312</definedName>
    <definedName name="input_wld_az2_host4_fqdn">#REF!</definedName>
    <definedName name="input_wld_az2_host4_mgmt_ip">#REF!</definedName>
    <definedName name="input_wld_az2_host4_sddc_id">#REF!</definedName>
    <definedName name="input_wld_az2_host4_vrms_ip">'Dumping Ground'!$D$313</definedName>
    <definedName name="input_wld_az2_host5_fqdn">#REF!</definedName>
    <definedName name="input_wld_az2_host5_mgmt_ip">#REF!</definedName>
    <definedName name="input_wld_az2_host5_vrms_ip">'Dumping Ground'!$D$314</definedName>
    <definedName name="input_wld_az2_host6_fqdn">#REF!</definedName>
    <definedName name="input_wld_az2_host6_mgmt_ip">#REF!</definedName>
    <definedName name="input_wld_az2_host6_vrms_ip">'Dumping Ground'!$D$315</definedName>
    <definedName name="input_wld_az2_host7_fqdn">#REF!</definedName>
    <definedName name="input_wld_az2_host7_mgmt_ip">#REF!</definedName>
    <definedName name="input_wld_az2_host7_vrms_ip">'Dumping Ground'!$D$316</definedName>
    <definedName name="input_wld_az2_host8_fqdn">#REF!</definedName>
    <definedName name="input_wld_az2_host8_mgmt_ip">#REF!</definedName>
    <definedName name="input_wld_az2_host8_vrms_ip">'Dumping Ground'!$D$317</definedName>
    <definedName name="input_wld_az2_host9_fqdn">#REF!</definedName>
    <definedName name="input_wld_az2_host9_mgmt_ip">#REF!</definedName>
    <definedName name="input_wld_az2_host9_vrms_ip">'Dumping Ground'!$D$318</definedName>
    <definedName name="input_wld_az2_mgmt_cidr">#REF!</definedName>
    <definedName name="input_wld_az2_mgmt_gateway_ip">#REF!</definedName>
    <definedName name="input_wld_az2_mgmt_mtu">#REF!</definedName>
    <definedName name="input_wld_az2_mgmt_vlan">#REF!</definedName>
    <definedName name="input_wld_az2_pool_name">#REF!</definedName>
    <definedName name="input_wld_az2_principal_storage_gateway_ip">#REF!</definedName>
    <definedName name="input_wld_az2_principal_storage_mask">#REF!</definedName>
    <definedName name="input_wld_az2_principal_storage_mtu">#REF!</definedName>
    <definedName name="input_wld_az2_principal_storage_network">#REF!</definedName>
    <definedName name="input_wld_az2_principal_storage_pool_end_ip">#REF!</definedName>
    <definedName name="input_wld_az2_principal_storage_pool_start_ip">#REF!</definedName>
    <definedName name="input_wld_az2_principal_storage_vlan">#REF!</definedName>
    <definedName name="input_wld_az2_secondary_storage_gateway_ip">#REF!</definedName>
    <definedName name="input_wld_az2_secondary_storage_mask">#REF!</definedName>
    <definedName name="input_wld_az2_secondary_storage_mtu">#REF!</definedName>
    <definedName name="input_wld_az2_secondary_storage_network">#REF!</definedName>
    <definedName name="input_wld_az2_secondary_storage_pool_end_ip">#REF!</definedName>
    <definedName name="input_wld_az2_secondary_storage_pool_start_ip">#REF!</definedName>
    <definedName name="input_wld_az2_secondary_storage_vlan">#REF!</definedName>
    <definedName name="input_wld_az2_storage_cluster_gateway_ip">#REF!</definedName>
    <definedName name="input_wld_az2_storage_cluster_mask">#REF!</definedName>
    <definedName name="input_wld_az2_storage_cluster_mtu">#REF!</definedName>
    <definedName name="input_wld_az2_storage_cluster_network">#REF!</definedName>
    <definedName name="input_wld_az2_storage_cluster_pool_end_ip">#REF!</definedName>
    <definedName name="input_wld_az2_storage_cluster_pool_start_ip">#REF!</definedName>
    <definedName name="input_wld_az2_storage_cluster_vlan">#REF!</definedName>
    <definedName name="input_wld_az2_tor1_peer_asn">#REF!</definedName>
    <definedName name="input_wld_az2_tor1_peer_bgp_password">#REF!</definedName>
    <definedName name="input_wld_az2_tor1_peer_ip">#REF!</definedName>
    <definedName name="input_wld_az2_tor2_peer_asn">#REF!</definedName>
    <definedName name="input_wld_az2_tor2_peer_bgp_password">#REF!</definedName>
    <definedName name="input_wld_az2_tor2_peer_ip">#REF!</definedName>
    <definedName name="input_wld_az2_vmotion_gateway_ip">#REF!</definedName>
    <definedName name="input_wld_az2_vmotion_mask">#REF!</definedName>
    <definedName name="input_wld_az2_vmotion_mtu">#REF!</definedName>
    <definedName name="input_wld_az2_vmotion_network">#REF!</definedName>
    <definedName name="input_wld_az2_vmotion_pool_end_ip">#REF!</definedName>
    <definedName name="input_wld_az2_vmotion_pool_start_ip">#REF!</definedName>
    <definedName name="input_wld_az2_vmotion_vlan">#REF!</definedName>
    <definedName name="input_wld_bf_nsxt_admin_password">#REF!</definedName>
    <definedName name="input_wld_bf_nsxt_audit_password">#REF!</definedName>
    <definedName name="input_wld_bf_nsxt_mgra_fqdn">#REF!</definedName>
    <definedName name="input_wld_bf_nsxt_mgrb_fqdn">#REF!</definedName>
    <definedName name="input_wld_bf_nsxt_mgrc_fqdn">#REF!</definedName>
    <definedName name="input_wld_bf_nsxt_root_password">#REF!</definedName>
    <definedName name="input_wld_bf_nsxt_vip_fqdn">#REF!</definedName>
    <definedName name="input_wld_bf_sddc_domain">#REF!</definedName>
    <definedName name="input_wld_bf_vc_fqdn">#REF!</definedName>
    <definedName name="input_wld_bf_vc_root_password">#REF!</definedName>
    <definedName name="input_wld_bf_vc_sso_password">#REF!</definedName>
    <definedName name="input_wld_bf_vc_sso_username">#REF!</definedName>
    <definedName name="input_wld_cl01_az1_mgmt_pg">#REF!</definedName>
    <definedName name="input_wld_cl01_az1_mgmt_vm_pg">#REF!</definedName>
    <definedName name="input_wld_cl01_az1_nsx_uplink_count">#REF!</definedName>
    <definedName name="input_wld_cl01_az1_principal_storage_pg">#REF!</definedName>
    <definedName name="input_wld_cl01_az1_uplink01_pg">#REF!</definedName>
    <definedName name="input_wld_cl01_az1_uplink02_pg">#REF!</definedName>
    <definedName name="input_wld_cl01_az1_vmotion_pg">#REF!</definedName>
    <definedName name="input_wld_cl01_az1_vsan_storage_client_pg">#REF!</definedName>
    <definedName name="input_wld_cl01_cluster">#REF!</definedName>
    <definedName name="input_wld_cl01_cluster_sddc_id">#REF!</definedName>
    <definedName name="input_wld_cl01_cluster_zn_name">#REF!</definedName>
    <definedName name="input_wld_cl01_evc_mode">'Dumping Ground'!$S$7</definedName>
    <definedName name="input_wld_cl01_image_name">#REF!</definedName>
    <definedName name="input_wld_cl01_nfs_datastore_name">#REF!</definedName>
    <definedName name="input_wld_cl01_nfs_server_address">#REF!</definedName>
    <definedName name="input_wld_cl01_nfs_share_path">#REF!</definedName>
    <definedName name="input_wld_cl01_supervisor_control_plane_ip_range">#REF!</definedName>
    <definedName name="input_wld_cl01_supervisor_dns">#REF!</definedName>
    <definedName name="input_wld_cl01_supervisor_name">#REF!</definedName>
    <definedName name="input_wld_cl01_supervisor_nsx_project">#REF!</definedName>
    <definedName name="input_wld_cl01_supervisor_ntp">#REF!</definedName>
    <definedName name="input_wld_cl01_supervisor_private_transit_gateway_cidr">#REF!</definedName>
    <definedName name="input_wld_cl01_supervisor_service_cidr">#REF!</definedName>
    <definedName name="input_wld_cl01_supervisor_vpc_profile">#REF!</definedName>
    <definedName name="input_wld_cl01_vds01_lag_name">#REF!</definedName>
    <definedName name="input_wld_cl01_vds01_mtu">#REF!</definedName>
    <definedName name="input_wld_cl01_vds01_name">#REF!</definedName>
    <definedName name="input_wld_cl01_vds01_pnics">#REF!</definedName>
    <definedName name="input_wld_cl01_vds01_uplink_count">#REF!</definedName>
    <definedName name="input_wld_cl01_vds02_lag_name">#REF!</definedName>
    <definedName name="input_wld_cl01_vds02_mtu">#REF!</definedName>
    <definedName name="input_wld_cl01_vds02_name">#REF!</definedName>
    <definedName name="input_wld_cl01_vds02_pnics">#REF!</definedName>
    <definedName name="input_wld_cl01_vds02_uplink_count">#REF!</definedName>
    <definedName name="input_wld_cl01_vds03_lag_name">#REF!</definedName>
    <definedName name="input_wld_cl01_vds03_mtu">#REF!</definedName>
    <definedName name="input_wld_cl01_vds03_name">#REF!</definedName>
    <definedName name="input_wld_cl01_vds03_pnics">#REF!</definedName>
    <definedName name="input_wld_cl01_vds03_uplink_count">#REF!</definedName>
    <definedName name="input_wld_cl01_vmfs_datastore_name">#REF!</definedName>
    <definedName name="input_wld_cl01_vsan_datastore">#REF!</definedName>
    <definedName name="input_wld_cl01_vsan_dit_rekey_custom_interval">#REF!</definedName>
    <definedName name="input_wld_cl01_vsan_dit_rekey_default_interval">#REF!</definedName>
    <definedName name="input_wld_datacenter">#REF!</definedName>
    <definedName name="input_wld_day2_vnaa_fqdn">#REF!</definedName>
    <definedName name="input_wld_day2_vnab_fqdn">#REF!</definedName>
    <definedName name="input_wld_ec_mtu">#REF!</definedName>
    <definedName name="input_wld_ec_name">#REF!</definedName>
    <definedName name="input_wld_ec_rp_name">#REF!</definedName>
    <definedName name="input_wld_ec01_en01_host_group_affinity_rule_name">#REF!</definedName>
    <definedName name="input_wld_ec01_en02_host_group_affinity_rule_name">#REF!</definedName>
    <definedName name="input_wld_en_asn">#REF!</definedName>
    <definedName name="input_wld_esx_root_password">#REF!</definedName>
    <definedName name="input_wld_esx_root_username">#REF!</definedName>
    <definedName name="input_wld_existing_active_nsx_gm">#REF!</definedName>
    <definedName name="input_wld_existing_cross_instance_t0_name">#REF!</definedName>
    <definedName name="input_wld_host_overlay_transportzone">#REF!</definedName>
    <definedName name="input_wld_nsx_vlan_transport_zone_name">#REF!</definedName>
    <definedName name="input_wld_nsxt_en_admin_password">#REF!</definedName>
    <definedName name="input_wld_nsxt_en_root_password">#REF!</definedName>
    <definedName name="input_wld_nsxt_federation_global_manager_name">#REF!</definedName>
    <definedName name="input_wld_nsxt_federation_location_name">#REF!</definedName>
    <definedName name="input_wld_nsxt_global_mgr_anti_affinity_rule_name">#REF!</definedName>
    <definedName name="input_wld_nsxt_global_mgr_certificate_id">#REF!</definedName>
    <definedName name="input_wld_nsxt_global_mgr_cluster_id">#REF!</definedName>
    <definedName name="input_wld_nsxt_global_mgr_vmca_signed_thumbprint">#REF!</definedName>
    <definedName name="input_wld_nsxt_global_mgra_fqdn">#REF!</definedName>
    <definedName name="input_wld_nsxt_global_mgra_hostname">#REF!</definedName>
    <definedName name="input_wld_nsxt_global_mgra_ip">#REF!</definedName>
    <definedName name="input_wld_nsxt_global_mgrb_fqdn">#REF!</definedName>
    <definedName name="input_wld_nsxt_global_mgrb_hostname">#REF!</definedName>
    <definedName name="input_wld_nsxt_global_mgrb_ip">#REF!</definedName>
    <definedName name="input_wld_nsxt_global_mgrc_fqdn">#REF!</definedName>
    <definedName name="input_wld_nsxt_global_mgrc_hostname">#REF!</definedName>
    <definedName name="input_wld_nsxt_global_mgrc_ip">#REF!</definedName>
    <definedName name="input_wld_nsxt_gm_admin_password">#REF!</definedName>
    <definedName name="input_wld_nsxt_gm_audit_password">#REF!</definedName>
    <definedName name="input_wld_nsxt_gm_fingerprint">#REF!</definedName>
    <definedName name="input_wld_nsxt_gm_root_password">#REF!</definedName>
    <definedName name="input_wld_nsxt_gm_vip_fqdn">#REF!</definedName>
    <definedName name="input_wld_nsxt_gm_vip_ip">#REF!</definedName>
    <definedName name="input_wld_nsxt_lm_admin_password">#REF!</definedName>
    <definedName name="input_wld_nsxt_lm_audit_password">#REF!</definedName>
    <definedName name="input_wld_nsxt_lm_fingerprint">#REF!</definedName>
    <definedName name="input_wld_nsxt_mgra_fqdn">#REF!</definedName>
    <definedName name="input_wld_nsxt_mgra_ip">#REF!</definedName>
    <definedName name="input_wld_nsxt_mgrb_fqdn">#REF!</definedName>
    <definedName name="input_wld_nsxt_mgrb_ip">#REF!</definedName>
    <definedName name="input_wld_nsxt_mgrc_fqdn">#REF!</definedName>
    <definedName name="input_wld_nsxt_mgrc_ip">#REF!</definedName>
    <definedName name="input_wld_nsxt_vip_fqdn">#REF!</definedName>
    <definedName name="input_wld_nsxt_vip_ip">#REF!</definedName>
    <definedName name="input_wld_nsxt_xreg_t1_name">#REF!</definedName>
    <definedName name="input_wld_rack2_en_asn">Arkham!$C$73</definedName>
    <definedName name="input_wld_rack3_en_asn">Arkham!$F$73</definedName>
    <definedName name="input_wld_rack4_en_asn">Arkham!$I$73</definedName>
    <definedName name="input_wld_rack5_en_asn">Arkham!$L$73</definedName>
    <definedName name="input_wld_rack6_en_asn">Arkham!$O$73</definedName>
    <definedName name="input_wld_rack7_en_asn">Arkham!$R$73</definedName>
    <definedName name="input_wld_rack8_en_asn">Arkham!$U$73</definedName>
    <definedName name="input_wld_rtep_overlay_pool_end_ip">#REF!</definedName>
    <definedName name="input_wld_rtep_overlay_pool_start_ip">#REF!</definedName>
    <definedName name="input_wld_rwr_az1_vrms_gateway_ip">'On-Premises Ransomware Recovery'!$D$99</definedName>
    <definedName name="input_wld_rwr_az1_vrms_gateway_mask">'On-Premises Ransomware Recovery'!$D$82</definedName>
    <definedName name="input_wld_rwr_cl02_cluster">'On-Premises Ransomware Recovery'!$D$78</definedName>
    <definedName name="input_wld_rwr_cl02_vds01">'On-Premises Ransomware Recovery'!$D$70</definedName>
    <definedName name="input_wld_rwr_recovery_site_az1_vrms_cidr">'On-Premises Ransomware Recovery'!$D$100</definedName>
    <definedName name="input_wld_rwr_recovery_site_vc_fqdn">'On-Premises Ransomware Recovery'!$D$153</definedName>
    <definedName name="input_wld_rwr_recoverysite_fd">'On-Premises Ransomware Recovery'!$D$144</definedName>
    <definedName name="input_wld_rwr_vc_fqdn">'On-Premises Ransomware Recovery'!$D$42</definedName>
    <definedName name="input_wld_rwr_vcfops_vlsr_username">'On-Premises Ransomware Recovery'!$D$203</definedName>
    <definedName name="input_wld_rwr_vcfops_vr_username">'On-Premises Ransomware Recovery'!$D$205</definedName>
    <definedName name="input_wld_sddc_domain">#REF!</definedName>
    <definedName name="input_wld_srm_admin_email">'Dumping Ground'!$D$82</definedName>
    <definedName name="input_wld_srm_admin_password">'Dumping Ground'!$D$79</definedName>
    <definedName name="input_wld_srm_database_password">'Dumping Ground'!$D$80</definedName>
    <definedName name="input_wld_srm_hostname">'Dumping Ground'!$E$12</definedName>
    <definedName name="input_wld_srm_ip">'Dumping Ground'!$G$12</definedName>
    <definedName name="input_wld_srm_p12_password">'Dumping Ground'!$D$83</definedName>
    <definedName name="input_wld_srm_recovery_vcenter_fqdn">'Dumping Ground'!$D$85</definedName>
    <definedName name="input_wld_srm_recovery_vcenter_password">'Dumping Ground'!$D$87</definedName>
    <definedName name="input_wld_srm_recovery_vcenter_username">'Dumping Ground'!$D$86</definedName>
    <definedName name="input_wld_srm_root_password">'Dumping Ground'!$D$78</definedName>
    <definedName name="input_wld_srm_site_name">'Dumping Ground'!$D$81</definedName>
    <definedName name="input_wld_srm_sso_domain_membership">'Dumping Ground'!$D$89</definedName>
    <definedName name="input_wld_srm_vm_folder">'Dumping Ground'!$D$77</definedName>
    <definedName name="input_wld_srm_vm_size">#REF!</definedName>
    <definedName name="input_wld_sso_domain_name">#REF!</definedName>
    <definedName name="input_wld_supvr_api_server_fqdn">#REF!</definedName>
    <definedName name="input_wld_supvr_cp_storage_policy">#REF!</definedName>
    <definedName name="input_wld_supvr_ed_storage_policy">#REF!</definedName>
    <definedName name="input_wld_supvr_ic_storage_policy">#REF!</definedName>
    <definedName name="input_wld_supvr_ip_address_range">#REF!</definedName>
    <definedName name="input_wld_supvr_mgmt_dns_server">#REF!</definedName>
    <definedName name="input_wld_supvr_mgmt_dns_zones">#REF!</definedName>
    <definedName name="input_wld_supvr_mgmt_ntp_server">#REF!</definedName>
    <definedName name="input_wld_supvr_name">#REF!</definedName>
    <definedName name="input_wld_supvr_nsx_project">#REF!</definedName>
    <definedName name="input_wld_supvr_vpc_connectivity_profile">#REF!</definedName>
    <definedName name="input_wld_supvr_vpc_ext_ip_blocks_name">#REF!</definedName>
    <definedName name="input_wld_supvr_vpc_priv_cidr">#REF!</definedName>
    <definedName name="input_wld_supvr_vpc_priv_ip_blocks_name">#REF!</definedName>
    <definedName name="input_wld_supvr_vpc_service_cidr">#REF!</definedName>
    <definedName name="input_wld_supvr_wld_dns_server">#REF!</definedName>
    <definedName name="input_wld_supvr_wld_ntp_server">#REF!</definedName>
    <definedName name="input_wld_supvr_zone_name">#REF!</definedName>
    <definedName name="input_wld_tier0_name">#REF!</definedName>
    <definedName name="input_wld_vc_fqdn">#REF!</definedName>
    <definedName name="input_wld_vc_ip">#REF!</definedName>
    <definedName name="input_wld_vcenter_root_password">#REF!</definedName>
    <definedName name="input_wld_vlr_hostname">'On-Premises Ransomware Recovery'!$D$11</definedName>
    <definedName name="input_wld_vlr_replication_user">'On-Premises Ransomware Recovery'!$D$44</definedName>
    <definedName name="input_wld_vna_rp_name">#REF!</definedName>
    <definedName name="input_wld_vnaa_cidr">#REF!</definedName>
    <definedName name="input_wld_vnaa_fqdn">#REF!</definedName>
    <definedName name="input_wld_vnaa_ip">#REF!</definedName>
    <definedName name="input_wld_vnab_cidr">#REF!</definedName>
    <definedName name="input_wld_vnab_fqdn">#REF!</definedName>
    <definedName name="input_wld_vnab_ip">#REF!</definedName>
    <definedName name="input_wld_vpc_ext_ip_blocks">#REF!</definedName>
    <definedName name="input_wld_vpc_ext_ip_blocks_cidr">#REF!</definedName>
    <definedName name="input_wld_vpc_ext_ip_blocks_excluded_ips">#REF!</definedName>
    <definedName name="input_wld_vpc_ext_ip_blocks_name">#REF!</definedName>
    <definedName name="input_wld_vpc_ext_ip_blocks_reserved">#REF!</definedName>
    <definedName name="input_wld_vpc_ext_ip_blocks_visability">#REF!</definedName>
    <definedName name="input_wld_vpc_priv_ip_blocks_excluded_ips">#REF!</definedName>
    <definedName name="input_wld_vpc_priv_ip_blocks_name">#REF!</definedName>
    <definedName name="input_wld_vpc_priv_ip_blocks_reserved">#REF!</definedName>
    <definedName name="input_wld_vpc_priv_ip_blocks_visability">#REF!</definedName>
    <definedName name="input_wld_vpc_transit_gateway_ip_blocks">#REF!</definedName>
    <definedName name="input_wld_vpc_transit_gateway_ip_blocks_cidr">#REF!</definedName>
    <definedName name="input_wld_vpc_vna_cluster_name">#REF!</definedName>
    <definedName name="input_wld_vrms_admin_email">'Dumping Ground'!$D$73</definedName>
    <definedName name="input_wld_vrms_admin_password">'Dumping Ground'!$D$71</definedName>
    <definedName name="input_wld_vrms_hostname">'Dumping Ground'!$E$10</definedName>
    <definedName name="input_wld_vrms_mgmt_ip">'Dumping Ground'!$G$10</definedName>
    <definedName name="input_wld_vrms_p12_password">'Dumping Ground'!$D$75</definedName>
    <definedName name="input_wld_vrms_pg">'Dumping Ground'!$D$74</definedName>
    <definedName name="input_wld_vrms_recovery_replication_cidr">'Dumping Ground'!$D$88</definedName>
    <definedName name="input_wld_vrms_root_password">'Dumping Ground'!$D$70</definedName>
    <definedName name="input_wld_vrms_site_name">'Dumping Ground'!$D$72</definedName>
    <definedName name="input_wld_vrms_vm_folder">'Dumping Ground'!$D$69</definedName>
    <definedName name="input_wld_vrms_vrms_ip">'Dumping Ground'!$G$11</definedName>
    <definedName name="input_wld_witness_cluster">#REF!</definedName>
    <definedName name="input_wld_witness_dns1_ip">#REF!</definedName>
    <definedName name="input_wld_witness_dns2_ip">#REF!</definedName>
    <definedName name="input_wld_witness_fqdn">#REF!</definedName>
    <definedName name="input_wld_witness_hostname">#REF!</definedName>
    <definedName name="input_wld_witness_ip">#REF!</definedName>
    <definedName name="input_wld_witness_mgmt_pg">#REF!</definedName>
    <definedName name="input_wld_witness_ntp1_server">#REF!</definedName>
    <definedName name="input_wld_witness_ntp2_server">#REF!</definedName>
    <definedName name="input_wld_witness_root_password">#REF!</definedName>
    <definedName name="input_wld_witness_vm_folder">#REF!</definedName>
    <definedName name="input_wld_witness_vsan_datastore">#REF!</definedName>
    <definedName name="input_wld_witness_zone_vc_fqdn">#REF!</definedName>
    <definedName name="input_wld_witness_zone_vc_ip">#REF!</definedName>
    <definedName name="input_wld_witnessaz_mgmt_cidr">#REF!</definedName>
    <definedName name="input_wld_witnessaz_mgmt_gateway_ip">#REF!</definedName>
    <definedName name="input_wld_witnessaz_mgmt_mtu">#REF!</definedName>
    <definedName name="input_wld_witnessaz_mgmt_vlan">#REF!</definedName>
    <definedName name="input_xreg_vra_admin_password">#REF!</definedName>
    <definedName name="input_xreg_vra_prefix">#REF!</definedName>
    <definedName name="input_xreg_vra_virtual_fqdn">#REF!</definedName>
    <definedName name="input_xreg_vra_virtual_ip">#REF!</definedName>
    <definedName name="input_xreg_vrops_admin_password">#REF!</definedName>
    <definedName name="input_xreg_vrops_collector_fqdn">#REF!</definedName>
    <definedName name="input_xreg_vrops_collector_ip">#REF!</definedName>
    <definedName name="input_xreg_vrops_collector_root_password">#REF!</definedName>
    <definedName name="input_xreg_vrops_nodea_fqdn">#REF!</definedName>
    <definedName name="input_xreg_vrops_nodea_ip">#REF!</definedName>
    <definedName name="input_xreg_vrops_nodeb_fqdn">#REF!</definedName>
    <definedName name="input_xreg_vrops_nodeb_ip">#REF!</definedName>
    <definedName name="input_xreg_vrops_nodec_fqdn">#REF!</definedName>
    <definedName name="input_xreg_vrops_nodec_ip">#REF!</definedName>
    <definedName name="input_xreg_vrops_root_password">#REF!</definedName>
    <definedName name="input_xreg_vrops_srm_sso_password">'Site Protection &amp; DR'!$D$481</definedName>
    <definedName name="input_xreg_vrops_srm_sso_username">'Site Protection &amp; DR'!$D$480</definedName>
    <definedName name="input_xreg_vrops_virtual_fqdn">#REF!</definedName>
    <definedName name="input_xreg_vrops_virtual_ip">#REF!</definedName>
    <definedName name="input_xreg_vrops_vrms_sso_password">'Site Protection &amp; DR'!$D$479</definedName>
    <definedName name="input_xreg_vrops_vrms_sso_username">'Site Protection &amp; DR'!$D$478</definedName>
    <definedName name="input_xreg_vrslcm_fqdn">#REF!</definedName>
    <definedName name="input_xreg_vrslcm_ip">#REF!</definedName>
    <definedName name="input_xregion_dns1_ip">Arkham!$C$13</definedName>
    <definedName name="input_xregion_dns2_ip">Arkham!$C$14</definedName>
    <definedName name="input_xregion_ntp1_server">Arkham!$C$18</definedName>
    <definedName name="input_xregion_ntp2_server">Arkham!$C$19</definedName>
    <definedName name="k8s_cluster_endpoint_fqdn">'Value Reference Tables'!$U$32</definedName>
    <definedName name="k8s_harbor_fqdn">'Value Reference Tables'!$R$30</definedName>
    <definedName name="k8s_harbor_hostname">'Value Reference Tables'!$R$27</definedName>
    <definedName name="k8s_harbor_ip">'Value Reference Tables'!$R$24</definedName>
    <definedName name="k8s_ip_prefixlist">'Value Reference Tables'!$U$18</definedName>
    <definedName name="k8s_ip_routemap">'Value Reference Tables'!$U$19</definedName>
    <definedName name="k8s_kubectl_path">'Value Reference Tables'!$U$33</definedName>
    <definedName name="k8s_mgmt_pool_start_ip">'Value Reference Tables'!$U$30</definedName>
    <definedName name="k8s_mgmt_seg">'Value Reference Tables'!$U$17</definedName>
    <definedName name="k8s_namepsace">'Value Reference Tables'!$O$88</definedName>
    <definedName name="k8s_segment_gateway_ip">'Value Reference Tables'!$U$31</definedName>
    <definedName name="k8s_segment_pg">'Value Reference Tables'!$X$8</definedName>
    <definedName name="k8s_tanzu_k8s_cluster_pod_pool_cidr">'Value Reference Tables'!$R$20</definedName>
    <definedName name="k8s_tanzu_k8s_cluster_service_pool_cidr">'Value Reference Tables'!$R$21</definedName>
    <definedName name="k8s_vcenter_category">'Value Reference Tables'!$U$23</definedName>
    <definedName name="k8s_vcenter_content_library">'Value Reference Tables'!$U$26</definedName>
    <definedName name="k8s_vcenter_storage_policy">'Value Reference Tables'!$U$25</definedName>
    <definedName name="k8s_vcenter_tag">'Value Reference Tables'!$U$24</definedName>
    <definedName name="k8s_vm_class">'Value Reference Tables'!$U$34</definedName>
    <definedName name="lag_load_balancing">'Static Reference Tables'!$B$427:$B$446</definedName>
    <definedName name="mgmt_avi_loadbalancer_chosen">#REF!</definedName>
    <definedName name="mgmt_avi_loadbalancer_result">#REF!</definedName>
    <definedName name="mgmt_avilb_cluster_name">'Value Reference Tables'!$O$30</definedName>
    <definedName name="mgmt_avilb_cluster_version">'Value Reference Tables'!$O$31</definedName>
    <definedName name="mgmt_avilb_fqdn">'Value Reference Tables'!$C$70</definedName>
    <definedName name="mgmt_avilb_hostname">'Value Reference Tables'!$C$48</definedName>
    <definedName name="mgmt_avilb_ip">'Value Reference Tables'!$C$25</definedName>
    <definedName name="mgmt_avilb_mgra_ip">'Value Reference Tables'!$C$26</definedName>
    <definedName name="mgmt_avilb_mgrb_ip">'Value Reference Tables'!$C$27</definedName>
    <definedName name="mgmt_avilb_mgrc_ip">'Value Reference Tables'!$C$28</definedName>
    <definedName name="mgmt_az1_ec01_password_creation_chosen">#REF!</definedName>
    <definedName name="mgmt_az1_edge_overlay_cidr">'Value Reference Tables - MR'!$F$32</definedName>
    <definedName name="mgmt_az1_edge_overlay_gateway_ip">'Value Reference Tables - MR'!$F$94</definedName>
    <definedName name="mgmt_az1_edge_overlay_mask">'Value Reference Tables - MR'!$F$62</definedName>
    <definedName name="mgmt_az1_edge_overlay_mtu">'Value Reference Tables - MR'!$F$78</definedName>
    <definedName name="mgmt_az1_edge_overlay_network">'Value Reference Tables - MR'!$F$47</definedName>
    <definedName name="mgmt_az1_edge_overlay_network_pool_name">'Value Reference Tables - MR'!$F$188</definedName>
    <definedName name="mgmt_az1_edge_overlay_pg">'Value Reference Tables - MR'!$F$133</definedName>
    <definedName name="mgmt_az1_edge_overlay_pool_end_ip">'Value Reference Tables - MR'!$F$176</definedName>
    <definedName name="mgmt_az1_edge_overlay_pool_start_ip">'Value Reference Tables - MR'!$F$175</definedName>
    <definedName name="mgmt_az1_edge_overlay_vlan">'Value Reference Tables - MR'!$F$17</definedName>
    <definedName name="mgmt_az1_en1_edge_overlay_interface_ip_1_ip">'Value Reference Tables - MR'!$F$277</definedName>
    <definedName name="mgmt_az1_en1_edge_overlay_interface_ip_2_ip">'Value Reference Tables - MR'!$F$278</definedName>
    <definedName name="mgmt_az1_en1_edge_overlay_network_ip_allocation_chosen">#REF!</definedName>
    <definedName name="mgmt_az1_en1_eth0_uplink0">'Value Reference Tables'!$C$252</definedName>
    <definedName name="mgmt_az1_en1_eth0_uplink1">'Value Reference Tables'!$C$253</definedName>
    <definedName name="mgmt_az1_en1_eth1_uplink0">'Value Reference Tables'!$C$254</definedName>
    <definedName name="mgmt_az1_en1_eth1_uplink1">'Value Reference Tables'!$C$255</definedName>
    <definedName name="mgmt_az1_en1_fqdn">'Value Reference Tables'!$C$68</definedName>
    <definedName name="mgmt_az1_en1_hostname">'Value Reference Tables - MR'!$F$271</definedName>
    <definedName name="mgmt_az1_en1_ip_allocation_chosen">#REF!</definedName>
    <definedName name="mgmt_az1_en1_mgmt_cidr">'Value Reference Tables - MR'!$F$274</definedName>
    <definedName name="mgmt_az1_en1_mgmt_ip">'Value Reference Tables - MR'!$F$273</definedName>
    <definedName name="mgmt_az1_en1_uplink_ip_assignment_chosen">#REF!</definedName>
    <definedName name="mgmt_az1_en1_uplink01_interface_cidr">'Value Reference Tables - MR'!$F$275</definedName>
    <definedName name="mgmt_az1_en1_uplink02_interface_cidr">'Value Reference Tables - MR'!$F$276</definedName>
    <definedName name="mgmt_az1_en2_edge_overlay_interface_ip_1_ip">'Value Reference Tables - MR'!$F$288</definedName>
    <definedName name="mgmt_az1_en2_edge_overlay_interface_ip_2_ip">'Value Reference Tables - MR'!$F$289</definedName>
    <definedName name="mgmt_az1_en2_eth0_uplink0">'Value Reference Tables'!$C$256</definedName>
    <definedName name="mgmt_az1_en2_eth0_uplink1">'Value Reference Tables'!$C$257</definedName>
    <definedName name="mgmt_az1_en2_eth1_uplink0">'Value Reference Tables'!$C$258</definedName>
    <definedName name="mgmt_az1_en2_eth1_uplink1">'Value Reference Tables'!$C$259</definedName>
    <definedName name="mgmt_az1_en2_fqdn">'Value Reference Tables'!$C$69</definedName>
    <definedName name="mgmt_az1_en2_hostname">'Value Reference Tables - MR'!$F$282</definedName>
    <definedName name="mgmt_az1_en2_mgmt_cidr">'Value Reference Tables - MR'!$F$285</definedName>
    <definedName name="mgmt_az1_en2_mgmt_ip">'Value Reference Tables - MR'!$F$284</definedName>
    <definedName name="mgmt_az1_en2_uplink01_interface_cidr">'Value Reference Tables - MR'!$F$286</definedName>
    <definedName name="mgmt_az1_en2_uplink02_interface_cidr">'Value Reference Tables - MR'!$F$287</definedName>
    <definedName name="mgmt_az1_host_fqdns">'Value Reference Tables - MR'!$F$253:$F$268</definedName>
    <definedName name="mgmt_az1_host_hostnames">'Value Reference Tables - MR'!$F$234:$F$249</definedName>
    <definedName name="mgmt_az1_host_mgmt_ips">'Value Reference Tables - MR'!$F$199:$F$214</definedName>
    <definedName name="mgmt_az1_host_overlay_cidr">'Value Reference Tables - MR'!$F$27</definedName>
    <definedName name="mgmt_az1_host_overlay_gateway_cidr">'Value Reference Tables - MR'!$F$104</definedName>
    <definedName name="mgmt_az1_host_overlay_gateway_ip">'Value Reference Tables - MR'!$F$89</definedName>
    <definedName name="mgmt_az1_host_overlay_mask">'Value Reference Tables - MR'!$F$57</definedName>
    <definedName name="mgmt_az1_host_overlay_mtu">'Value Reference Tables - MR'!$F$73</definedName>
    <definedName name="mgmt_az1_host_overlay_network">'Value Reference Tables - MR'!$F$42</definedName>
    <definedName name="mgmt_az1_host_overlay_network_pool_description">'Value Reference Tables - MR'!$F$184</definedName>
    <definedName name="mgmt_az1_host_overlay_network_pool_name">'Value Reference Tables - MR'!$F$185</definedName>
    <definedName name="mgmt_az1_host_overlay_network_profile_name">'Value Reference Tables - MR'!$F$183</definedName>
    <definedName name="mgmt_az1_host_overlay_pg">'Value Reference Tables - MR'!$F$129</definedName>
    <definedName name="mgmt_az1_host_overlay_pool_end_ip">'Value Reference Tables - MR'!$F$170</definedName>
    <definedName name="mgmt_az1_host_overlay_pool_start_ip">'Value Reference Tables - MR'!$F$169</definedName>
    <definedName name="mgmt_az1_host_overlay_transport_zone">'Value Reference Tables - MR'!$F$186</definedName>
    <definedName name="mgmt_az1_host_overlay_vlan">'Value Reference Tables - MR'!$F$12</definedName>
    <definedName name="mgmt_az1_host1_fqdn">'Value Reference Tables - MR'!$F$253</definedName>
    <definedName name="mgmt_az1_host1_hostname">'Value Reference Tables - MR'!$F$234</definedName>
    <definedName name="mgmt_az1_host1_mgmt_ip">'Value Reference Tables - MR'!$F$199</definedName>
    <definedName name="mgmt_az1_host1_vrms_ip">'Value Reference Tables - MR'!$F$215</definedName>
    <definedName name="mgmt_az1_host10_fqdn">'Value Reference Tables - MR'!$F$262</definedName>
    <definedName name="mgmt_az1_host10_hostname">'Value Reference Tables - MR'!$F$243</definedName>
    <definedName name="mgmt_az1_host10_mgmt_ip">'Value Reference Tables - MR'!$F$208</definedName>
    <definedName name="mgmt_az1_host10_vrms_ip">'Value Reference Tables - MR'!$F$224</definedName>
    <definedName name="mgmt_az1_host11_fqdn">'Value Reference Tables - MR'!$F$263</definedName>
    <definedName name="mgmt_az1_host11_hostname">'Value Reference Tables - MR'!$F$244</definedName>
    <definedName name="mgmt_az1_host11_mgmt_ip">'Value Reference Tables - MR'!$F$209</definedName>
    <definedName name="mgmt_az1_host11_vrms_ip">'Value Reference Tables - MR'!$F$225</definedName>
    <definedName name="mgmt_az1_host12_fqdn">'Value Reference Tables - MR'!$F$264</definedName>
    <definedName name="mgmt_az1_host12_hostname">'Value Reference Tables - MR'!$F$245</definedName>
    <definedName name="mgmt_az1_host12_mgmt_ip">'Value Reference Tables - MR'!$F$210</definedName>
    <definedName name="mgmt_az1_host12_vrms_ip">'Value Reference Tables - MR'!$F$226</definedName>
    <definedName name="mgmt_az1_host13_fqdn">'Value Reference Tables - MR'!$F$265</definedName>
    <definedName name="mgmt_az1_host13_hostname">'Value Reference Tables - MR'!$F$246</definedName>
    <definedName name="mgmt_az1_host13_mgmt_ip">'Value Reference Tables - MR'!$F$211</definedName>
    <definedName name="mgmt_az1_host13_vrms_ip">'Value Reference Tables - MR'!$F$227</definedName>
    <definedName name="mgmt_az1_host14_fqdn">'Value Reference Tables - MR'!$F$266</definedName>
    <definedName name="mgmt_az1_host14_hostname">'Value Reference Tables - MR'!$F$247</definedName>
    <definedName name="mgmt_az1_host14_mgmt_ip">'Value Reference Tables - MR'!$F$212</definedName>
    <definedName name="mgmt_az1_host14_vrms_ip">'Value Reference Tables - MR'!$F$228</definedName>
    <definedName name="mgmt_az1_host15_fqdn">'Value Reference Tables - MR'!$F$267</definedName>
    <definedName name="mgmt_az1_host15_hostname">'Value Reference Tables - MR'!$F$248</definedName>
    <definedName name="mgmt_az1_host15_mgmt_ip">'Value Reference Tables - MR'!$F$213</definedName>
    <definedName name="mgmt_az1_host15_vrms_ip">'Value Reference Tables - MR'!$F$229</definedName>
    <definedName name="mgmt_az1_host16_fqdn">'Value Reference Tables - MR'!$F$268</definedName>
    <definedName name="mgmt_az1_host16_hostname">'Value Reference Tables - MR'!$F$249</definedName>
    <definedName name="mgmt_az1_host16_mgmt_ip">'Value Reference Tables - MR'!$F$214</definedName>
    <definedName name="mgmt_az1_host16_vrms_ip">'Value Reference Tables - MR'!$F$230</definedName>
    <definedName name="mgmt_az1_host2_fqdn">'Value Reference Tables - MR'!$F$254</definedName>
    <definedName name="mgmt_az1_host2_hostname">'Value Reference Tables - MR'!$F$235</definedName>
    <definedName name="mgmt_az1_host2_mgmt_ip">'Value Reference Tables - MR'!$F$200</definedName>
    <definedName name="mgmt_az1_host2_vrms_ip">'Value Reference Tables - MR'!$F$216</definedName>
    <definedName name="mgmt_az1_host3_fqdn">'Value Reference Tables - MR'!$F$255</definedName>
    <definedName name="mgmt_az1_host3_hostname">'Value Reference Tables - MR'!$F$236</definedName>
    <definedName name="mgmt_az1_host3_mgmt_ip">'Value Reference Tables - MR'!$F$201</definedName>
    <definedName name="mgmt_az1_host3_vrms_ip">'Value Reference Tables - MR'!$F$217</definedName>
    <definedName name="mgmt_az1_host4_fqdn">'Value Reference Tables - MR'!$F$256</definedName>
    <definedName name="mgmt_az1_host4_hostname">'Value Reference Tables - MR'!$F$237</definedName>
    <definedName name="mgmt_az1_host4_mgmt_ip">'Value Reference Tables - MR'!$F$202</definedName>
    <definedName name="mgmt_az1_host4_vrms_ip">'Value Reference Tables - MR'!$F$218</definedName>
    <definedName name="mgmt_az1_host5_fqdn">'Value Reference Tables - MR'!$F$257</definedName>
    <definedName name="mgmt_az1_host5_hostname">'Value Reference Tables - MR'!$F$238</definedName>
    <definedName name="mgmt_az1_host5_mgmt_ip">'Value Reference Tables - MR'!$F$203</definedName>
    <definedName name="mgmt_az1_host5_vrms_ip">'Value Reference Tables - MR'!$F$219</definedName>
    <definedName name="mgmt_az1_host6_fqdn">'Value Reference Tables - MR'!$F$258</definedName>
    <definedName name="mgmt_az1_host6_hostname">'Value Reference Tables - MR'!$F$239</definedName>
    <definedName name="mgmt_az1_host6_mgmt_ip">'Value Reference Tables - MR'!$F$204</definedName>
    <definedName name="mgmt_az1_host6_vrms_ip">'Value Reference Tables - MR'!$F$220</definedName>
    <definedName name="mgmt_az1_host7_fqdn">'Value Reference Tables - MR'!$F$259</definedName>
    <definedName name="mgmt_az1_host7_hostname">'Value Reference Tables - MR'!$F$240</definedName>
    <definedName name="mgmt_az1_host7_mgmt_ip">'Value Reference Tables - MR'!$F$205</definedName>
    <definedName name="mgmt_az1_host7_vrms_ip">'Value Reference Tables - MR'!$F$221</definedName>
    <definedName name="mgmt_az1_host8_fqdn">'Value Reference Tables - MR'!$F$260</definedName>
    <definedName name="mgmt_az1_host8_hostname">'Value Reference Tables - MR'!$F$241</definedName>
    <definedName name="mgmt_az1_host8_mgmt_ip">'Value Reference Tables - MR'!$F$206</definedName>
    <definedName name="mgmt_az1_host8_vrms_ip">'Value Reference Tables - MR'!$F$222</definedName>
    <definedName name="mgmt_az1_host9_fqdn">'Value Reference Tables - MR'!$F$261</definedName>
    <definedName name="mgmt_az1_host9_hostname">'Value Reference Tables - MR'!$F$242</definedName>
    <definedName name="mgmt_az1_host9_mgmt_ip">'Value Reference Tables - MR'!$F$207</definedName>
    <definedName name="mgmt_az1_host9_vrms_ip">'Value Reference Tables - MR'!$F$223</definedName>
    <definedName name="mgmt_az1_mgmt_cidr">'Value Reference Tables - MR'!$F$24</definedName>
    <definedName name="mgmt_az1_mgmt_gateway_cidr">'Value Reference Tables - MR'!$F$101</definedName>
    <definedName name="mgmt_az1_mgmt_gateway_ip">'Value Reference Tables - MR'!$F$86</definedName>
    <definedName name="mgmt_az1_mgmt_mask">'Value Reference Tables - MR'!$F$54</definedName>
    <definedName name="mgmt_az1_mgmt_mtu">'Value Reference Tables - MR'!$F$70</definedName>
    <definedName name="mgmt_az1_mgmt_network">'Value Reference Tables - MR'!$F$39</definedName>
    <definedName name="mgmt_az1_mgmt_vlan">'Value Reference Tables - MR'!$F$9</definedName>
    <definedName name="mgmt_az1_mgmt_vm_cidr">'Value Reference Tables - MR'!$F$23</definedName>
    <definedName name="mgmt_az1_mgmt_vm_gateway_cidr">'Value Reference Tables - MR'!$F$100</definedName>
    <definedName name="mgmt_az1_mgmt_vm_gateway_ip">'Value Reference Tables - MR'!$F$85</definedName>
    <definedName name="mgmt_az1_mgmt_vm_mask">'Value Reference Tables - MR'!$F$53</definedName>
    <definedName name="mgmt_az1_mgmt_vm_mtu">'Value Reference Tables - MR'!$F$69</definedName>
    <definedName name="mgmt_az1_mgmt_vm_network">'Value Reference Tables - MR'!$F$38</definedName>
    <definedName name="mgmt_az1_mgmt_vm_vlan">'Value Reference Tables - MR'!$F$8</definedName>
    <definedName name="mgmt_az1_pool_name">'Value Reference Tables - MR'!$F$182</definedName>
    <definedName name="mgmt_az1_rtep_ip_pool_name">'Value Reference Tables - MR'!$F$189</definedName>
    <definedName name="mgmt_az1_rtep_overlay_cidr">'Value Reference Tables - MR'!$F$33</definedName>
    <definedName name="mgmt_az1_rtep_overlay_gateway_ip">'Value Reference Tables - MR'!$F$95</definedName>
    <definedName name="mgmt_az1_rtep_overlay_mtu">'Value Reference Tables - MR'!$F$79</definedName>
    <definedName name="mgmt_az1_rtep_overlay_network">'Value Reference Tables - MR'!$F$48</definedName>
    <definedName name="mgmt_az1_rtep_overlay_pg">'Value Reference Tables - MR'!$F$134</definedName>
    <definedName name="mgmt_az1_rtep_overlay_vlan">'Value Reference Tables - MR'!$F$18</definedName>
    <definedName name="mgmt_az1_secondary_storage_cidr">'Value Reference Tables - MR'!$F$28</definedName>
    <definedName name="mgmt_az1_secondary_storage_gateway_cidr">'Value Reference Tables - MR'!$F$105</definedName>
    <definedName name="mgmt_az1_secondary_storage_gateway_ip">'Value Reference Tables - MR'!$F$90</definedName>
    <definedName name="mgmt_az1_secondary_storage_mask">'Value Reference Tables - MR'!$F$59</definedName>
    <definedName name="mgmt_az1_secondary_storage_mtu">'Value Reference Tables - MR'!$F$74</definedName>
    <definedName name="mgmt_az1_secondary_storage_network">'Value Reference Tables - MR'!$F$43</definedName>
    <definedName name="mgmt_az1_secondary_storage_pool_end_ip">'Value Reference Tables - MR'!$F$172</definedName>
    <definedName name="mgmt_az1_secondary_storage_pool_start_ip">'Value Reference Tables - MR'!$F$171</definedName>
    <definedName name="mgmt_az1_secondary_storage_vlan">'Value Reference Tables - MR'!$F$13</definedName>
    <definedName name="mgmt_az1_tor1_peer_asn">'Value Reference Tables - MR'!$F$117</definedName>
    <definedName name="mgmt_az1_tor1_peer_bgp_password">'Value Reference Tables - MR'!$F$118</definedName>
    <definedName name="mgmt_az1_tor1_peer_ip">'Value Reference Tables - MR'!$F$116</definedName>
    <definedName name="mgmt_az1_tor2_peer_asn">'Value Reference Tables - MR'!$F$120</definedName>
    <definedName name="mgmt_az1_tor2_peer_bgp_password">'Value Reference Tables - MR'!$F$121</definedName>
    <definedName name="mgmt_az1_tor2_peer_ip">'Value Reference Tables - MR'!$F$119</definedName>
    <definedName name="mgmt_az1_uplink01_cidr">'Value Reference Tables - MR'!$F$30</definedName>
    <definedName name="mgmt_az1_uplink01_gateway_ip">'Value Reference Tables - MR'!$F$92</definedName>
    <definedName name="mgmt_az1_uplink01_mask">'Value Reference Tables - MR'!$F$60</definedName>
    <definedName name="mgmt_az1_uplink01_mtu">'Value Reference Tables - MR'!$F$76</definedName>
    <definedName name="mgmt_az1_uplink01_network">'Value Reference Tables - MR'!$F$45</definedName>
    <definedName name="mgmt_az1_uplink01_vlan">'Value Reference Tables - MR'!$F$15</definedName>
    <definedName name="mgmt_az1_uplink02_cidr">'Value Reference Tables - MR'!$F$31</definedName>
    <definedName name="mgmt_az1_uplink02_gateway_ip">'Value Reference Tables - MR'!$F$93</definedName>
    <definedName name="mgmt_az1_uplink02_mask">'Value Reference Tables - MR'!$F$61</definedName>
    <definedName name="mgmt_az1_uplink02_mtu">'Value Reference Tables - MR'!$F$77</definedName>
    <definedName name="mgmt_az1_uplink02_network">'Value Reference Tables - MR'!$F$46</definedName>
    <definedName name="mgmt_az1_uplink02_vlan">'Value Reference Tables - MR'!$F$16</definedName>
    <definedName name="mgmt_az1_vcf_mgmt_cidr">'Value Reference Tables - MR'!$F$29</definedName>
    <definedName name="mgmt_az1_vcf_mgmt_gateway_cidr">'Value Reference Tables - MR'!$F$106</definedName>
    <definedName name="mgmt_az1_vcf_mgmt_gateway_ip">'Value Reference Tables - MR'!$F$91</definedName>
    <definedName name="mgmt_az1_vcf_mgmt_mask">'Value Reference Tables - MR'!$F$58</definedName>
    <definedName name="mgmt_az1_vcf_mgmt_mtu">'Value Reference Tables - MR'!$F$75</definedName>
    <definedName name="mgmt_az1_vcf_mgmt_network">'Value Reference Tables - MR'!$F$44</definedName>
    <definedName name="mgmt_az1_vcf_mgmt_vlan">'Value Reference Tables - MR'!$F$14</definedName>
    <definedName name="mgmt_az1_vm_cidr">'Value Reference Tables'!$AD$15</definedName>
    <definedName name="mgmt_az1_vm_gateway_ip">'Value Reference Tables'!$AD$19</definedName>
    <definedName name="mgmt_az1_vm_mtu">'Value Reference Tables'!$AD$23</definedName>
    <definedName name="mgmt_az1_vm_vlan">'Value Reference Tables'!$AD$8</definedName>
    <definedName name="mgmt_az1_vmotion_cidr">'Value Reference Tables - MR'!$F$25</definedName>
    <definedName name="mgmt_az1_vmotion_gateway_cidr">'Value Reference Tables - MR'!$F$102</definedName>
    <definedName name="mgmt_az1_vmotion_gateway_ip">'Value Reference Tables - MR'!$F$87</definedName>
    <definedName name="mgmt_az1_vmotion_ip_scheme_chosen">#REF!</definedName>
    <definedName name="mgmt_az1_vmotion_mask">'Value Reference Tables - MR'!$F$55</definedName>
    <definedName name="mgmt_az1_vmotion_mtu">'Value Reference Tables - MR'!$F$71</definedName>
    <definedName name="mgmt_az1_vmotion_network">'Value Reference Tables - MR'!$F$40</definedName>
    <definedName name="mgmt_az1_vmotion_pool_end_ip">'Value Reference Tables - MR'!$F$166</definedName>
    <definedName name="mgmt_az1_vmotion_pool_start_ip">'Value Reference Tables - MR'!$F$165</definedName>
    <definedName name="mgmt_az1_vmotion_vlan">'Value Reference Tables - MR'!$F$10</definedName>
    <definedName name="mgmt_az1_vrms_cidr">'Value Reference Tables - MR'!$F$34</definedName>
    <definedName name="mgmt_az1_vrms_gateway_ip">'Value Reference Tables - MR'!$F$96</definedName>
    <definedName name="mgmt_az1_vrms_mtu">'Value Reference Tables - MR'!$F$80</definedName>
    <definedName name="mgmt_az1_vrms_network">'Value Reference Tables - MR'!$F$49</definedName>
    <definedName name="mgmt_az1_vrms_vlan">'Value Reference Tables - MR'!$F$19</definedName>
    <definedName name="mgmt_az1_vsan_cidr">'Value Reference Tables - MR'!$F$26</definedName>
    <definedName name="mgmt_az1_vsan_gateway_cidr">'Value Reference Tables - MR'!$F$103</definedName>
    <definedName name="mgmt_az1_vsan_gateway_ip">'Value Reference Tables - MR'!$F$88</definedName>
    <definedName name="mgmt_az1_vsan_ip_scheme_chosen">#REF!</definedName>
    <definedName name="mgmt_az1_vsan_mask">'Value Reference Tables - MR'!$F$56</definedName>
    <definedName name="mgmt_az1_vsan_mtu">'Value Reference Tables - MR'!$F$72</definedName>
    <definedName name="mgmt_az1_vsan_network">'Value Reference Tables - MR'!$F$41</definedName>
    <definedName name="mgmt_az1_vsan_pool_end_ip">'Value Reference Tables - MR'!$F$168</definedName>
    <definedName name="mgmt_az1_vsan_pool_start_ip">'Value Reference Tables - MR'!$F$167</definedName>
    <definedName name="mgmt_az1_vsan_vlan">'Value Reference Tables - MR'!$F$11</definedName>
    <definedName name="mgmt_az2_edge_overlay_cidr">'Value Reference Tables - MR'!$F$316</definedName>
    <definedName name="mgmt_az2_edge_overlay_gateway_ip">'Value Reference Tables - MR'!$F$358</definedName>
    <definedName name="mgmt_az2_edge_overlay_mask">'Value Reference Tables - MR'!$F$344</definedName>
    <definedName name="mgmt_az2_edge_overlay_mtu">'Value Reference Tables - MR'!$F$372</definedName>
    <definedName name="mgmt_az2_edge_overlay_network">'Value Reference Tables - MR'!$F$330</definedName>
    <definedName name="mgmt_az2_edge_overlay_pg">'Value Reference Tables - MR'!$F$396</definedName>
    <definedName name="mgmt_az2_edge_overlay_vlan">'Value Reference Tables - MR'!$F$302</definedName>
    <definedName name="mgmt_az2_host_fqdns">'Value Reference Tables - MR'!$F$485:$F$500</definedName>
    <definedName name="mgmt_az2_host_hostnames">'Value Reference Tables - MR'!$F$466:$F$481</definedName>
    <definedName name="mgmt_az2_host_mgmt_ips">'Value Reference Tables - MR'!$F$431:$F$446</definedName>
    <definedName name="mgmt_az2_host_overlay_cidr">'Value Reference Tables - MR'!$F$312</definedName>
    <definedName name="mgmt_az2_host_overlay_gateway_ip">'Value Reference Tables - MR'!$F$354</definedName>
    <definedName name="mgmt_az2_host_overlay_mask">'Value Reference Tables - MR'!$F$340</definedName>
    <definedName name="mgmt_az2_host_overlay_mtu">'Value Reference Tables - MR'!$F$368</definedName>
    <definedName name="mgmt_az2_host_overlay_network">'Value Reference Tables - MR'!$F$326</definedName>
    <definedName name="mgmt_az2_host_overlay_network_pool_name">'Value Reference Tables - MR'!$F$416</definedName>
    <definedName name="mgmt_az2_host_overlay_network_profile_name">'Value Reference Tables - MR'!$F$415</definedName>
    <definedName name="mgmt_az2_host_overlay_new_pool_chosen">#REF!</definedName>
    <definedName name="mgmt_az2_host_overlay_pg">'Value Reference Tables - MR'!$F$392</definedName>
    <definedName name="mgmt_az2_host_overlay_pool_end_ip">'Value Reference Tables - MR'!$F$406</definedName>
    <definedName name="mgmt_az2_host_overlay_pool_name">'Value Reference Tables'!$C$211</definedName>
    <definedName name="mgmt_az2_host_overlay_pool_start_ip">'Value Reference Tables - MR'!$F$405</definedName>
    <definedName name="mgmt_az2_host_overlay_uplink_profile_name">'Value Reference Tables - MR'!$F$417</definedName>
    <definedName name="mgmt_az2_host_overlay_vlan">'Value Reference Tables - MR'!$F$298</definedName>
    <definedName name="mgmt_az2_host_vrms_ips">'Value Reference Tables - MR'!$F$447:$F$462</definedName>
    <definedName name="mgmt_az2_host1_fqdn">'Value Reference Tables - MR'!$F$485</definedName>
    <definedName name="mgmt_az2_host1_hostname">'Value Reference Tables - MR'!$F$466</definedName>
    <definedName name="mgmt_az2_host1_mgmt_ip">'Value Reference Tables - MR'!$F$431</definedName>
    <definedName name="mgmt_az2_host1_sddc_id">'Value Reference Tables'!$C$206</definedName>
    <definedName name="mgmt_az2_host1_vrms_ip">'Value Reference Tables - MR'!$F$447</definedName>
    <definedName name="mgmt_az2_host10_fqdn">'Value Reference Tables - MR'!$F$494</definedName>
    <definedName name="mgmt_az2_host10_hostname">'Value Reference Tables - MR'!$F$475</definedName>
    <definedName name="mgmt_az2_host10_mgmt_ip">'Value Reference Tables - MR'!$F$440</definedName>
    <definedName name="mgmt_az2_host10_vrms_ip">'Value Reference Tables - MR'!$F$456</definedName>
    <definedName name="mgmt_az2_host11_fqdn">'Value Reference Tables - MR'!$F$495</definedName>
    <definedName name="mgmt_az2_host11_hostname">'Value Reference Tables - MR'!$F$476</definedName>
    <definedName name="mgmt_az2_host11_mgmt_ip">'Value Reference Tables - MR'!$F$441</definedName>
    <definedName name="mgmt_az2_host11_vrms_ip">'Value Reference Tables - MR'!$F$457</definedName>
    <definedName name="mgmt_az2_host12_fqdn">'Value Reference Tables - MR'!$F$496</definedName>
    <definedName name="mgmt_az2_host12_hostname">'Value Reference Tables - MR'!$F$477</definedName>
    <definedName name="mgmt_az2_host12_mgmt_ip">'Value Reference Tables - MR'!$F$442</definedName>
    <definedName name="mgmt_az2_host12_vrms_ip">'Value Reference Tables - MR'!$F$458</definedName>
    <definedName name="mgmt_az2_host13_fqdn">'Value Reference Tables - MR'!$F$497</definedName>
    <definedName name="mgmt_az2_host13_hostname">'Value Reference Tables - MR'!$F$478</definedName>
    <definedName name="mgmt_az2_host13_mgmt_ip">'Value Reference Tables - MR'!$F$443</definedName>
    <definedName name="mgmt_az2_host13_vrms_ip">'Value Reference Tables - MR'!$F$459</definedName>
    <definedName name="mgmt_az2_host14_fqdn">'Value Reference Tables - MR'!$F$498</definedName>
    <definedName name="mgmt_az2_host14_hostname">'Value Reference Tables - MR'!$F$479</definedName>
    <definedName name="mgmt_az2_host14_mgmt_ip">'Value Reference Tables - MR'!$F$444</definedName>
    <definedName name="mgmt_az2_host14_vrms_ip">'Value Reference Tables - MR'!$F$460</definedName>
    <definedName name="mgmt_az2_host15_fqdn">'Value Reference Tables - MR'!$F$499</definedName>
    <definedName name="mgmt_az2_host15_hostname">'Value Reference Tables - MR'!$F$480</definedName>
    <definedName name="mgmt_az2_host15_mgmt_ip">'Value Reference Tables - MR'!$F$445</definedName>
    <definedName name="mgmt_az2_host15_vrms_ip">'Value Reference Tables - MR'!$F$461</definedName>
    <definedName name="mgmt_az2_host16_fqdn">'Value Reference Tables - MR'!$F$500</definedName>
    <definedName name="mgmt_az2_host16_hostname">'Value Reference Tables - MR'!$F$481</definedName>
    <definedName name="mgmt_az2_host16_mgmt_ip">'Value Reference Tables - MR'!$F$446</definedName>
    <definedName name="mgmt_az2_host16_vrms_ip">'Value Reference Tables - MR'!$F$462</definedName>
    <definedName name="mgmt_az2_host2_fqdn">'Value Reference Tables - MR'!$F$486</definedName>
    <definedName name="mgmt_az2_host2_hostname">'Value Reference Tables - MR'!$F$467</definedName>
    <definedName name="mgmt_az2_host2_mgmt_ip">'Value Reference Tables - MR'!$F$432</definedName>
    <definedName name="mgmt_az2_host2_sddc_id">'Value Reference Tables'!$C$207</definedName>
    <definedName name="mgmt_az2_host2_vrms_ip">'Value Reference Tables - MR'!$F$448</definedName>
    <definedName name="mgmt_az2_host3_fqdn">'Value Reference Tables - MR'!$F$487</definedName>
    <definedName name="mgmt_az2_host3_hostname">'Value Reference Tables - MR'!$F$468</definedName>
    <definedName name="mgmt_az2_host3_mgmt_ip">'Value Reference Tables - MR'!$F$433</definedName>
    <definedName name="mgmt_az2_host3_sddc_id">'Value Reference Tables'!$C$208</definedName>
    <definedName name="mgmt_az2_host3_vrms_ip">'Value Reference Tables - MR'!$F$449</definedName>
    <definedName name="mgmt_az2_host4_fqdn">'Value Reference Tables - MR'!$F$488</definedName>
    <definedName name="mgmt_az2_host4_hostname">'Value Reference Tables - MR'!$F$469</definedName>
    <definedName name="mgmt_az2_host4_mgmt_ip">'Value Reference Tables - MR'!$F$434</definedName>
    <definedName name="mgmt_az2_host4_sddc_id">'Value Reference Tables'!$C$209</definedName>
    <definedName name="mgmt_az2_host4_vrms_ip">'Value Reference Tables - MR'!$F$450</definedName>
    <definedName name="mgmt_az2_host5_fqdn">'Value Reference Tables - MR'!$F$489</definedName>
    <definedName name="mgmt_az2_host5_hostname">'Value Reference Tables - MR'!$F$470</definedName>
    <definedName name="mgmt_az2_host5_mgmt_ip">'Value Reference Tables - MR'!$F$435</definedName>
    <definedName name="mgmt_az2_host5_vrms_ip">'Value Reference Tables - MR'!$F$451</definedName>
    <definedName name="mgmt_az2_host6_fqdn">'Value Reference Tables - MR'!$F$490</definedName>
    <definedName name="mgmt_az2_host6_hostname">'Value Reference Tables - MR'!$F$471</definedName>
    <definedName name="mgmt_az2_host6_mgmt_ip">'Value Reference Tables - MR'!$F$436</definedName>
    <definedName name="mgmt_az2_host6_vrms_ip">'Value Reference Tables - MR'!$F$452</definedName>
    <definedName name="mgmt_az2_host7_fqdn">'Value Reference Tables - MR'!$F$491</definedName>
    <definedName name="mgmt_az2_host7_hostname">'Value Reference Tables - MR'!$F$472</definedName>
    <definedName name="mgmt_az2_host7_mgmt_ip">'Value Reference Tables - MR'!$F$437</definedName>
    <definedName name="mgmt_az2_host7_vrms_ip">'Value Reference Tables - MR'!$F$453</definedName>
    <definedName name="mgmt_az2_host8_fqdn">'Value Reference Tables - MR'!$F$492</definedName>
    <definedName name="mgmt_az2_host8_hostname">'Value Reference Tables - MR'!$F$473</definedName>
    <definedName name="mgmt_az2_host8_mgmt_ip">'Value Reference Tables - MR'!$F$438</definedName>
    <definedName name="mgmt_az2_host8_vrms_ip">'Value Reference Tables - MR'!$F$454</definedName>
    <definedName name="mgmt_az2_host9_fqdn">'Value Reference Tables - MR'!$F$493</definedName>
    <definedName name="mgmt_az2_host9_hostname">'Value Reference Tables - MR'!$F$474</definedName>
    <definedName name="mgmt_az2_host9_mgmt_ip">'Value Reference Tables - MR'!$F$439</definedName>
    <definedName name="mgmt_az2_host9_vrms_ip">'Value Reference Tables - MR'!$F$455</definedName>
    <definedName name="mgmt_az2_mgmt_cidr">'Value Reference Tables - MR'!$F$309</definedName>
    <definedName name="mgmt_az2_mgmt_gateway_ip">'Value Reference Tables - MR'!$F$351</definedName>
    <definedName name="mgmt_az2_mgmt_mask">'Value Reference Tables - MR'!$F$337</definedName>
    <definedName name="mgmt_az2_mgmt_mtu">'Value Reference Tables - MR'!$F$365</definedName>
    <definedName name="mgmt_az2_mgmt_network">'Value Reference Tables - MR'!$F$323</definedName>
    <definedName name="mgmt_az2_mgmt_vlan">'Value Reference Tables - MR'!$F$295</definedName>
    <definedName name="mgmt_az2_mgmt_vm_cidr">'Value Reference Tables - MR'!$F$308</definedName>
    <definedName name="mgmt_az2_mgmt_vm_gateway_ip">'Value Reference Tables - MR'!$F$350</definedName>
    <definedName name="mgmt_az2_mgmt_vm_mtu">'Value Reference Tables - MR'!$F$364</definedName>
    <definedName name="mgmt_az2_mgmt_vm_vlan">'Value Reference Tables - MR'!$F$294</definedName>
    <definedName name="mgmt_az2_pool_name">'Value Reference Tables - MR'!$F$414</definedName>
    <definedName name="mgmt_az2_reuse_vcf_networkpool_chosen">#REF!</definedName>
    <definedName name="mgmt_az2_rtep_overlay_cidr">'Value Reference Tables - MR'!$F$317</definedName>
    <definedName name="mgmt_az2_rtep_overlay_gateway_ip">'Value Reference Tables - MR'!$F$359</definedName>
    <definedName name="mgmt_az2_rtep_overlay_mask">'Value Reference Tables - MR'!$F$345</definedName>
    <definedName name="mgmt_az2_rtep_overlay_mtu">'Value Reference Tables - MR'!$F$373</definedName>
    <definedName name="mgmt_az2_rtep_overlay_network">'Value Reference Tables - MR'!$F$331</definedName>
    <definedName name="mgmt_az2_rtep_overlay_pg">'Value Reference Tables - MR'!$F$397</definedName>
    <definedName name="mgmt_az2_rtep_overlay_vlan">'Value Reference Tables - MR'!$F$303</definedName>
    <definedName name="mgmt_az2_secondary_storage_cidr">'Value Reference Tables - MR'!$F$313</definedName>
    <definedName name="mgmt_az2_secondary_storage_gateway_ip">'Value Reference Tables - MR'!$F$355</definedName>
    <definedName name="mgmt_az2_secondary_storage_mask">'Value Reference Tables - MR'!$F$341</definedName>
    <definedName name="mgmt_az2_secondary_storage_mtu">'Value Reference Tables - MR'!$F$369</definedName>
    <definedName name="mgmt_az2_secondary_storage_network">'Value Reference Tables - MR'!$F$327</definedName>
    <definedName name="mgmt_az2_secondary_storage_pool_end_ip">'Value Reference Tables - MR'!$F$408</definedName>
    <definedName name="mgmt_az2_secondary_storage_pool_start_ip">'Value Reference Tables - MR'!$F$407</definedName>
    <definedName name="mgmt_az2_secondary_storage_vlan">'Value Reference Tables - MR'!$F$299</definedName>
    <definedName name="mgmt_az2_tor1_peer_asn">'Value Reference Tables - MR'!$F$380</definedName>
    <definedName name="mgmt_az2_tor1_peer_bgp_password">'Value Reference Tables - MR'!$F$381</definedName>
    <definedName name="mgmt_az2_tor1_peer_ip">'Value Reference Tables - MR'!$F$379</definedName>
    <definedName name="mgmt_az2_tor2_peer_asn">'Value Reference Tables - MR'!$F$383</definedName>
    <definedName name="mgmt_az2_tor2_peer_bgp_password">'Value Reference Tables - MR'!$F$384</definedName>
    <definedName name="mgmt_az2_tor2_peer_ip">'Value Reference Tables - MR'!$F$382</definedName>
    <definedName name="mgmt_az2_uplink01_cidr">'Value Reference Tables - MR'!$F$314</definedName>
    <definedName name="mgmt_az2_uplink01_gateway_ip">'Value Reference Tables - MR'!$F$356</definedName>
    <definedName name="mgmt_az2_uplink01_mask">'Value Reference Tables - MR'!$F$342</definedName>
    <definedName name="mgmt_az2_uplink01_mtu">'Value Reference Tables - MR'!$F$370</definedName>
    <definedName name="mgmt_az2_uplink01_network">'Value Reference Tables - MR'!$F$328</definedName>
    <definedName name="mgmt_az2_uplink01_vlan">'Value Reference Tables - MR'!$F$300</definedName>
    <definedName name="mgmt_az2_uplink02_cidr">'Value Reference Tables - MR'!$F$315</definedName>
    <definedName name="mgmt_az2_uplink02_gateway_ip">'Value Reference Tables - MR'!$F$357</definedName>
    <definedName name="mgmt_az2_uplink02_mask">'Value Reference Tables - MR'!$F$343</definedName>
    <definedName name="mgmt_az2_uplink02_mtu">'Value Reference Tables - MR'!$F$371</definedName>
    <definedName name="mgmt_az2_uplink02_network">'Value Reference Tables - MR'!$F$329</definedName>
    <definedName name="mgmt_az2_uplink02_vlan">'Value Reference Tables - MR'!$F$301</definedName>
    <definedName name="mgmt_az2_vm_cidr">'Value Reference Tables'!$AE$15</definedName>
    <definedName name="mgmt_az2_vm_gateway_ip">'Value Reference Tables'!$AE$19</definedName>
    <definedName name="mgmt_az2_vm_mtu">'Value Reference Tables'!$AE$23</definedName>
    <definedName name="mgmt_az2_vm_vlan">'Value Reference Tables'!$AE$8</definedName>
    <definedName name="mgmt_az2_vmotion_cidr">'Value Reference Tables - MR'!$F$310</definedName>
    <definedName name="mgmt_az2_vmotion_gateway_ip">'Value Reference Tables - MR'!$F$352</definedName>
    <definedName name="mgmt_az2_vmotion_mask">'Value Reference Tables - MR'!$F$338</definedName>
    <definedName name="mgmt_az2_vmotion_mtu">'Value Reference Tables - MR'!$F$366</definedName>
    <definedName name="mgmt_az2_vmotion_network">'Value Reference Tables - MR'!$F$324</definedName>
    <definedName name="mgmt_az2_vmotion_pool_end_ip">'Value Reference Tables - MR'!$F$402</definedName>
    <definedName name="mgmt_az2_vmotion_pool_start_ip">'Value Reference Tables - MR'!$F$401</definedName>
    <definedName name="mgmt_az2_vmotion_vlan">'Value Reference Tables - MR'!$F$296</definedName>
    <definedName name="mgmt_az2_vrms_cidr">'Value Reference Tables - MR'!$F$318</definedName>
    <definedName name="mgmt_az2_vrms_gateway_ip">'Value Reference Tables - MR'!$F$360</definedName>
    <definedName name="mgmt_az2_vrms_mask">'Value Reference Tables - MR'!$F$346</definedName>
    <definedName name="mgmt_az2_vrms_mtu">'Value Reference Tables - MR'!$F$374</definedName>
    <definedName name="mgmt_az2_vrms_network">'Value Reference Tables - MR'!$F$332</definedName>
    <definedName name="mgmt_az2_vrms_vlan">'Value Reference Tables - MR'!$F$304</definedName>
    <definedName name="mgmt_az2_vsan_cidr">'Value Reference Tables - MR'!$F$311</definedName>
    <definedName name="mgmt_az2_vsan_gateway_ip">'Value Reference Tables - MR'!$F$353</definedName>
    <definedName name="mgmt_az2_vsan_mask">'Value Reference Tables - MR'!$F$339</definedName>
    <definedName name="mgmt_az2_vsan_mtu">'Value Reference Tables - MR'!$F$367</definedName>
    <definedName name="mgmt_az2_vsan_network">'Value Reference Tables - MR'!$F$325</definedName>
    <definedName name="mgmt_az2_vsan_pool_end_ip">'Value Reference Tables - MR'!$F$404</definedName>
    <definedName name="mgmt_az2_vsan_pool_start_ip">'Value Reference Tables - MR'!$F$403</definedName>
    <definedName name="mgmt_az2_vsan_vlan">'Value Reference Tables - MR'!$F$297</definedName>
    <definedName name="mgmt_ceip_status_chosen">#REF!</definedName>
    <definedName name="mgmt_cl01_az1_flt_lbt_chosen">#REF!</definedName>
    <definedName name="mgmt_cl01_az1_flt_uplink1_chosen">#REF!</definedName>
    <definedName name="mgmt_cl01_az1_flt_uplink2_chosen">#REF!</definedName>
    <definedName name="mgmt_cl01_az1_mgmt_lbt_chosen">#REF!</definedName>
    <definedName name="mgmt_cl01_az1_mgmt_pg">'Value Reference Tables - MR'!$F$126</definedName>
    <definedName name="mgmt_cl01_az1_mgmt_uplink1_chosen">#REF!</definedName>
    <definedName name="mgmt_cl01_az1_mgmt_uplink2_chosen">#REF!</definedName>
    <definedName name="mgmt_cl01_az1_mgmt_vm_lbt_chosen">#REF!</definedName>
    <definedName name="mgmt_cl01_az1_mgmt_vm_pg">'Value Reference Tables - MR'!$F$125</definedName>
    <definedName name="mgmt_cl01_az1_mgmt_vm_uplink1_chosen">#REF!</definedName>
    <definedName name="mgmt_cl01_az1_mgmt_vm_uplink2_chosen">#REF!</definedName>
    <definedName name="mgmt_cl01_az1_nfs_lbt_chosen">#REF!</definedName>
    <definedName name="mgmt_cl01_az1_nfs_pg">'Value Reference Tables - MR'!$F$135</definedName>
    <definedName name="mgmt_cl01_az1_nfs_uplink1_chosen">#REF!</definedName>
    <definedName name="mgmt_cl01_az1_nfs_uplink2_chosen">#REF!</definedName>
    <definedName name="mgmt_cl01_az1_nsx_lbt_chosen">#REF!</definedName>
    <definedName name="mgmt_cl01_az1_nsx_uplink1_chosen">#REF!</definedName>
    <definedName name="mgmt_cl01_az1_nsx_uplink2_chosen">#REF!</definedName>
    <definedName name="mgmt_cl01_az1_uplink01_pg">'Value Reference Tables - MR'!$F$131</definedName>
    <definedName name="mgmt_cl01_az1_uplink02_pg">'Value Reference Tables - MR'!$F$132</definedName>
    <definedName name="mgmt_cl01_az1_vcf_mgmt_pg">'Value Reference Tables - MR'!$F$136</definedName>
    <definedName name="mgmt_cl01_az1_vmotion_lbt_chosen">#REF!</definedName>
    <definedName name="mgmt_cl01_az1_vmotion_pg">'Value Reference Tables - MR'!$F$127</definedName>
    <definedName name="mgmt_cl01_az1_vmotion_uplink1_chosen">#REF!</definedName>
    <definedName name="mgmt_cl01_az1_vmotion_uplink2_chosen">#REF!</definedName>
    <definedName name="mgmt_cl01_az1_vsan_lbt_chosen">#REF!</definedName>
    <definedName name="mgmt_cl01_az1_vsan_pg">'Value Reference Tables - MR'!$F$128</definedName>
    <definedName name="mgmt_cl01_az1_vsan_uplink1_chosen">#REF!</definedName>
    <definedName name="mgmt_cl01_az1_vsan_uplink2_chosen">#REF!</definedName>
    <definedName name="mgmt_cl01_az2_mgmt_pg">'Value Reference Tables - MR'!$F$389</definedName>
    <definedName name="mgmt_cl01_az2_mgmt_vm_pg">'Value Reference Tables - MR'!$F$388</definedName>
    <definedName name="mgmt_cl01_az2_uplink01_pg">'Value Reference Tables - MR'!$F$394</definedName>
    <definedName name="mgmt_cl01_az2_uplink02_pg">'Value Reference Tables - MR'!$F$395</definedName>
    <definedName name="mgmt_cl01_az2_vmotion_pg">'Value Reference Tables - MR'!$F$390</definedName>
    <definedName name="mgmt_cl01_az2_vsan_pg">'Value Reference Tables - MR'!$F$391</definedName>
    <definedName name="mgmt_cl01_cluster">'Value Reference Tables'!$C$86</definedName>
    <definedName name="mgmt_cl01_cluster_sddc_id">'Value Reference Tables'!$C$210</definedName>
    <definedName name="mgmt_cl01_evc_mode_chosen">#REF!</definedName>
    <definedName name="mgmt_cl01_nfs_server_bound_to_vmknic_chosen">#REF!</definedName>
    <definedName name="mgmt_cl01_nfs_server_ip">'Value Reference Tables'!$C$132</definedName>
    <definedName name="mgmt_cl01_nfs_share">'Value Reference Tables'!$C$131</definedName>
    <definedName name="mgmt_cl01_vds_profile_chosen">#REF!</definedName>
    <definedName name="mgmt_cl01_vds01_lacp_mode_chosen">#REF!</definedName>
    <definedName name="mgmt_cl01_vds01_lacp_timeout_chosen">#REF!</definedName>
    <definedName name="mgmt_cl01_vds01_lag_lbt_chosen">#REF!</definedName>
    <definedName name="mgmt_cl01_vds01_lag_name">'Value Reference Tables'!$C$106</definedName>
    <definedName name="mgmt_cl01_vds01_link_type_chosen">#REF!</definedName>
    <definedName name="mgmt_cl01_vds01_mtu">'Value Reference Tables'!$C$105</definedName>
    <definedName name="mgmt_cl01_vds01_name">'Value Reference Tables'!$C$101</definedName>
    <definedName name="mgmt_cl01_vds01_pnics">'Value Reference Tables'!$C$102:$C$103</definedName>
    <definedName name="mgmt_cl01_vds01_uplink_count">'Value Reference Tables'!$C$104</definedName>
    <definedName name="mgmt_cl01_vds01_uplink1">'Value Reference Tables'!$C$102</definedName>
    <definedName name="mgmt_cl01_vds01_uplink2">'Value Reference Tables'!$C$103</definedName>
    <definedName name="mgmt_cl01_vds02_lacp_mode_chosen">#REF!</definedName>
    <definedName name="mgmt_cl01_vds02_lacp_timeout_chosen">#REF!</definedName>
    <definedName name="mgmt_cl01_vds02_lag_lbt_chosen">#REF!</definedName>
    <definedName name="mgmt_cl01_vds02_lag_name">'Value Reference Tables'!$C$113</definedName>
    <definedName name="mgmt_cl01_vds02_link_type_chosen">#REF!</definedName>
    <definedName name="mgmt_cl01_vds02_mtu">'Value Reference Tables'!$C$112</definedName>
    <definedName name="mgmt_cl01_vds02_name">'Value Reference Tables'!$C$108</definedName>
    <definedName name="mgmt_cl01_vds02_pnics">'Value Reference Tables'!$C$109:$C$110</definedName>
    <definedName name="mgmt_cl01_vds02_uplink_count">'Value Reference Tables'!$C$111</definedName>
    <definedName name="mgmt_cl01_vds02_uplink1">'Value Reference Tables'!$C$109</definedName>
    <definedName name="mgmt_cl01_vds02_uplink2">'Value Reference Tables'!$C$110</definedName>
    <definedName name="mgmt_cl01_vds03_lacp_mode_chosen">#REF!</definedName>
    <definedName name="mgmt_cl01_vds03_lacp_timeout_chosen">#REF!</definedName>
    <definedName name="mgmt_cl01_vds03_lag_lbt_chosen">#REF!</definedName>
    <definedName name="mgmt_cl01_vds03_lag_name">'Value Reference Tables'!$C$120</definedName>
    <definedName name="mgmt_cl01_vds03_link_type_chosen">#REF!</definedName>
    <definedName name="mgmt_cl01_vds03_mtu">'Value Reference Tables'!$C$119</definedName>
    <definedName name="mgmt_cl01_vds03_name">'Value Reference Tables'!$C$115</definedName>
    <definedName name="mgmt_cl01_vds03_pnics">'Value Reference Tables'!$C$116:$C$117</definedName>
    <definedName name="mgmt_cl01_vds03_uplink_count">'Value Reference Tables'!$C$118</definedName>
    <definedName name="mgmt_cl01_vds03_uplink1">'Value Reference Tables'!$C$116</definedName>
    <definedName name="mgmt_cl01_vds03_uplink2">'Value Reference Tables'!$C$117</definedName>
    <definedName name="mgmt_cl01_vsan_data_in_transit_chosen">#REF!</definedName>
    <definedName name="mgmt_cl01_vsan_datastore">'Value Reference Tables'!$C$128</definedName>
    <definedName name="mgmt_cl01_vsan_dedupe_compression_chosen">#REF!</definedName>
    <definedName name="mgmt_cl01_vsan_ftt_chosen">#REF!</definedName>
    <definedName name="mgmt_consolidated_result">'Value Reference Tables'!$AA$61</definedName>
    <definedName name="mgmt_datacenter">'Value Reference Tables'!$C$85</definedName>
    <definedName name="mgmt_domain_chosen">#REF!</definedName>
    <definedName name="mgmt_domain_deployment_type_chosen">#REF!</definedName>
    <definedName name="mgmt_domain_deployment_type_result">#REF!</definedName>
    <definedName name="mgmt_domain_existing_nsx_manager_chosen">#REF!</definedName>
    <definedName name="mgmt_domain_existing_vcenter_chosen">#REF!</definedName>
    <definedName name="mgmt_domain_existing_vcf_operations_chosen">#REF!</definedName>
    <definedName name="mgmt_domain_ops_automation_later_chosen">#REF!</definedName>
    <definedName name="mgmt_domain_password_creation_chosen">#REF!</definedName>
    <definedName name="mgmt_domain_result">#REF!</definedName>
    <definedName name="mgmt_domain_vcf_automation_later_chosen">#REF!</definedName>
    <definedName name="mgmt_domain_vcf_operations_ha_mode_chosen">#REF!</definedName>
    <definedName name="mgmt_domain_vcf_operations_size_chosen">#REF!</definedName>
    <definedName name="mgmt_dpg_reuse_chosen">#REF!</definedName>
    <definedName name="mgmt_dpg_reuse_result">'Value Reference Tables'!$C$145</definedName>
    <definedName name="mgmt_dual_stack_networking_chosen">#REF!</definedName>
    <definedName name="mgmt_ec_api_chosen">#REF!</definedName>
    <definedName name="mgmt_ec_gateway_type">'Value Reference Tables'!$C$137</definedName>
    <definedName name="mgmt_ec_ip_assignment_chosen">#REF!</definedName>
    <definedName name="mgmt_ec_mtu">'Value Reference Tables'!$C$139</definedName>
    <definedName name="mgmt_ec_name">'Value Reference Tables'!$O$15</definedName>
    <definedName name="mgmt_ec_rp_name">'Value Reference Tables'!$C$140</definedName>
    <definedName name="mgmt_ec01_en01_host_group_affinity_rule_name">'Value Reference Tables'!$C$142</definedName>
    <definedName name="mgmt_ec01_en02_host_group_affinity_rule_name">'Value Reference Tables'!$C$143</definedName>
    <definedName name="mgmt_ec01_host_group_affinity_rule_chosen">#REF!</definedName>
    <definedName name="mgmt_ec01_use_host_overlay_chosen">#REF!</definedName>
    <definedName name="mgmt_edge_vm_folder">'Value Reference Tables'!$O$36</definedName>
    <definedName name="mgmt_en_asn">'Value Reference Tables - MR'!$F$115</definedName>
    <definedName name="mgmt_en01_bfd_chosen">#REF!</definedName>
    <definedName name="mgmt_en02_bfd_chosen">#REF!</definedName>
    <definedName name="mgmt_existing_active_nsx_gm">Arkham!$C$49</definedName>
    <definedName name="mgmt_existing_cross_instance_t0_name">Arkham!$C$50</definedName>
    <definedName name="mgmt_flt_fm_reuse_password_chosen">Arkham!$Y$10</definedName>
    <definedName name="mgmt_gateway_routing_type_chosen">#REF!</definedName>
    <definedName name="mgmt_host_overlay_addressing_chosen">#REF!</definedName>
    <definedName name="mgmt_internet_proxy_address">'Value Reference Tables'!$O$55</definedName>
    <definedName name="mgmt_internet_proxy_auth_chosen">#REF!</definedName>
    <definedName name="mgmt_internet_proxy_chosen">#REF!</definedName>
    <definedName name="mgmt_internet_proxy_email">'Value Reference Tables'!$L$37</definedName>
    <definedName name="mgmt_internet_proxy_password">'Value Reference Tables'!$L$38</definedName>
    <definedName name="mgmt_internet_proxy_port">'Value Reference Tables'!$O$56</definedName>
    <definedName name="mgmt_internet_proxy_type_chosen">#REF!</definedName>
    <definedName name="mgmt_mgmt_rp">'Value Reference Tables'!$C$88</definedName>
    <definedName name="mgmt_mgmt_vm_folder">'Value Reference Tables'!$O$34</definedName>
    <definedName name="mgmt_nsx_default_operation_mode_chosen">#REF!</definedName>
    <definedName name="mgmt_nsx_operation_mode_chosen">#REF!</definedName>
    <definedName name="mgmt_nsx_overlay_network_chosen">#REF!</definedName>
    <definedName name="mgmt_nsx_overlay_transit_gateway_chosen">#REF!</definedName>
    <definedName name="mgmt_nsx_rp">'Value Reference Tables'!$C$89</definedName>
    <definedName name="mgmt_nsx_vm_folder">'Value Reference Tables'!$O$35</definedName>
    <definedName name="mgmt_nsxt_appliance_size_chosen">#REF!</definedName>
    <definedName name="mgmt_nsxt_en_admin_password">'Value Reference Tables'!$C$240</definedName>
    <definedName name="mgmt_nsxt_en_root_password">'Value Reference Tables'!$C$241</definedName>
    <definedName name="mgmt_nsxt_enable_edge_sync_chosen">#REF!</definedName>
    <definedName name="mgmt_nsxt_federation_chosen">#REF!</definedName>
    <definedName name="mgmt_nsxt_federation_global_manager_name">'Value Reference Tables'!$O$23</definedName>
    <definedName name="mgmt_nsxt_federation_location_name">'Value Reference Tables'!$O$24</definedName>
    <definedName name="mgmt_nsxt_federation_result">#REF!</definedName>
    <definedName name="mgmt_nsxt_global_mgr_anti_affinity_rule_name">'Value Reference Tables'!$O$21</definedName>
    <definedName name="mgmt_nsxt_global_mgr_certificate_id">'Value Reference Tables'!$O$22</definedName>
    <definedName name="mgmt_nsxt_global_mgr_cluster_id">'Value Reference Tables'!$O$20</definedName>
    <definedName name="mgmt_nsxt_global_mgr_vmca_signed_thumbprint">'Value Reference Tables'!$O$19</definedName>
    <definedName name="mgmt_nsxt_global_mgra_fqdn">'Value Reference Tables'!$C$65</definedName>
    <definedName name="mgmt_nsxt_global_mgra_hostname">'Value Reference Tables'!$C$45</definedName>
    <definedName name="mgmt_nsxt_global_mgra_ip">'Value Reference Tables'!$C$22</definedName>
    <definedName name="mgmt_nsxt_global_mgrb_fqdn">'Value Reference Tables'!$C$66</definedName>
    <definedName name="mgmt_nsxt_global_mgrb_hostname">'Value Reference Tables'!$C$46</definedName>
    <definedName name="mgmt_nsxt_global_mgrb_ip">'Value Reference Tables'!$C$23</definedName>
    <definedName name="mgmt_nsxt_global_mgrc_fqdn">'Value Reference Tables'!$C$67</definedName>
    <definedName name="mgmt_nsxt_global_mgrc_hostname">'Value Reference Tables'!$C$47</definedName>
    <definedName name="mgmt_nsxt_global_mgrc_ip">'Value Reference Tables'!$C$24</definedName>
    <definedName name="mgmt_nsxt_gm_fingerprint">'Value Reference Tables'!$O$26</definedName>
    <definedName name="mgmt_nsxt_gm_hostname">'Value Reference Tables'!$C$44</definedName>
    <definedName name="mgmt_nsxt_gm_vip_fqdn">'Value Reference Tables'!$C$64</definedName>
    <definedName name="mgmt_nsxt_gm_vip_ip">'Value Reference Tables'!$C$21</definedName>
    <definedName name="mgmt_nsxt_hostname">'Value Reference Tables'!$C$40</definedName>
    <definedName name="mgmt_nsxt_lm_fingerprint">'Value Reference Tables'!$O$25</definedName>
    <definedName name="mgmt_nsxt_mgr_formfactor">'Value Reference Tables'!$O$14</definedName>
    <definedName name="mgmt_nsxt_mgra_fqdn">'Value Reference Tables'!$C$61</definedName>
    <definedName name="mgmt_nsxt_mgra_hostname">'Value Reference Tables'!$C$41</definedName>
    <definedName name="mgmt_nsxt_mgra_ip">'Value Reference Tables'!$C$18</definedName>
    <definedName name="mgmt_nsxt_mgrb_fqdn">'Value Reference Tables'!$C$62</definedName>
    <definedName name="mgmt_nsxt_mgrb_hostname">'Value Reference Tables'!$C$42</definedName>
    <definedName name="mgmt_nsxt_mgrb_ip">'Value Reference Tables'!$C$19</definedName>
    <definedName name="mgmt_nsxt_mgrc_fqdn">'Value Reference Tables'!$C$63</definedName>
    <definedName name="mgmt_nsxt_mgrc_hostname">'Value Reference Tables'!$C$43</definedName>
    <definedName name="mgmt_nsxt_mgrc_ip">'Value Reference Tables'!$C$20</definedName>
    <definedName name="mgmt_nsxt_vip_fqdn">'Value Reference Tables'!$C$60</definedName>
    <definedName name="mgmt_nsxt_vip_ip">'Value Reference Tables'!$C$17</definedName>
    <definedName name="mgmt_nsxt_xreg_t1_name">'Value Reference Tables'!$O$27</definedName>
    <definedName name="mgmt_offline_depot_chosen">#REF!</definedName>
    <definedName name="mgmt_offline_depot_fqdn">'Value Reference Tables'!$O$58</definedName>
    <definedName name="mgmt_offline_depot_port">'Value Reference Tables'!$O$59</definedName>
    <definedName name="mgmt_principal_storage_chosen">#REF!</definedName>
    <definedName name="mgmt_recovery_lb_creation_method">'Value Reference Tables'!$U$60</definedName>
    <definedName name="mgmt_rtep_overlay_pool_end_ip">'Value Reference Tables - MR'!$F$178</definedName>
    <definedName name="mgmt_rtep_overlay_pool_start_ip">'Value Reference Tables - MR'!$F$177</definedName>
    <definedName name="mgmt_rwr_recovery_site_az1_mgmt_cidr">'Value Reference Tables'!$U$205</definedName>
    <definedName name="mgmt_rwr_vc_fqdn">'Value Reference Tables'!$U$187</definedName>
    <definedName name="mgmt_sddc_domain">'Value Reference Tables'!$O$8</definedName>
    <definedName name="mgmt_set_appliance_size_chosen">#REF!</definedName>
    <definedName name="mgmt_signed_certs_chosen">#REF!</definedName>
    <definedName name="mgmt_signed_certs_result">#REF!</definedName>
    <definedName name="mgmt_srm_admin_email">'Value Reference Tables'!$U$74</definedName>
    <definedName name="mgmt_srm_admin_password">'Value Reference Tables'!$U$71</definedName>
    <definedName name="mgmt_srm_database_password">'Value Reference Tables'!$U$72</definedName>
    <definedName name="mgmt_srm_days">'Value Reference Tables'!$U$79</definedName>
    <definedName name="mgmt_srm_fqdn">'Value Reference Tables'!$R$123</definedName>
    <definedName name="mgmt_srm_instances_per_day">'Value Reference Tables'!$U$78</definedName>
    <definedName name="mgmt_srm_ip">'Value Reference Tables'!$R$101</definedName>
    <definedName name="mgmt_srm_logs_rp">'Value Reference Tables'!$O$123</definedName>
    <definedName name="mgmt_srm_net_rp">'Value Reference Tables'!$O$122</definedName>
    <definedName name="mgmt_srm_p12_password">'Value Reference Tables'!$U$75</definedName>
    <definedName name="mgmt_srm_recovery_cluster">'Value Reference Tables'!$U$92</definedName>
    <definedName name="mgmt_srm_recovery_datastore">'Value Reference Tables'!$U$93</definedName>
    <definedName name="mgmt_srm_recovery_gateway">'Value Reference Tables'!$O$125</definedName>
    <definedName name="mgmt_srm_recovery_mask">'Value Reference Tables'!$O$126</definedName>
    <definedName name="mgmt_srm_recovery_nsx_ec_name">'Value Reference Tables'!$U$91</definedName>
    <definedName name="mgmt_srm_recovery_nsx_location">'Value Reference Tables'!$U$90</definedName>
    <definedName name="mgmt_srm_recovery_pg">'Value Reference Tables'!$O$124</definedName>
    <definedName name="mgmt_srm_recovery_sddc_manager_domain">'Value Reference Tables'!$U$89</definedName>
    <definedName name="mgmt_srm_recovery_sddc_manager_fqdn">'Value Reference Tables'!$U$48</definedName>
    <definedName name="mgmt_srm_recovery_sddc_manager_password">'Value Reference Tables'!$U$50</definedName>
    <definedName name="mgmt_srm_recovery_sddc_manager_username">'Value Reference Tables'!$U$49</definedName>
    <definedName name="mgmt_srm_recovery_t1_si_ip">'Value Reference Tables'!$R$102</definedName>
    <definedName name="mgmt_srm_recovery_vcenter_fqdn">'Value Reference Tables'!$U$86</definedName>
    <definedName name="mgmt_srm_recovery_vcenter_password">'Value Reference Tables'!$U$88</definedName>
    <definedName name="mgmt_srm_recovery_vcenter_username">'Value Reference Tables'!$U$87</definedName>
    <definedName name="mgmt_srm_root_password">'Value Reference Tables'!$U$70</definedName>
    <definedName name="mgmt_srm_rpo">'Value Reference Tables'!$U$77</definedName>
    <definedName name="mgmt_srm_site_name">'Value Reference Tables'!$U$73</definedName>
    <definedName name="mgmt_srm_sso_domain_membership">'Value Reference Tables'!$U$95</definedName>
    <definedName name="mgmt_srm_vm_folder">'Value Reference Tables'!$U$69</definedName>
    <definedName name="mgmt_srm_vm_size">'Value Reference Tables'!$U$76</definedName>
    <definedName name="mgmt_srm_vra_pg">'Value Reference Tables'!$U$84</definedName>
    <definedName name="mgmt_srm_vra_rp">'Value Reference Tables'!$U$85</definedName>
    <definedName name="mgmt_srm_vrops_pg">'Value Reference Tables'!$U$82</definedName>
    <definedName name="mgmt_srm_vrops_rp">'Value Reference Tables'!$U$83</definedName>
    <definedName name="mgmt_srm_vrslcm_wsa_pg">'Value Reference Tables'!$U$80</definedName>
    <definedName name="mgmt_srm_vrslcm_wsa_rp">'Value Reference Tables'!$U$81</definedName>
    <definedName name="mgmt_sso_domain">'Value Reference Tables'!$C$93</definedName>
    <definedName name="mgmt_sso_domain_username">'Value Reference Tables'!$C$94</definedName>
    <definedName name="mgmt_stretched_cluster_chosen">#REF!</definedName>
    <definedName name="mgmt_stretched_cluster_result">#REF!</definedName>
    <definedName name="mgmt_supervisor_chosen">#REF!</definedName>
    <definedName name="mgmt_supervisor_result">#REF!</definedName>
    <definedName name="mgmt_supvr_api_server_fqdn">'Value Reference Tables'!$C$306</definedName>
    <definedName name="mgmt_supvr_cp_storage_policy">'Value Reference Tables'!$C$291</definedName>
    <definedName name="mgmt_supvr_ctrl_plane_ha_chosen">#REF!</definedName>
    <definedName name="mgmt_supvr_ctrl_plane_size_chosen">#REF!</definedName>
    <definedName name="mgmt_supvr_ed_storage_policy">'Value Reference Tables'!$C$292</definedName>
    <definedName name="mgmt_supvr_ic_storage_policy">'Value Reference Tables'!$C$293</definedName>
    <definedName name="mgmt_supvr_ip_address_range">'Value Reference Tables'!$C$294</definedName>
    <definedName name="mgmt_supvr_ip_mode_chosen">#REF!</definedName>
    <definedName name="mgmt_supvr_location_chosen">#REF!</definedName>
    <definedName name="mgmt_supvr_mgmt_dns_server">'Value Reference Tables'!$C$295</definedName>
    <definedName name="mgmt_supvr_mgmt_dns_zones">'Value Reference Tables'!$C$296</definedName>
    <definedName name="mgmt_supvr_mgmt_ntp_server">'Value Reference Tables'!$C$297</definedName>
    <definedName name="mgmt_supvr_name">'Value Reference Tables'!$C$289</definedName>
    <definedName name="mgmt_supvr_networking_stack_chosen">#REF!</definedName>
    <definedName name="mgmt_supvr_nsx_project">'Value Reference Tables'!$C$298</definedName>
    <definedName name="mgmt_supvr_vpc_connectivity_profile">'Value Reference Tables'!$C$299</definedName>
    <definedName name="mgmt_supvr_vpc_ext_ip_blocks_name">'Value Reference Tables'!$C$300</definedName>
    <definedName name="mgmt_supvr_vpc_priv_cidr">'Value Reference Tables'!$C$302</definedName>
    <definedName name="mgmt_supvr_vpc_priv_ip_blocks_name">'Value Reference Tables'!$C$301</definedName>
    <definedName name="mgmt_supvr_vpc_service_cidr">'Value Reference Tables'!$C$303</definedName>
    <definedName name="mgmt_supvr_wld_dns_server">'Value Reference Tables'!$C$304</definedName>
    <definedName name="mgmt_supvr_wld_ntp_server">'Value Reference Tables'!$C$305</definedName>
    <definedName name="mgmt_supvr_zone_name">'Value Reference Tables'!$C$290</definedName>
    <definedName name="mgmt_tier0_ha_chosen">#REF!</definedName>
    <definedName name="mgmt_tier0_name">'Value Reference Tables'!$O$17</definedName>
    <definedName name="mgmt_tier1_name">'Value Reference Tables'!$O$18</definedName>
    <definedName name="mgmt_user_edge_rp">'Value Reference Tables'!$C$90</definedName>
    <definedName name="mgmt_user_vm_rp">'Value Reference Tables'!$C$91</definedName>
    <definedName name="mgmt_vc_fqdn">'Value Reference Tables'!$C$59</definedName>
    <definedName name="mgmt_vc_hostname">'Value Reference Tables'!$C$39</definedName>
    <definedName name="mgmt_vc_ip">'Value Reference Tables'!$C$16</definedName>
    <definedName name="mgmt_vc_size">'Value Reference Tables'!$O$11</definedName>
    <definedName name="mgmt_vc_storage_size">'Value Reference Tables'!$O$12</definedName>
    <definedName name="mgmt_vcenter_appliance_size_chosen">#REF!</definedName>
    <definedName name="mgmt_vcenter_storage_size_chosen">#REF!</definedName>
    <definedName name="mgmt_vcf_installer_location_chosen">#REF!</definedName>
    <definedName name="mgmt_vcf_management_network_chosen">#REF!</definedName>
    <definedName name="mgmt_vcfops_appliance_size_chosen">#REF!</definedName>
    <definedName name="mgmt_vna_ip_assignment_address_type_chosen">#REF!</definedName>
    <definedName name="mgmt_vna_ip_assignment_chosen">#REF!</definedName>
    <definedName name="mgmt_vna_rp_name">'Value Reference Tables'!$C$286</definedName>
    <definedName name="mgmt_vnaa_cidr">'Value Reference Tables'!$C$284</definedName>
    <definedName name="mgmt_vnaa_fqdn">'Value Reference Tables'!$C$282</definedName>
    <definedName name="mgmt_vnab_cidr">'Value Reference Tables'!$C$285</definedName>
    <definedName name="mgmt_vnab_fqdn">'Value Reference Tables'!$C$283</definedName>
    <definedName name="mgmt_vns_chosen">#REF!</definedName>
    <definedName name="mgmt_vns_result">#REF!</definedName>
    <definedName name="mgmt_vpc_ext_ip_blocks">'Value Reference Tables'!$O$32</definedName>
    <definedName name="mgmt_vpc_ext_ip_blocks_cidr">'Value Reference Tables'!$C$273</definedName>
    <definedName name="mgmt_vpc_ext_ip_blocks_excluded_ips">'Value Reference Tables'!$C$274</definedName>
    <definedName name="mgmt_vpc_ext_ip_blocks_name">'Value Reference Tables'!$C$271</definedName>
    <definedName name="mgmt_vpc_ext_ip_blocks_reserved">'Value Reference Tables'!$C$275</definedName>
    <definedName name="mgmt_vpc_ext_ip_blocks_visability">'Value Reference Tables'!$C$272</definedName>
    <definedName name="mgmt_vpc_priv_ip_blocks_excluded_ips">'Value Reference Tables'!$C$279</definedName>
    <definedName name="mgmt_vpc_priv_ip_blocks_name">'Value Reference Tables'!$C$276</definedName>
    <definedName name="mgmt_vpc_priv_ip_blocks_reserved">'Value Reference Tables'!$C$280</definedName>
    <definedName name="mgmt_vpc_priv_ip_blocks_visability">'Value Reference Tables'!$C$277</definedName>
    <definedName name="mgmt_vpc_transit_gateway_ip_blocks">'Value Reference Tables'!$O$33</definedName>
    <definedName name="mgmt_vpc_transit_gateway_ip_blocks_cidr">'Value Reference Tables'!$C$278</definedName>
    <definedName name="mgmt_vpc_vna_cluster_name">'Value Reference Tables'!$C$281</definedName>
    <definedName name="mgmt_vpc_vna_cluster_size_chosen">#REF!</definedName>
    <definedName name="mgmt_vrms_admin_email">'Value Reference Tables'!$U$65</definedName>
    <definedName name="mgmt_vrms_admin_password">'Value Reference Tables'!$U$63</definedName>
    <definedName name="mgmt_vrms_hostname">'Value Reference Tables'!$R$112</definedName>
    <definedName name="mgmt_vrms_mgmt_ip">'Value Reference Tables'!$R$99</definedName>
    <definedName name="mgmt_vrms_p12_password">'Value Reference Tables'!$U$67</definedName>
    <definedName name="mgmt_vrms_pg">'Value Reference Tables'!$U$66</definedName>
    <definedName name="mgmt_vrms_recovery_replication_cidr">'Value Reference Tables'!$U$94</definedName>
    <definedName name="mgmt_vrms_root_password">'Value Reference Tables'!$U$62</definedName>
    <definedName name="mgmt_vrms_site_name">'Value Reference Tables'!$U$64</definedName>
    <definedName name="mgmt_vrms_vm_folder">'Value Reference Tables'!$U$61</definedName>
    <definedName name="mgmt_vrms_vrms_ip">'Value Reference Tables'!$R$100</definedName>
    <definedName name="mgmt_vsan_dit_rekey_type_chosen">#REF!</definedName>
    <definedName name="mgmt_witness_az_mgmt_mask">'Value Reference Tables'!$AA$8</definedName>
    <definedName name="mgmt_witness_cluster">'Value Reference Tables'!$C$217</definedName>
    <definedName name="mgmt_witness_dns1_ip">'Value Reference Tables'!$C$224</definedName>
    <definedName name="mgmt_witness_dns2_ip">'Value Reference Tables'!$C$225</definedName>
    <definedName name="mgmt_witness_fqdn">'Value Reference Tables'!$C$81</definedName>
    <definedName name="mgmt_witness_hostname">'Value Reference Tables'!$C$202</definedName>
    <definedName name="mgmt_witness_ip">'Value Reference Tables'!$L$176</definedName>
    <definedName name="mgmt_witness_mgmt_ip">'Value Reference Tables'!$C$223</definedName>
    <definedName name="mgmt_witness_mgmt_pg">'Value Reference Tables'!$X$16</definedName>
    <definedName name="mgmt_witness_ntp1_server">'Value Reference Tables'!$C$226</definedName>
    <definedName name="mgmt_witness_ntp2_server">'Value Reference Tables'!$C$227</definedName>
    <definedName name="mgmt_witness_root_password">'Value Reference Tables'!$L$34</definedName>
    <definedName name="mgmt_witness_sddc_domain">'Value Reference Tables'!$C$215</definedName>
    <definedName name="mgmt_witness_vc_fqdn">'Value Reference Tables'!$C$80</definedName>
    <definedName name="mgmt_witness_vcenter_fqdn">'Value Reference Tables'!$L$167</definedName>
    <definedName name="mgmt_witness_vcenter_hostname">'Value Reference Tables'!$C$201</definedName>
    <definedName name="mgmt_witness_vm_folder">'Value Reference Tables'!$C$218</definedName>
    <definedName name="mgmt_witness_vsan_datastore">'Value Reference Tables'!$C$216</definedName>
    <definedName name="mgmt_witness_zone_vc_fqdn">'Value Reference Tables'!$L$168</definedName>
    <definedName name="mgmt_witness_zone_vc_hostname">'Value Reference Tables'!$L$169</definedName>
    <definedName name="mgmt_witness_zone_vc_ip">'Value Reference Tables'!$C$222</definedName>
    <definedName name="mgmt_witnessaz_cidr">'Value Reference Tables'!$X$20</definedName>
    <definedName name="mgmt_witnessaz_gateway_ip">'Value Reference Tables'!$X$24</definedName>
    <definedName name="mgmt_witnessaz_mgmt_cidr">'Value Reference Tables'!$L$177</definedName>
    <definedName name="mgmt_witnessaz_mgmt_gateway_ip">'Value Reference Tables'!$L$178</definedName>
    <definedName name="mgmt_witnessaz_mgmt_mask">'Value Reference Tables'!$L$174</definedName>
    <definedName name="mgmt_witnessaz_mgmt_mtu">'Value Reference Tables'!$X$28</definedName>
    <definedName name="mgmt_witnessaz_mgmt_network">'Value Reference Tables'!$L$173</definedName>
    <definedName name="mgmt_witnessaz_mgmt_vlan">'Value Reference Tables'!$X$12</definedName>
    <definedName name="mgmt_witnessaz_mtu">'Value Reference Tables'!$L$170</definedName>
    <definedName name="mgmt_witnessaz_vlan">'Value Reference Tables'!$L$171</definedName>
    <definedName name="navigation_apply_signed_certs_mgmt_domain">#REF!</definedName>
    <definedName name="navigation_apply_signed_certs_wld_domain">#REF!</definedName>
    <definedName name="navigation_avi_lb_mgmt_domain">#REF!</definedName>
    <definedName name="navigation_avi_lb_wld_domain">#REF!</definedName>
    <definedName name="navigation_configure_sftp_mgmt_domain">#REF!</definedName>
    <definedName name="navigation_mgmt_configure_auth">#REF!</definedName>
    <definedName name="navigation_mgmt_supervisor">#REF!</definedName>
    <definedName name="navigation_nsx_federation_for_management_domain">#REF!</definedName>
    <definedName name="navigation_nsx_federation_for_wld_domain">#REF!</definedName>
    <definedName name="navigation_nsx_routing_mgmt_domain">#REF!</definedName>
    <definedName name="navigation_nsx_routing_wld_domain">#REF!</definedName>
    <definedName name="navigation_site_protection_mgmt">'Site Protection &amp; DR'!$B$8</definedName>
    <definedName name="navigation_site_protection_solution_interop">'Site Protection &amp; DR'!$B$367</definedName>
    <definedName name="navigation_site_protection_wld">'Dumping Ground'!$B$217</definedName>
    <definedName name="navigation_stretched_cluster_mgmt_domain">#REF!</definedName>
    <definedName name="navigation_stretched_cluster_wld_domain">#REF!</definedName>
    <definedName name="navigation_vcf_and_vvf_planning_tab">#REF!</definedName>
    <definedName name="navigation_wld_supervisor">#REF!</definedName>
    <definedName name="navlink_input_ca_values">#REF!</definedName>
    <definedName name="non_first_domain_mgmt_only_viable">'Value Reference Tables'!$AA$56</definedName>
    <definedName name="non_first_domain_mgmt_vi_viable">'Value Reference Tables'!$AA$57</definedName>
    <definedName name="nsx_sizing_limits">'Static Reference Tables'!$B$457:$D$461</definedName>
    <definedName name="nsxt_en_admin_password">'Value Reference Tables'!$L$20</definedName>
    <definedName name="nsxt_en_root_password">'Value Reference Tables'!$L$19</definedName>
    <definedName name="nsxt_gm_admin_password">'Value Reference Tables'!$L$22</definedName>
    <definedName name="nsxt_gm_audit_password">'Value Reference Tables'!$L$23</definedName>
    <definedName name="nsxt_gm_root_password">'Value Reference Tables'!$L$21</definedName>
    <definedName name="nsxt_lm_admin_password">'Value Reference Tables'!$L$17</definedName>
    <definedName name="nsxt_lm_audit_password">'Value Reference Tables'!$L$18</definedName>
    <definedName name="nsxt_lm_root_password">'Value Reference Tables'!$L$16</definedName>
    <definedName name="other_instance">'Value Reference Tables'!$AA$20</definedName>
    <definedName name="parent_ad_groups_ou">'Value Reference Tables'!$L$82</definedName>
    <definedName name="parent_ad_users_ou">'Value Reference Tables'!$L$87</definedName>
    <definedName name="parent_dns_zone">'Value Reference Tables'!$L$66</definedName>
    <definedName name="pnp_version_history">Arkham!$B$2</definedName>
    <definedName name="pnp_version_number">'Value Reference Tables'!$C$11</definedName>
    <definedName name="prefix_flt_shared_cidr">'Value Reference Tables'!$AA$42</definedName>
    <definedName name="prefix_mgmt_az1_cidr">'Value Reference Tables'!$AA$23</definedName>
    <definedName name="prefix_mgmt_az1_vlan">'Value Reference Tables'!$AA$22</definedName>
    <definedName name="prefix_mgmt_az2_cidr">'Value Reference Tables'!$AA$25</definedName>
    <definedName name="prefix_mgmt_az2_vlan">'Value Reference Tables'!$AA$24</definedName>
    <definedName name="prefix_mgmt_ipv6_cidr">'Value Reference Tables'!$AA$43</definedName>
    <definedName name="prefix_mgmt_tor_asn">'Value Reference Tables'!$AA$30</definedName>
    <definedName name="prefix_mgmt_witness_cidr">'Value Reference Tables'!$AA$29</definedName>
    <definedName name="prefix_mgmt_witness_vlan">'Value Reference Tables'!$AA$28</definedName>
    <definedName name="prefix_other_region_az1_cidr">'Value Reference Tables'!$AA$40</definedName>
    <definedName name="prefix_portable_component">'Value Reference Tables'!$AA$41</definedName>
    <definedName name="prefix_reg_cidr">'Value Reference Tables'!$AA$26</definedName>
    <definedName name="prefix_wld_az1_cidr">'Value Reference Tables'!$AA$32</definedName>
    <definedName name="prefix_wld_az1_rack_cidr">'Value Reference Tables - MR'!$AH$9</definedName>
    <definedName name="prefix_wld_az1_rack_vlan">'Value Reference Tables - MR'!$AH$7</definedName>
    <definedName name="prefix_wld_az1_vlan">'Value Reference Tables'!$AA$31</definedName>
    <definedName name="prefix_wld_az2_cidr">'Value Reference Tables'!$AA$35</definedName>
    <definedName name="prefix_wld_az2_rack_cidr">'Value Reference Tables - MR'!$AH$10</definedName>
    <definedName name="prefix_wld_az2_rack_vlan">'Value Reference Tables - MR'!$AH$8</definedName>
    <definedName name="prefix_wld_az2_vlan">'Value Reference Tables'!$AA$34</definedName>
    <definedName name="prefix_wld_k8s_cidr">'Value Reference Tables'!$AA$39</definedName>
    <definedName name="prefix_wld_tor_asn">'Value Reference Tables'!$AA$38</definedName>
    <definedName name="prefix_wld_witness_cidr">'Value Reference Tables'!$AA$37</definedName>
    <definedName name="prefix_wld_witness_vlan">'Value Reference Tables'!$AA$36</definedName>
    <definedName name="prefix_xreg_cidr">'Value Reference Tables'!$AA$27</definedName>
    <definedName name="prefix_xreg_vlan">'Value Reference Tables'!$AA$44</definedName>
    <definedName name="protected_mgmt_result">'Value Reference Tables'!$AA$51</definedName>
    <definedName name="protected_wld_result">'Value Reference Tables'!$AA$53</definedName>
    <definedName name="recovery_mgmt_result">'Value Reference Tables'!$AA$52</definedName>
    <definedName name="region_ad_child_fqdn">'Value Reference Tables'!$L$73</definedName>
    <definedName name="region_ad_child_netbios">'Value Reference Tables'!$L$78</definedName>
    <definedName name="region_ad_parent_fqdn">'Value Reference Tables'!$L$72</definedName>
    <definedName name="region_ad_parent_netbios">'Value Reference Tables'!$L$77</definedName>
    <definedName name="region_dns1_ip">'Value Reference Tables'!$L$51</definedName>
    <definedName name="region_dns2_ip">'Value Reference Tables'!$L$52</definedName>
    <definedName name="region_ntp_servers_array">'Value Reference Tables'!$L$44:$L$45</definedName>
    <definedName name="region_ntp1_server">'Value Reference Tables'!$L$44</definedName>
    <definedName name="region_ntp2_server">'Value Reference Tables'!$L$45</definedName>
    <definedName name="region_vrli_nodea_fqdn">'Value Reference Tables'!$R$69</definedName>
    <definedName name="region_vrli_nodea_hostname">'Value Reference Tables'!$R$62</definedName>
    <definedName name="region_vrli_nodea_ip">'Value Reference Tables'!$R$55</definedName>
    <definedName name="region_vrli_nodeb_fqdn">'Value Reference Tables'!$R$70</definedName>
    <definedName name="region_vrli_nodeb_hostname">'Value Reference Tables'!$R$63</definedName>
    <definedName name="region_vrli_nodeb_ip">'Value Reference Tables'!$R$56</definedName>
    <definedName name="region_vrli_nodec_fqdn">'Value Reference Tables'!$R$71</definedName>
    <definedName name="region_vrli_nodec_hostname">'Value Reference Tables'!$R$64</definedName>
    <definedName name="region_vrli_nodec_ip">'Value Reference Tables'!$R$57</definedName>
    <definedName name="region_vrli_virtual_fqdn">'Value Reference Tables'!$R$68</definedName>
    <definedName name="region_vrli_virtual_hostname">'Value Reference Tables'!$R$61</definedName>
    <definedName name="region_vrli_virtual_ip">'Value Reference Tables'!$R$54</definedName>
    <definedName name="region_vrni_nodea_hostname">'Value Reference Tables'!$R$138</definedName>
    <definedName name="region_vrni_nodea_ip">'Value Reference Tables'!$R$133</definedName>
    <definedName name="rwr_child_dns_zone">'Value Reference Tables'!$U$195</definedName>
    <definedName name="rwr_chosen">#REF!</definedName>
    <definedName name="rwr_datacenter">'Value Reference Tables'!$U$199</definedName>
    <definedName name="rwr_result">#REF!</definedName>
    <definedName name="rwr_sso_domain_name">'Value Reference Tables'!$U$193</definedName>
    <definedName name="rwr_vlr_replication_password">'Value Reference Tables'!$U$196</definedName>
    <definedName name="rwr_vrms_pg">'Value Reference Tables'!$U$197</definedName>
    <definedName name="sample_administrator_vsphere_local_password">#REF!</definedName>
    <definedName name="sample_air_GPU_network_operator_namespace">'Private AI Ready Infrastructure'!$C$82</definedName>
    <definedName name="sample_air_GPU_operator_namespace">'Private AI Ready Infrastructure'!$C$77</definedName>
    <definedName name="sample_air_GPU_VM_class">'Private AI Ready Infrastructure'!$C$59</definedName>
    <definedName name="sample_air_license">'Private AI Ready Infrastructure'!$C$9</definedName>
    <definedName name="sample_avilb_root_password">#REF!</definedName>
    <definedName name="sample_ca_administrator_password">#REF!</definedName>
    <definedName name="sample_ca_administrator_username">#REF!</definedName>
    <definedName name="sample_ca_algorithm">#REF!</definedName>
    <definedName name="sample_ca_country">#REF!</definedName>
    <definedName name="sample_ca_email_address">#REF!</definedName>
    <definedName name="sample_ca_key_size">#REF!</definedName>
    <definedName name="sample_ca_locality">#REF!</definedName>
    <definedName name="sample_ca_organization">#REF!</definedName>
    <definedName name="sample_ca_organization_unit">#REF!</definedName>
    <definedName name="sample_ca_state">#REF!</definedName>
    <definedName name="sample_ca_template_name">#REF!</definedName>
    <definedName name="sample_cbr_aria_logs_key">'Cloud-Based Ransomware Recovery'!$C$39</definedName>
    <definedName name="sample_cbr_aria_logs_url">'Cloud-Based Ransomware Recovery'!$C$38</definedName>
    <definedName name="sample_cbr_firewall_group">'Cloud-Based Ransomware Recovery'!$C$26</definedName>
    <definedName name="sample_cbr_firewall_ip_addresses">'Cloud-Based Ransomware Recovery'!$C$27</definedName>
    <definedName name="sample_cbr_firewall_rule_vcenter">'Cloud-Based Ransomware Recovery'!$C$25</definedName>
    <definedName name="sample_cbr_recovery_host_count">'Cloud-Based Ransomware Recovery'!$C$21</definedName>
    <definedName name="sample_cbr_recovery_host_type">'Cloud-Based Ransomware Recovery'!$C$20</definedName>
    <definedName name="sample_cbr_recovery_management_subnet">'Cloud-Based Ransomware Recovery'!$C$24</definedName>
    <definedName name="sample_cbr_recovery_region">'Cloud-Based Ransomware Recovery'!$C$19</definedName>
    <definedName name="sample_cbr_recovery_sddc_name">'Cloud-Based Ransomware Recovery'!$C$18</definedName>
    <definedName name="sample_cbr_recovery_subnet">'Cloud-Based Ransomware Recovery'!$C$23</definedName>
    <definedName name="sample_cbr_recovery_vpc">'Cloud-Based Ransomware Recovery'!$C$22</definedName>
    <definedName name="sample_cbr_vcdr_anti_affinity">'Cloud-Based Ransomware Recovery'!$C$35</definedName>
    <definedName name="sample_cbr_vcdr_cdp1_hostname">'Cloud-Based Ransomware Recovery'!$D$9</definedName>
    <definedName name="sample_cbr_vcdr_cdp1_ip">'Cloud-Based Ransomware Recovery'!$F$9</definedName>
    <definedName name="sample_cbr_vcdr_cdp2_hostname">'Cloud-Based Ransomware Recovery'!$D$10</definedName>
    <definedName name="sample_cbr_vcdr_cdp2_ip">'Cloud-Based Ransomware Recovery'!$F$10</definedName>
    <definedName name="sample_cbr_vcdr_cloud_file_system">'Cloud-Based Ransomware Recovery'!$C$28</definedName>
    <definedName name="sample_cbr_vcdr_email_recipient">'Cloud-Based Ransomware Recovery'!$C$36</definedName>
    <definedName name="sample_cbr_vcdr_email_sender">'Cloud-Based Ransomware Recovery'!$C$37</definedName>
    <definedName name="sample_cbr_vcdr_label">'Cloud-Based Ransomware Recovery'!$C$34</definedName>
    <definedName name="sample_cbr_vcdr_orchestrator_fqdn">'Cloud-Based Ransomware Recovery'!$C$32</definedName>
    <definedName name="sample_cbr_vcdr_ova">'Cloud-Based Ransomware Recovery'!$C$31</definedName>
    <definedName name="sample_cbr_vcdr_passcode">'Cloud-Based Ransomware Recovery'!$C$33</definedName>
    <definedName name="sample_cbr_vcdr_site_name">'Cloud-Based Ransomware Recovery'!$C$29</definedName>
    <definedName name="sample_cbr_vcdr_timezone">'Cloud-Based Ransomware Recovery'!$C$30</definedName>
    <definedName name="sample_cbr_vcdr_vsphere_role">'Cloud-Based Ransomware Recovery'!$C$14</definedName>
    <definedName name="sample_cbr_vm_folder">'Cloud-Based Ransomware Recovery'!$C$17</definedName>
    <definedName name="sample_cbw_hcx_cdp_fqdn">'Cross Cloud Mobility'!$C$112</definedName>
    <definedName name="sample_ccm_aws_admin_password">'Cross Cloud Mobility'!$C$37</definedName>
    <definedName name="sample_ccm_aws_admin_ssouser">'Cross Cloud Mobility'!$C$36</definedName>
    <definedName name="sample_ccm_aws_host_count">'Cross Cloud Mobility'!$C$23</definedName>
    <definedName name="sample_ccm_aws_host_type">'Cross Cloud Mobility'!$C$22</definedName>
    <definedName name="sample_ccm_aws_management_subnet">'Cross Cloud Mobility'!$C$26</definedName>
    <definedName name="sample_ccm_aws_region">'Cross Cloud Mobility'!$C$21</definedName>
    <definedName name="sample_ccm_aws_sddc_name">'Cross Cloud Mobility'!$C$20</definedName>
    <definedName name="sample_ccm_aws_subnet">'Cross Cloud Mobility'!$C$25</definedName>
    <definedName name="sample_ccm_aws_vpc">'Cross Cloud Mobility'!$C$24</definedName>
    <definedName name="sample_ccm_firewall_group">'Cross Cloud Mobility'!$C$29</definedName>
    <definedName name="sample_ccm_firewall_ip_addresses">'Cross Cloud Mobility'!$C$30</definedName>
    <definedName name="sample_ccm_firewall_rule_hcx">'Cross Cloud Mobility'!$C$28</definedName>
    <definedName name="sample_ccm_firewall_rule_vcenter">'Cross Cloud Mobility'!$C$27</definedName>
    <definedName name="sample_ccm_hcx_admin_password">'Cross Cloud Mobility'!$C$33</definedName>
    <definedName name="sample_ccm_hcx_cdp_hostname">'Cross Cloud Mobility'!$D$9</definedName>
    <definedName name="sample_ccm_hcx_cdp_ip">'Cross Cloud Mobility'!$F$9</definedName>
    <definedName name="sample_ccm_hcx_compute_profile">'Cross Cloud Mobility'!$C$38</definedName>
    <definedName name="sample_ccm_hcx_dc_location">'Cross Cloud Mobility'!$C$32</definedName>
    <definedName name="sample_ccm_hcx_license">'Cross Cloud Mobility'!$C$31</definedName>
    <definedName name="sample_ccm_hcx_mgmt_network_ip_range">'Cross Cloud Mobility'!$D$11</definedName>
    <definedName name="sample_ccm_hcx_remote_url">'Cross Cloud Mobility'!$C$35</definedName>
    <definedName name="sample_ccm_hcx_resource_pool">'Cross Cloud Mobility'!$C$19</definedName>
    <definedName name="sample_ccm_hcx_root_password">'Cross Cloud Mobility'!$C$34</definedName>
    <definedName name="sample_ccm_hcx_service_mesh">'Cross Cloud Mobility'!$C$39</definedName>
    <definedName name="sample_ccm_hcx_vm_folder">'Cross Cloud Mobility'!$C$18</definedName>
    <definedName name="sample_ccm_hcx_vmotion_network_ip_range">'Cross Cloud Mobility'!$D$12</definedName>
    <definedName name="sample_ccm_hcx_vsphere_role">'Cross Cloud Mobility'!$C$16</definedName>
    <definedName name="sample_ccm_vm_folder">'Cross Cloud Mobility'!$C$17</definedName>
    <definedName name="sample_certificate_authority_fqdn">#REF!</definedName>
    <definedName name="sample_certificate_authority_name">#REF!</definedName>
    <definedName name="sample_child_ad_groups_ou">'Active Directory Inputs'!$D$11</definedName>
    <definedName name="sample_child_ad_users_ou">'Active Directory Inputs'!$F$11</definedName>
    <definedName name="sample_child_dns_zone">Arkham!$B$11</definedName>
    <definedName name="sample_child_svc_nsx_ad_password">'Active Directory Inputs'!$F$19</definedName>
    <definedName name="sample_child_svc_nsx_ad_user">'Active Directory Inputs'!$D$19</definedName>
    <definedName name="sample_child_svc_vsphere_ad_password">'Active Directory Inputs'!$F$18</definedName>
    <definedName name="sample_child_svc_vsphere_ad_user">'Active Directory Inputs'!$D$18</definedName>
    <definedName name="sample_cluster_az1_host_overlay_cidr">#REF!</definedName>
    <definedName name="sample_cluster_az1_host_overlay_gateway_ip">#REF!</definedName>
    <definedName name="sample_cluster_az1_host_overlay_network_pool_description">#REF!</definedName>
    <definedName name="sample_cluster_az1_host_overlay_network_pool_name">#REF!</definedName>
    <definedName name="sample_cluster_az1_host_overlay_network_profile_name">#REF!</definedName>
    <definedName name="sample_cluster_az1_host_overlay_pool_end_ip">#REF!</definedName>
    <definedName name="sample_cluster_az1_host_overlay_pool_start_ip">#REF!</definedName>
    <definedName name="sample_cluster_az1_host_overlay_uplink_profile_name">#REF!</definedName>
    <definedName name="sample_cluster_az1_host_overlay_vlan">#REF!</definedName>
    <definedName name="sample_cluster_az1_host1_fqdn">#REF!</definedName>
    <definedName name="sample_cluster_az1_host1_mgmt_ip">#REF!</definedName>
    <definedName name="sample_cluster_az1_host10_fqdn">#REF!</definedName>
    <definedName name="sample_cluster_az1_host10_mgmt_ip">#REF!</definedName>
    <definedName name="sample_cluster_az1_host11_fqdn">#REF!</definedName>
    <definedName name="sample_cluster_az1_host11_mgmt_ip">#REF!</definedName>
    <definedName name="sample_cluster_az1_host12_fqdn">#REF!</definedName>
    <definedName name="sample_cluster_az1_host12_mgmt_ip">#REF!</definedName>
    <definedName name="sample_cluster_az1_host13_fqdn">#REF!</definedName>
    <definedName name="sample_cluster_az1_host13_mgmt_ip">#REF!</definedName>
    <definedName name="sample_cluster_az1_host14_fqdn">#REF!</definedName>
    <definedName name="sample_cluster_az1_host14_mgmt_ip">#REF!</definedName>
    <definedName name="sample_cluster_az1_host15_fqdn">#REF!</definedName>
    <definedName name="sample_cluster_az1_host15_mgmt_ip">#REF!</definedName>
    <definedName name="sample_cluster_az1_host16_fqdn">#REF!</definedName>
    <definedName name="sample_cluster_az1_host16_mgmt_ip">#REF!</definedName>
    <definedName name="sample_cluster_az1_host2_fqdn">#REF!</definedName>
    <definedName name="sample_cluster_az1_host2_mgmt_ip">#REF!</definedName>
    <definedName name="sample_cluster_az1_host3_fqdn">#REF!</definedName>
    <definedName name="sample_cluster_az1_host3_mgmt_ip">#REF!</definedName>
    <definedName name="sample_cluster_az1_host4_fqdn">#REF!</definedName>
    <definedName name="sample_cluster_az1_host4_mgmt_ip">#REF!</definedName>
    <definedName name="sample_cluster_az1_host5_fqdn">#REF!</definedName>
    <definedName name="sample_cluster_az1_host5_mgmt_ip">#REF!</definedName>
    <definedName name="sample_cluster_az1_host6_fqdn">#REF!</definedName>
    <definedName name="sample_cluster_az1_host6_mgmt_ip">#REF!</definedName>
    <definedName name="sample_cluster_az1_host7_fqdn">#REF!</definedName>
    <definedName name="sample_cluster_az1_host7_mgmt_ip">#REF!</definedName>
    <definedName name="sample_cluster_az1_host8_fqdn">#REF!</definedName>
    <definedName name="sample_cluster_az1_host8_mgmt_ip">#REF!</definedName>
    <definedName name="sample_cluster_az1_host9_fqdn">#REF!</definedName>
    <definedName name="sample_cluster_az1_host9_mgmt_ip">#REF!</definedName>
    <definedName name="sample_cluster_az1_mgmt_cidr">#REF!</definedName>
    <definedName name="sample_cluster_az1_mgmt_gateway_ip">#REF!</definedName>
    <definedName name="sample_cluster_az1_mgmt_mtu">#REF!</definedName>
    <definedName name="sample_cluster_az1_mgmt_pg">#REF!</definedName>
    <definedName name="sample_cluster_az1_mgmt_vlan">#REF!</definedName>
    <definedName name="sample_cluster_az1_mgmt_vm_pg">#REF!</definedName>
    <definedName name="sample_cluster_az1_nsx_uplink_count">#REF!</definedName>
    <definedName name="sample_cluster_az1_nsx_uplink1">#REF!</definedName>
    <definedName name="sample_cluster_az1_nsx_uplink1_active">#REF!</definedName>
    <definedName name="sample_cluster_az1_nsx_uplink2">#REF!</definedName>
    <definedName name="sample_cluster_az1_nsx_uplink2_active">#REF!</definedName>
    <definedName name="sample_cluster_az1_pool_name">#REF!</definedName>
    <definedName name="sample_cluster_az1_principal_storage_gateway_cidr">#REF!</definedName>
    <definedName name="sample_cluster_az1_principal_storage_mtu">#REF!</definedName>
    <definedName name="sample_cluster_az1_principal_storage_pg">#REF!</definedName>
    <definedName name="sample_cluster_az1_principal_storage_pool_end_ip">#REF!</definedName>
    <definedName name="sample_cluster_az1_principal_storage_pool_start_ip">#REF!</definedName>
    <definedName name="sample_cluster_az1_principal_storage_vlan">#REF!</definedName>
    <definedName name="sample_cluster_az1_secondary_storage_gateway_cidr">#REF!</definedName>
    <definedName name="sample_cluster_az1_secondary_storage_mtu">#REF!</definedName>
    <definedName name="sample_cluster_az1_secondary_storage_pool_end_ip">#REF!</definedName>
    <definedName name="sample_cluster_az1_secondary_storage_pool_start_ip">#REF!</definedName>
    <definedName name="sample_cluster_az1_secondary_storage_vlan">#REF!</definedName>
    <definedName name="sample_cluster_az1_storage_cluster_gateway_cidr">#REF!</definedName>
    <definedName name="sample_cluster_az1_storage_cluster_mtu">#REF!</definedName>
    <definedName name="sample_cluster_az1_storage_cluster_pool_end_ip">#REF!</definedName>
    <definedName name="sample_cluster_az1_storage_cluster_pool_start_ip">#REF!</definedName>
    <definedName name="sample_cluster_az1_storage_cluster_vlan">#REF!</definedName>
    <definedName name="sample_cluster_az1_vmotion_gateway_cidr">#REF!</definedName>
    <definedName name="sample_cluster_az1_vmotion_mtu">#REF!</definedName>
    <definedName name="sample_cluster_az1_vmotion_pg">#REF!</definedName>
    <definedName name="sample_cluster_az1_vmotion_pool_end_ip">#REF!</definedName>
    <definedName name="sample_cluster_az1_vmotion_pool_start_ip">#REF!</definedName>
    <definedName name="sample_cluster_az1_vmotion_vlan">#REF!</definedName>
    <definedName name="sample_cluster_az1_vsan_storage_client_pg">#REF!</definedName>
    <definedName name="sample_cluster_az2_host_overlay_cidr">#REF!</definedName>
    <definedName name="sample_cluster_az2_host_overlay_gateway_ip">#REF!</definedName>
    <definedName name="sample_cluster_az2_host_overlay_gateway_mtu">#REF!</definedName>
    <definedName name="sample_cluster_az2_host_overlay_network_pool_name">#REF!</definedName>
    <definedName name="sample_cluster_az2_host_overlay_network_profile_name">#REF!</definedName>
    <definedName name="sample_cluster_az2_host_overlay_pool_end_ip">#REF!</definedName>
    <definedName name="sample_cluster_az2_host_overlay_pool_start_ip">#REF!</definedName>
    <definedName name="sample_cluster_az2_host_overlay_uplink_profile_name">#REF!</definedName>
    <definedName name="sample_cluster_az2_host_overlay_vlan">#REF!</definedName>
    <definedName name="sample_cluster_az2_host1_fqdn">#REF!</definedName>
    <definedName name="sample_cluster_az2_host1_mgmt_ip">#REF!</definedName>
    <definedName name="sample_cluster_az2_host10_fqdn">#REF!</definedName>
    <definedName name="sample_cluster_az2_host10_mgmt_ip">#REF!</definedName>
    <definedName name="sample_cluster_az2_host11_fqdn">#REF!</definedName>
    <definedName name="sample_cluster_az2_host11_mgmt_ip">#REF!</definedName>
    <definedName name="sample_cluster_az2_host12_fqdn">#REF!</definedName>
    <definedName name="sample_cluster_az2_host12_mgmt_ip">#REF!</definedName>
    <definedName name="sample_cluster_az2_host13_fqdn">#REF!</definedName>
    <definedName name="sample_cluster_az2_host13_mgmt_ip">#REF!</definedName>
    <definedName name="sample_cluster_az2_host14_fqdn">#REF!</definedName>
    <definedName name="sample_cluster_az2_host14_mgmt_ip">#REF!</definedName>
    <definedName name="sample_cluster_az2_host15_fqdn">#REF!</definedName>
    <definedName name="sample_cluster_az2_host15_mgmt_ip">#REF!</definedName>
    <definedName name="sample_cluster_az2_host16_fqdn">#REF!</definedName>
    <definedName name="sample_cluster_az2_host16_mgmt_ip">#REF!</definedName>
    <definedName name="sample_cluster_az2_host2_fqdn">#REF!</definedName>
    <definedName name="sample_cluster_az2_host2_mgmt_ip">#REF!</definedName>
    <definedName name="sample_cluster_az2_host3_fqdn">#REF!</definedName>
    <definedName name="sample_cluster_az2_host3_mgmt_ip">#REF!</definedName>
    <definedName name="sample_cluster_az2_host4_fqdn">#REF!</definedName>
    <definedName name="sample_cluster_az2_host4_mgmt_ip">#REF!</definedName>
    <definedName name="sample_cluster_az2_host5_fqdn">#REF!</definedName>
    <definedName name="sample_cluster_az2_host5_mgmt_ip">#REF!</definedName>
    <definedName name="sample_cluster_az2_host6_fqdn">#REF!</definedName>
    <definedName name="sample_cluster_az2_host6_mgmt_ip">#REF!</definedName>
    <definedName name="sample_cluster_az2_host7_fqdn">#REF!</definedName>
    <definedName name="sample_cluster_az2_host7_mgmt_ip">#REF!</definedName>
    <definedName name="sample_cluster_az2_host8_fqdn">#REF!</definedName>
    <definedName name="sample_cluster_az2_host8_mgmt_ip">#REF!</definedName>
    <definedName name="sample_cluster_az2_host9_fqdn">#REF!</definedName>
    <definedName name="sample_cluster_az2_host9_mgmt_ip">#REF!</definedName>
    <definedName name="sample_cluster_az2_mgmt_cidr">#REF!</definedName>
    <definedName name="sample_cluster_az2_mgmt_gateway_ip">#REF!</definedName>
    <definedName name="sample_cluster_az2_mgmt_mtu">#REF!</definedName>
    <definedName name="sample_cluster_az2_mgmt_vlan">#REF!</definedName>
    <definedName name="sample_cluster_az2_pool_name">#REF!</definedName>
    <definedName name="sample_cluster_az2_principal_storage_gateway_ip">#REF!</definedName>
    <definedName name="sample_cluster_az2_principal_storage_mask">#REF!</definedName>
    <definedName name="sample_cluster_az2_principal_storage_mtu">#REF!</definedName>
    <definedName name="sample_cluster_az2_principal_storage_network">#REF!</definedName>
    <definedName name="sample_cluster_az2_principal_storage_pool_end_ip">#REF!</definedName>
    <definedName name="sample_cluster_az2_principal_storage_pool_start_ip">#REF!</definedName>
    <definedName name="sample_cluster_az2_principal_storage_vlan">#REF!</definedName>
    <definedName name="sample_cluster_az2_secondary_storage_gateway_ip">#REF!</definedName>
    <definedName name="sample_cluster_az2_secondary_storage_mask">#REF!</definedName>
    <definedName name="sample_cluster_az2_secondary_storage_mtu">#REF!</definedName>
    <definedName name="sample_cluster_az2_secondary_storage_network">#REF!</definedName>
    <definedName name="sample_cluster_az2_secondary_storage_pool_end_ip">#REF!</definedName>
    <definedName name="sample_cluster_az2_secondary_storage_pool_start_ip">#REF!</definedName>
    <definedName name="sample_cluster_az2_secondary_storage_vlan">#REF!</definedName>
    <definedName name="sample_cluster_az2_storage_cluster_gateway_ip">#REF!</definedName>
    <definedName name="sample_cluster_az2_storage_cluster_mask">#REF!</definedName>
    <definedName name="sample_cluster_az2_storage_cluster_mtu">#REF!</definedName>
    <definedName name="sample_cluster_az2_storage_cluster_network">#REF!</definedName>
    <definedName name="sample_cluster_az2_storage_cluster_pool_end_ip">#REF!</definedName>
    <definedName name="sample_cluster_az2_storage_cluster_pool_start_ip">#REF!</definedName>
    <definedName name="sample_cluster_az2_storage_cluster_vlan">#REF!</definedName>
    <definedName name="sample_cluster_az2_tor1_peer_asn">#REF!</definedName>
    <definedName name="sample_cluster_az2_tor1_peer_ip">#REF!</definedName>
    <definedName name="sample_cluster_az2_tor2_peer_asn">#REF!</definedName>
    <definedName name="sample_cluster_az2_tor2_peer_ip">#REF!</definedName>
    <definedName name="sample_cluster_az2_vmotion_gateway_ip">#REF!</definedName>
    <definedName name="sample_cluster_az2_vmotion_mask">#REF!</definedName>
    <definedName name="sample_cluster_az2_vmotion_mtu">#REF!</definedName>
    <definedName name="sample_cluster_az2_vmotion_network">#REF!</definedName>
    <definedName name="sample_cluster_az2_vmotion_pool_end_ip">#REF!</definedName>
    <definedName name="sample_cluster_az2_vmotion_pool_start_ip">#REF!</definedName>
    <definedName name="sample_cluster_az2_vmotion_vlan">#REF!</definedName>
    <definedName name="sample_cluster_cluster_sddc_id">#REF!</definedName>
    <definedName name="sample_cluster_datacenter">#REF!</definedName>
    <definedName name="sample_cluster_domain_name">#REF!</definedName>
    <definedName name="sample_cluster_esx_root_password">#REF!</definedName>
    <definedName name="sample_cluster_esx_root_username">#REF!</definedName>
    <definedName name="sample_cluster_host_overlay_transportzone">#REF!</definedName>
    <definedName name="sample_cluster_image_name">#REF!</definedName>
    <definedName name="sample_cluster_name">#REF!</definedName>
    <definedName name="sample_cluster_nfs_datastore_name">#REF!</definedName>
    <definedName name="sample_cluster_nfs_server_address">#REF!</definedName>
    <definedName name="sample_cluster_nfs_share_path">#REF!</definedName>
    <definedName name="sample_cluster_nsx_vlan_transport_zone_name">#REF!</definedName>
    <definedName name="sample_cluster_nsxt_vip_fqdn">#REF!</definedName>
    <definedName name="sample_cluster_storage_cluster_name">#REF!</definedName>
    <definedName name="sample_cluster_vc_fqdn">#REF!</definedName>
    <definedName name="sample_cluster_vds01_lag_name">#REF!</definedName>
    <definedName name="sample_cluster_vds01_mtu">#REF!</definedName>
    <definedName name="sample_cluster_vds01_name">#REF!</definedName>
    <definedName name="sample_cluster_vds01_pnics">#REF!</definedName>
    <definedName name="sample_cluster_vds01_uplink_count">#REF!</definedName>
    <definedName name="sample_cluster_vds02_lag_name">#REF!</definedName>
    <definedName name="sample_cluster_vds02_mtu">#REF!</definedName>
    <definedName name="sample_cluster_vds02_name">#REF!</definedName>
    <definedName name="sample_cluster_vds02_pnics">#REF!</definedName>
    <definedName name="sample_cluster_vds02_uplink_count">#REF!</definedName>
    <definedName name="sample_cluster_vds03_lag_name">#REF!</definedName>
    <definedName name="sample_cluster_vds03_mtu">#REF!</definedName>
    <definedName name="sample_cluster_vds03_name">#REF!</definedName>
    <definedName name="sample_cluster_vds03_pnics">#REF!</definedName>
    <definedName name="sample_cluster_vds03_uplink_count">#REF!</definedName>
    <definedName name="sample_cluster_vmfs_datastore_name">#REF!</definedName>
    <definedName name="sample_cluster_vsan_datastore">#REF!</definedName>
    <definedName name="sample_cluster_witness_cluster">#REF!</definedName>
    <definedName name="sample_cluster_witness_dns1_ip">#REF!</definedName>
    <definedName name="sample_cluster_witness_dns2_ip">#REF!</definedName>
    <definedName name="sample_cluster_witness_fqdn">#REF!</definedName>
    <definedName name="sample_cluster_witness_hostname">#REF!</definedName>
    <definedName name="sample_cluster_witness_ip">#REF!</definedName>
    <definedName name="sample_cluster_witness_mgmt_pg">#REF!</definedName>
    <definedName name="sample_cluster_witness_ntp1_server">#REF!</definedName>
    <definedName name="sample_cluster_witness_ntp2_server">#REF!</definedName>
    <definedName name="sample_cluster_witness_vm_folder">#REF!</definedName>
    <definedName name="sample_cluster_witness_vsan_datastore">#REF!</definedName>
    <definedName name="sample_cluster_witness_zone_vc_fqdn">#REF!</definedName>
    <definedName name="sample_cluster_witnessaz_mask">#REF!</definedName>
    <definedName name="sample_cluster_witnessaz_mgmt_cidr">#REF!</definedName>
    <definedName name="sample_cluster_witnessaz_mgmt_gateway_ip">#REF!</definedName>
    <definedName name="sample_cluster_witnessaz_mgmt_mtu">#REF!</definedName>
    <definedName name="sample_cluster_witnessaz_mgmt_vlan">#REF!</definedName>
    <definedName name="sample_cr_clean_room">#REF!</definedName>
    <definedName name="sample_cr_console_cloud">#REF!</definedName>
    <definedName name="sample_cr_mgmt_protect_vc_domain">#REF!</definedName>
    <definedName name="sample_cr_mgmt_protect_vc_fqdn">#REF!</definedName>
    <definedName name="sample_cr_wld_pnr_fqdn">#REF!</definedName>
    <definedName name="sample_cr_wld_pnr_ip">#REF!</definedName>
    <definedName name="sample_cr_wld_protect_vc_replication_user">#REF!</definedName>
    <definedName name="sample_cr_wld_vrms_pg">#REF!</definedName>
    <definedName name="sample_domain_controller_hostname">Arkham!$B$15</definedName>
    <definedName name="sample_esxi_root_password">#REF!</definedName>
    <definedName name="sample_flt_auto_node_pool_end_ip">#REF!</definedName>
    <definedName name="sample_flt_auto_node_pool_start_ip">#REF!</definedName>
    <definedName name="sample_flt_auto_sr_fqdn">#REF!</definedName>
    <definedName name="sample_flt_custom_network_auto_admin_password">#REF!</definedName>
    <definedName name="sample_flt_custom_network_auto_nodea_ip">#REF!</definedName>
    <definedName name="sample_flt_custom_network_auto_nodeb_ip">#REF!</definedName>
    <definedName name="sample_flt_custom_network_auto_nodec_ip">#REF!</definedName>
    <definedName name="sample_flt_custom_network_auto_noded_ip">#REF!</definedName>
    <definedName name="sample_flt_custom_network_auto_nodee_ip">#REF!</definedName>
    <definedName name="sample_flt_custom_network_auto_prefix">#REF!</definedName>
    <definedName name="sample_flt_custom_network_auto_sr_fqdn">#REF!</definedName>
    <definedName name="sample_flt_custom_network_auto_sr_ip">#REF!</definedName>
    <definedName name="sample_flt_custom_network_auto_vip_fqdn">#REF!</definedName>
    <definedName name="sample_flt_custom_network_auto_vip_ip">#REF!</definedName>
    <definedName name="sample_flt_custom_network_flt_admin_password">#REF!</definedName>
    <definedName name="sample_flt_custom_network_flt_fqdn">#REF!</definedName>
    <definedName name="sample_flt_custom_network_flt_ip">#REF!</definedName>
    <definedName name="sample_flt_custom_network_flt_root_password">#REF!</definedName>
    <definedName name="sample_flt_custom_network_local_reg_gateway_ip">#REF!</definedName>
    <definedName name="sample_flt_custom_network_local_reg_mask">#REF!</definedName>
    <definedName name="sample_flt_custom_network_local_reg_pg">#REF!</definedName>
    <definedName name="sample_flt_custom_network_ops_admin_password">#REF!</definedName>
    <definedName name="sample_flt_custom_network_ops_collector_fqdn">#REF!</definedName>
    <definedName name="sample_flt_custom_network_ops_collector_ip">#REF!</definedName>
    <definedName name="sample_flt_custom_network_ops_collector_root_password">#REF!</definedName>
    <definedName name="sample_flt_custom_network_ops_collector_version">#REF!</definedName>
    <definedName name="sample_flt_custom_network_ops_nodea_fqdn">#REF!</definedName>
    <definedName name="sample_flt_custom_network_ops_nodea_ip">#REF!</definedName>
    <definedName name="sample_flt_custom_network_ops_nodeb_fqdn">#REF!</definedName>
    <definedName name="sample_flt_custom_network_ops_nodeb_ip">#REF!</definedName>
    <definedName name="sample_flt_custom_network_ops_nodec_fqdn">#REF!</definedName>
    <definedName name="sample_flt_custom_network_ops_nodec_ip">#REF!</definedName>
    <definedName name="sample_flt_custom_network_ops_root_password">#REF!</definedName>
    <definedName name="sample_flt_custom_network_ops_vip_fqdn">#REF!</definedName>
    <definedName name="sample_flt_custom_network_ops_vip_ip">#REF!</definedName>
    <definedName name="sample_flt_custom_network_x_reg_gateway_ip">#REF!</definedName>
    <definedName name="sample_flt_custom_network_x_reg_mask">#REF!</definedName>
    <definedName name="sample_flt_custom_network_x_reg_pg">#REF!</definedName>
    <definedName name="sample_flt_def_administrator_vsphere_local_password">#REF!</definedName>
    <definedName name="sample_flt_def_administrator_vsphere_local_username">#REF!</definedName>
    <definedName name="sample_flt_def_auto_node_pool_end_ip">#REF!</definedName>
    <definedName name="sample_flt_def_auto_node_pool_start_ip">#REF!</definedName>
    <definedName name="sample_flt_def_auto_sr_fqdn">#REF!</definedName>
    <definedName name="sample_flt_def_auto_sr_ip">#REF!</definedName>
    <definedName name="sample_flt_def_sddc_mgr_fqdn">#REF!</definedName>
    <definedName name="sample_flt_def_vcf_operations_az1_vcf_mgmt_gateway_cidr">#REF!</definedName>
    <definedName name="sample_flt_def_vcf_operations_az1_vcf_mgmt_pg">#REF!</definedName>
    <definedName name="sample_flt_def_vcf_operations_lc_fqdn">#REF!</definedName>
    <definedName name="sample_flt_def_vcf_operations_lc_ip">#REF!</definedName>
    <definedName name="sample_flt_def_vcf_operations_nodea_fqdn">#REF!</definedName>
    <definedName name="sample_flt_def_vcf_operations_nodea_ip">#REF!</definedName>
    <definedName name="sample_flt_def_vcf_operations_nodeb_fqdn">#REF!</definedName>
    <definedName name="sample_flt_def_vcf_operations_nodeb_ip">#REF!</definedName>
    <definedName name="sample_flt_def_vcf_operations_nodec_fqdn">#REF!</definedName>
    <definedName name="sample_flt_def_vcf_operations_nodec_ip">#REF!</definedName>
    <definedName name="sample_flt_def_vcf_operations_proxy_fqdn">#REF!</definedName>
    <definedName name="sample_flt_def_vcf_operations_proxy_ip">#REF!</definedName>
    <definedName name="sample_flt_def_vcf_operations_virtual_fqdn">#REF!</definedName>
    <definedName name="sample_flt_def_vcf_operations_virtual_ip">#REF!</definedName>
    <definedName name="sample_flt_def_vra_virtual_fqdn">#REF!</definedName>
    <definedName name="sample_flt_def_vra_virtual_ip">#REF!</definedName>
    <definedName name="sample_flt_ic_fqdn">#REF!</definedName>
    <definedName name="sample_flt_lc_fqdn">#REF!</definedName>
    <definedName name="sample_flt_logs_admin_password">#REF!</definedName>
    <definedName name="sample_flt_logs_admin_username">#REF!</definedName>
    <definedName name="sample_flt_logs_vip_fqdn">#REF!</definedName>
    <definedName name="sample_flt_logs_vip_ip">#REF!</definedName>
    <definedName name="sample_flt_net_admin_password">#REF!</definedName>
    <definedName name="sample_flt_net_nodea_fqdn">#REF!</definedName>
    <definedName name="sample_flt_net_nodea_ip">#REF!</definedName>
    <definedName name="sample_flt_net_prxy_fqdn">#REF!</definedName>
    <definedName name="sample_flt_net_prxy_ip">#REF!</definedName>
    <definedName name="sample_flt_sr_fqdn">#REF!</definedName>
    <definedName name="sample_flt_vcfms_node_pool_end_ip">#REF!</definedName>
    <definedName name="sample_flt_vcfms_node_pool_start_ip">#REF!</definedName>
    <definedName name="sample_flt_vidb_base_dn">#REF!</definedName>
    <definedName name="sample_flt_vidb_bind_password">#REF!</definedName>
    <definedName name="sample_flt_vidb_bind_username">#REF!</definedName>
    <definedName name="sample_flt_vidb_directory_name">#REF!</definedName>
    <definedName name="sample_flt_vidb_distinguished_name">#REF!</definedName>
    <definedName name="sample_flt_vidb_employeeID">#REF!</definedName>
    <definedName name="sample_flt_vidb_first_name">#REF!</definedName>
    <definedName name="sample_flt_vidb_group_base_dn">#REF!</definedName>
    <definedName name="sample_flt_vidb_last_name">#REF!</definedName>
    <definedName name="sample_flt_vidb_mail">#REF!</definedName>
    <definedName name="sample_flt_vidb_primary_domain_controller">#REF!</definedName>
    <definedName name="sample_flt_vidb_primary_domain_controller_port">#REF!</definedName>
    <definedName name="sample_flt_vidb_secondary_domain_controller">#REF!</definedName>
    <definedName name="sample_flt_vidb_secondary_domain_controller_port">#REF!</definedName>
    <definedName name="sample_flt_vidb_user_base_dn">#REF!</definedName>
    <definedName name="sample_flt_vidb_user_name">#REF!</definedName>
    <definedName name="sample_flt_vidb_user_principal_name">#REF!</definedName>
    <definedName name="sample_flt_vidb_vip_fqdn">#REF!</definedName>
    <definedName name="sample_flt_vidb_vip_ip">#REF!</definedName>
    <definedName name="sample_gg_kub_admins_group">'Active Directory Inputs'!$D$75</definedName>
    <definedName name="sample_gg_kub_readonly_group">'Active Directory Inputs'!$D$76</definedName>
    <definedName name="sample_gg_nsx_auditors_group">'Active Directory Inputs'!$D$72</definedName>
    <definedName name="sample_gg_nsx_enterprise_admins_group">'Active Directory Inputs'!$D$70</definedName>
    <definedName name="sample_gg_nsx_network_admins_group">'Active Directory Inputs'!$D$71</definedName>
    <definedName name="sample_gg_sso_admins_group">'Active Directory Inputs'!$D$69</definedName>
    <definedName name="sample_gg_vc_admins_group">'Active Directory Inputs'!$D$67</definedName>
    <definedName name="sample_gg_vc_read_only_group">'Active Directory Inputs'!$D$68</definedName>
    <definedName name="sample_gg_vcf_admins_group">'Active Directory Inputs'!$D$64</definedName>
    <definedName name="sample_gg_vcf_operators_group">'Active Directory Inputs'!$D$65</definedName>
    <definedName name="sample_gg_vcf_viewers_group">'Active Directory Inputs'!$D$66</definedName>
    <definedName name="sample_gg_vra_cloud_assembly_admins_group">'Active Directory Inputs'!$D$95</definedName>
    <definedName name="sample_gg_vra_cloud_assembly_users_group">'Active Directory Inputs'!$D$96</definedName>
    <definedName name="sample_gg_vra_cloud_assembly_viewers_group">'Active Directory Inputs'!$D$97</definedName>
    <definedName name="sample_gg_vra_orchestrator_admins_group">'Active Directory Inputs'!$D$101</definedName>
    <definedName name="sample_gg_vra_orchestrator_designers_group">'Active Directory Inputs'!$D$102</definedName>
    <definedName name="sample_gg_vra_orchestrator_viewers_group">'Active Directory Inputs'!$D$103</definedName>
    <definedName name="sample_gg_vra_org_owners_group">'Active Directory Inputs'!$D$94</definedName>
    <definedName name="sample_gg_vra_project_admins_sample_group">'Active Directory Inputs'!$D$104</definedName>
    <definedName name="sample_gg_vra_project_users_sample_group">'Active Directory Inputs'!$D$105</definedName>
    <definedName name="sample_gg_vra_service_broker_admins_group">'Active Directory Inputs'!$D$98</definedName>
    <definedName name="sample_gg_vra_service_broker_users_group">'Active Directory Inputs'!$D$99</definedName>
    <definedName name="sample_gg_vra_service_broker_viewers_group">'Active Directory Inputs'!$D$100</definedName>
    <definedName name="sample_gg_vrli_admins_group">'Active Directory Inputs'!$D$79</definedName>
    <definedName name="sample_gg_vrli_users_group">'Active Directory Inputs'!$D$80</definedName>
    <definedName name="sample_gg_vrli_viewers_group">'Active Directory Inputs'!$D$81</definedName>
    <definedName name="sample_gg_vrni_admin_group">'Active Directory Inputs'!$D$89</definedName>
    <definedName name="sample_gg_vrni_auditor_group">'Active Directory Inputs'!$D$91</definedName>
    <definedName name="sample_gg_vrni_member_group">'Active Directory Inputs'!$D$90</definedName>
    <definedName name="sample_gg_vrops_admins_group">'Active Directory Inputs'!$D$84</definedName>
    <definedName name="sample_gg_vrops_content_admins_group">'Active Directory Inputs'!$D$85</definedName>
    <definedName name="sample_gg_vrops_read_only_group">'Active Directory Inputs'!$D$86</definedName>
    <definedName name="sample_gg_vrslcm_admins_group">'Active Directory Inputs'!$D$54</definedName>
    <definedName name="sample_gg_vrslcm_content_developers_group">'Active Directory Inputs'!$D$56</definedName>
    <definedName name="sample_gg_vrslcm_release_managers_group">'Active Directory Inputs'!$D$55</definedName>
    <definedName name="sample_k8s_cluster_name">'Private AI Ready Infrastructure'!$C$46</definedName>
    <definedName name="sample_k8s_ip_prefixlist">'Private AI Ready Infrastructure'!$C$20</definedName>
    <definedName name="sample_k8s_ip_routemap">'Private AI Ready Infrastructure'!$C$21</definedName>
    <definedName name="sample_k8s_kubectl_path">'Private AI Ready Infrastructure'!$C$26</definedName>
    <definedName name="sample_k8s_mgmt_seg">'Private AI Ready Infrastructure'!$C$19</definedName>
    <definedName name="sample_k8s_namepsace">'Private AI Ready Infrastructure'!$C$15</definedName>
    <definedName name="sample_k8s_tanzu_k8s_cluster_pod_pool_cidr">'Private AI Ready Infrastructure'!$C$72</definedName>
    <definedName name="sample_k8s_tanzu_k8s_cluster_service_pool_cidr">'Private AI Ready Infrastructure'!$C$71</definedName>
    <definedName name="sample_k8s_vcenter_category">'Private AI Ready Infrastructure'!$C$22</definedName>
    <definedName name="sample_k8s_vcenter_content_library">'Private AI Ready Infrastructure'!$C$95</definedName>
    <definedName name="sample_k8s_vcenter_storage_policy">'Private AI Ready Infrastructure'!$C$47</definedName>
    <definedName name="sample_k8s_vcenter_tag">'Private AI Ready Infrastructure'!$C$23</definedName>
    <definedName name="sample_k8s_vm_class">'Private AI Ready Infrastructure'!$C$27</definedName>
    <definedName name="sample_mgmt_auth_encrypted_cert">#REF!</definedName>
    <definedName name="sample_mgmt_avilb_cluster_name">#REF!</definedName>
    <definedName name="sample_mgmt_avilb_cluster_version">#REF!</definedName>
    <definedName name="sample_mgmt_avilb_fqdn">#REF!</definedName>
    <definedName name="sample_mgmt_avilb_ip">#REF!</definedName>
    <definedName name="sample_mgmt_avilb_mgra_ip">#REF!</definedName>
    <definedName name="sample_mgmt_avilb_mgrb_ip">#REF!</definedName>
    <definedName name="sample_mgmt_avilb_mgrc_ip">#REF!</definedName>
    <definedName name="sample_mgmt_az1_dtgw_gateway_cidr">#REF!</definedName>
    <definedName name="sample_mgmt_az1_dtgw_vlan">#REF!</definedName>
    <definedName name="sample_mgmt_az1_edge_overlay_cidr">#REF!</definedName>
    <definedName name="sample_mgmt_az1_edge_overlay_gateway_ip">#REF!</definedName>
    <definedName name="sample_mgmt_az1_edge_overlay_mask">#REF!</definedName>
    <definedName name="sample_mgmt_az1_edge_overlay_mtu">#REF!</definedName>
    <definedName name="sample_mgmt_az1_edge_overlay_network_pool_name">#REF!</definedName>
    <definedName name="sample_mgmt_az1_edge_overlay_pool_end_ip">#REF!</definedName>
    <definedName name="sample_mgmt_az1_edge_overlay_pool_start_ip">#REF!</definedName>
    <definedName name="sample_mgmt_az1_edge_overlay_vlan">#REF!</definedName>
    <definedName name="sample_mgmt_az1_en1_edge_overlay_interface_ip_1_ip">#REF!</definedName>
    <definedName name="sample_mgmt_az1_en1_edge_overlay_interface_ip_2_ip">#REF!</definedName>
    <definedName name="sample_mgmt_az1_en1_eth0_uplink0">#REF!</definedName>
    <definedName name="sample_mgmt_az1_en1_eth0_uplink1">#REF!</definedName>
    <definedName name="sample_mgmt_az1_en1_eth1_uplink0">#REF!</definedName>
    <definedName name="sample_mgmt_az1_en1_eth1_uplink1">#REF!</definedName>
    <definedName name="sample_mgmt_az1_en1_fqdn">#REF!</definedName>
    <definedName name="sample_mgmt_az1_en1_hostname">#REF!</definedName>
    <definedName name="sample_mgmt_az1_en1_mgmt_cidr">#REF!</definedName>
    <definedName name="sample_mgmt_az1_en1_uplink01_interface_cidr">#REF!</definedName>
    <definedName name="sample_mgmt_az1_en1_uplink02_interface_cidr">#REF!</definedName>
    <definedName name="sample_mgmt_az1_en2_edge_overlay_interface_ip_1_ip">#REF!</definedName>
    <definedName name="sample_mgmt_az1_en2_edge_overlay_interface_ip_2_ip">#REF!</definedName>
    <definedName name="sample_mgmt_az1_en2_eth0_uplink0">#REF!</definedName>
    <definedName name="sample_mgmt_az1_en2_eth0_uplink1">#REF!</definedName>
    <definedName name="sample_mgmt_az1_en2_eth1_uplink0">#REF!</definedName>
    <definedName name="sample_mgmt_az1_en2_eth1_uplink1">#REF!</definedName>
    <definedName name="sample_mgmt_az1_en2_fqdn">#REF!</definedName>
    <definedName name="sample_mgmt_az1_en2_hostname">#REF!</definedName>
    <definedName name="sample_mgmt_az1_en2_mgmt_cidr">#REF!</definedName>
    <definedName name="sample_mgmt_az1_en2_uplink01_interface_cidr">#REF!</definedName>
    <definedName name="sample_mgmt_az1_en2_uplink02_interface_cidr">#REF!</definedName>
    <definedName name="sample_mgmt_az1_host_overlay_gateway_cidr">#REF!</definedName>
    <definedName name="sample_mgmt_az1_host_overlay_mtu">#REF!</definedName>
    <definedName name="sample_mgmt_az1_host_overlay_network_pool_description">Arkham!$X$7</definedName>
    <definedName name="sample_mgmt_az1_host_overlay_network_pool_name">Arkham!$X$6</definedName>
    <definedName name="sample_mgmt_az1_host_overlay_pool_end_ip">#REF!</definedName>
    <definedName name="sample_mgmt_az1_host_overlay_pool_start_ip">#REF!</definedName>
    <definedName name="sample_mgmt_az1_host_overlay_vlan">#REF!</definedName>
    <definedName name="sample_mgmt_az1_host1_fqdn">#REF!</definedName>
    <definedName name="sample_mgmt_az1_host1_mgmt_ip">#REF!</definedName>
    <definedName name="sample_mgmt_az1_host1_vrms_ip">'Site Protection &amp; DR'!$C$176</definedName>
    <definedName name="sample_mgmt_az1_host10_fqdn">#REF!</definedName>
    <definedName name="sample_mgmt_az1_host10_mgmt_ip">#REF!</definedName>
    <definedName name="sample_mgmt_az1_host10_vrms_ip">'Site Protection &amp; DR'!$C$185</definedName>
    <definedName name="sample_mgmt_az1_host11_fqdn">#REF!</definedName>
    <definedName name="sample_mgmt_az1_host11_mgmt_ip">#REF!</definedName>
    <definedName name="sample_mgmt_az1_host11_vrms_ip">'Site Protection &amp; DR'!$C$186</definedName>
    <definedName name="sample_mgmt_az1_host12_fqdn">#REF!</definedName>
    <definedName name="sample_mgmt_az1_host12_mgmt_ip">#REF!</definedName>
    <definedName name="sample_mgmt_az1_host12_vrms_ip">'Site Protection &amp; DR'!$C$187</definedName>
    <definedName name="sample_mgmt_az1_host13_fqdn">#REF!</definedName>
    <definedName name="sample_mgmt_az1_host13_mgmt_ip">#REF!</definedName>
    <definedName name="sample_mgmt_az1_host13_vrms_ip">'Site Protection &amp; DR'!$C$188</definedName>
    <definedName name="sample_mgmt_az1_host14_fqdn">#REF!</definedName>
    <definedName name="sample_mgmt_az1_host14_mgmt_ip">#REF!</definedName>
    <definedName name="sample_mgmt_az1_host14_vrms_ip">'Site Protection &amp; DR'!$C$189</definedName>
    <definedName name="sample_mgmt_az1_host15_fqdn">#REF!</definedName>
    <definedName name="sample_mgmt_az1_host15_mgmt_ip">#REF!</definedName>
    <definedName name="sample_mgmt_az1_host15_vrms_ip">'Site Protection &amp; DR'!$C$190</definedName>
    <definedName name="sample_mgmt_az1_host16_fqdn">#REF!</definedName>
    <definedName name="sample_mgmt_az1_host16_mgmt_ip">#REF!</definedName>
    <definedName name="sample_mgmt_az1_host16_vrms_ip">'Site Protection &amp; DR'!$C$191</definedName>
    <definedName name="sample_mgmt_az1_host2_fqdn">#REF!</definedName>
    <definedName name="sample_mgmt_az1_host2_mgmt_ip">#REF!</definedName>
    <definedName name="sample_mgmt_az1_host2_vrms_ip">'Site Protection &amp; DR'!$C$177</definedName>
    <definedName name="sample_mgmt_az1_host3_fqdn">#REF!</definedName>
    <definedName name="sample_mgmt_az1_host3_mgmt_ip">#REF!</definedName>
    <definedName name="sample_mgmt_az1_host3_vrms_ip">'Site Protection &amp; DR'!$C$178</definedName>
    <definedName name="sample_mgmt_az1_host4_fqdn">#REF!</definedName>
    <definedName name="sample_mgmt_az1_host4_mgmt_ip">#REF!</definedName>
    <definedName name="sample_mgmt_az1_host4_vrms_ip">'Site Protection &amp; DR'!$C$179</definedName>
    <definedName name="sample_mgmt_az1_host5_fqdn">#REF!</definedName>
    <definedName name="sample_mgmt_az1_host5_mgmt_ip">#REF!</definedName>
    <definedName name="sample_mgmt_az1_host5_vrms_ip">'Site Protection &amp; DR'!$C$180</definedName>
    <definedName name="sample_mgmt_az1_host6_fqdn">#REF!</definedName>
    <definedName name="sample_mgmt_az1_host6_mgmt_ip">#REF!</definedName>
    <definedName name="sample_mgmt_az1_host6_vrms_ip">'Site Protection &amp; DR'!$C$181</definedName>
    <definedName name="sample_mgmt_az1_host7_fqdn">#REF!</definedName>
    <definedName name="sample_mgmt_az1_host7_mgmt_ip">#REF!</definedName>
    <definedName name="sample_mgmt_az1_host7_vrms_ip">'Site Protection &amp; DR'!$C$182</definedName>
    <definedName name="sample_mgmt_az1_host8_fqdn">#REF!</definedName>
    <definedName name="sample_mgmt_az1_host8_mgmt_ip">#REF!</definedName>
    <definedName name="sample_mgmt_az1_host8_vrms_ip">'Site Protection &amp; DR'!$C$183</definedName>
    <definedName name="sample_mgmt_az1_host9_fqdn">#REF!</definedName>
    <definedName name="sample_mgmt_az1_host9_mgmt_ip">#REF!</definedName>
    <definedName name="sample_mgmt_az1_host9_vrms_ip">'Site Protection &amp; DR'!$C$184</definedName>
    <definedName name="sample_mgmt_az1_mgmt_gateway_cidr">#REF!</definedName>
    <definedName name="sample_mgmt_az1_mgmt_mtu">#REF!</definedName>
    <definedName name="sample_mgmt_az1_mgmt_vlan">#REF!</definedName>
    <definedName name="sample_mgmt_az1_mgmt_vm_gateway_cidr">#REF!</definedName>
    <definedName name="sample_mgmt_az1_mgmt_vm_mtu">#REF!</definedName>
    <definedName name="sample_mgmt_az1_mgmt_vm_prefix">'On-Premises Ransomware Recovery'!$C$24</definedName>
    <definedName name="sample_mgmt_az1_mgmt_vm_vlan">#REF!</definedName>
    <definedName name="sample_mgmt_az1_rtep_ip_pool_name">#REF!</definedName>
    <definedName name="sample_mgmt_az1_rtep_overlay_cidr">#REF!</definedName>
    <definedName name="sample_mgmt_az1_rtep_overlay_gateway_ip">#REF!</definedName>
    <definedName name="sample_mgmt_az1_rtep_overlay_vlan">#REF!</definedName>
    <definedName name="sample_mgmt_az1_secondary_storage_gateway_cidr">#REF!</definedName>
    <definedName name="sample_mgmt_az1_secondary_storage_mtu">#REF!</definedName>
    <definedName name="sample_mgmt_az1_secondary_storage_pool_end_ip">#REF!</definedName>
    <definedName name="sample_mgmt_az1_secondary_storage_pool_start_ip">#REF!</definedName>
    <definedName name="sample_mgmt_az1_secondary_storage_vlan">#REF!</definedName>
    <definedName name="sample_mgmt_az1_tor1_peer_asn">#REF!</definedName>
    <definedName name="sample_mgmt_az1_tor1_peer_bgp_password">#REF!</definedName>
    <definedName name="sample_mgmt_az1_tor1_peer_ip">#REF!</definedName>
    <definedName name="sample_mgmt_az1_tor2_peer_asn">#REF!</definedName>
    <definedName name="sample_mgmt_az1_tor2_peer_bgp_password">#REF!</definedName>
    <definedName name="sample_mgmt_az1_tor2_peer_ip">#REF!</definedName>
    <definedName name="sample_mgmt_az1_uplink01_cidr">#REF!</definedName>
    <definedName name="sample_mgmt_az1_uplink01_gateway_ip">#REF!</definedName>
    <definedName name="sample_mgmt_az1_uplink01_mtu">#REF!</definedName>
    <definedName name="sample_mgmt_az1_uplink01_vlan">#REF!</definedName>
    <definedName name="sample_mgmt_az1_uplink02_cidr">#REF!</definedName>
    <definedName name="sample_mgmt_az1_uplink02_gateway_ip">#REF!</definedName>
    <definedName name="sample_mgmt_az1_uplink02_mtu">#REF!</definedName>
    <definedName name="sample_mgmt_az1_uplink02_vlan">#REF!</definedName>
    <definedName name="sample_mgmt_az1_vcf_mgmt_gateway_cidr">#REF!</definedName>
    <definedName name="sample_mgmt_az1_vcf_mgmt_gateway_ipv6_cidr">#REF!</definedName>
    <definedName name="sample_mgmt_az1_vcf_mgmt_mtu">#REF!</definedName>
    <definedName name="sample_mgmt_az1_vcf_mgmt_vlan">#REF!</definedName>
    <definedName name="sample_mgmt_az1_vmotion_gateway_cidr">#REF!</definedName>
    <definedName name="sample_mgmt_az1_vmotion_mtu">#REF!</definedName>
    <definedName name="sample_mgmt_az1_vmotion_pool_end_ip">#REF!</definedName>
    <definedName name="sample_mgmt_az1_vmotion_pool_start_ip">#REF!</definedName>
    <definedName name="sample_mgmt_az1_vmotion_vlan">#REF!</definedName>
    <definedName name="sample_mgmt_az1_vrms_cidr">'Site Protection &amp; DR'!$C$171</definedName>
    <definedName name="sample_mgmt_az1_vrms_gateway_ip">'Site Protection &amp; DR'!$C$173</definedName>
    <definedName name="sample_mgmt_az1_vrms_mask">'Site Protection &amp; DR'!$C$172</definedName>
    <definedName name="sample_mgmt_az1_vrms_mtu">'Site Protection &amp; DR'!$C$174</definedName>
    <definedName name="sample_mgmt_az1_vrms_vlan">'Site Protection &amp; DR'!$C$163</definedName>
    <definedName name="sample_mgmt_az1_vsan_gateway_cidr">#REF!</definedName>
    <definedName name="sample_mgmt_az1_vsan_mtu">#REF!</definedName>
    <definedName name="sample_mgmt_az1_vsan_pool_end_ip">#REF!</definedName>
    <definedName name="sample_mgmt_az1_vsan_pool_start_ip">#REF!</definedName>
    <definedName name="sample_mgmt_az1_vsan_vlan">#REF!</definedName>
    <definedName name="sample_mgmt_az2_host_hostnames">#REF!</definedName>
    <definedName name="sample_mgmt_az2_host_overlay_cidr">#REF!</definedName>
    <definedName name="sample_mgmt_az2_host_overlay_gateway_ip">#REF!</definedName>
    <definedName name="sample_mgmt_az2_host_overlay_mtu">#REF!</definedName>
    <definedName name="sample_mgmt_az2_host_overlay_network_pool_name">#REF!</definedName>
    <definedName name="sample_mgmt_az2_host_overlay_network_profile_name">#REF!</definedName>
    <definedName name="sample_mgmt_az2_host_overlay_pool_end_ip">#REF!</definedName>
    <definedName name="sample_mgmt_az2_host_overlay_pool_start_ip">#REF!</definedName>
    <definedName name="sample_mgmt_az2_host_overlay_uplink_profile_name">#REF!</definedName>
    <definedName name="sample_mgmt_az2_host_overlay_vlan">#REF!</definedName>
    <definedName name="sample_mgmt_az2_host1_fqdn">#REF!</definedName>
    <definedName name="sample_mgmt_az2_host1_mgmt_ip">#REF!</definedName>
    <definedName name="sample_mgmt_az2_host1_sddc_id">#REF!</definedName>
    <definedName name="sample_mgmt_az2_host1_vrms_ip">'Site Protection &amp; DR'!$C$193</definedName>
    <definedName name="sample_mgmt_az2_host10_fqdn">#REF!</definedName>
    <definedName name="sample_mgmt_az2_host10_mgmt_ip">#REF!</definedName>
    <definedName name="sample_mgmt_az2_host10_vrms_ip">'Site Protection &amp; DR'!$C$202</definedName>
    <definedName name="sample_mgmt_az2_host11_fqdn">#REF!</definedName>
    <definedName name="sample_mgmt_az2_host11_mgmt_ip">#REF!</definedName>
    <definedName name="sample_mgmt_az2_host11_vrms_ip">'Site Protection &amp; DR'!$C$203</definedName>
    <definedName name="sample_mgmt_az2_host12_fqdn">#REF!</definedName>
    <definedName name="sample_mgmt_az2_host12_mgmt_ip">#REF!</definedName>
    <definedName name="sample_mgmt_az2_host12_vrms_ip">'Site Protection &amp; DR'!$C$204</definedName>
    <definedName name="sample_mgmt_az2_host13_fqdn">#REF!</definedName>
    <definedName name="sample_mgmt_az2_host13_mgmt_ip">#REF!</definedName>
    <definedName name="sample_mgmt_az2_host13_vrms_ip">'Site Protection &amp; DR'!$C$205</definedName>
    <definedName name="sample_mgmt_az2_host14_fqdn">#REF!</definedName>
    <definedName name="sample_mgmt_az2_host14_mgmt_ip">#REF!</definedName>
    <definedName name="sample_mgmt_az2_host14_vrms_ip">'Site Protection &amp; DR'!$C$206</definedName>
    <definedName name="sample_mgmt_az2_host15_fqdn">#REF!</definedName>
    <definedName name="sample_mgmt_az2_host15_mgmt_ip">#REF!</definedName>
    <definedName name="sample_mgmt_az2_host15_vrms_ip">'Site Protection &amp; DR'!$C$207</definedName>
    <definedName name="sample_mgmt_az2_host16_fqdn">#REF!</definedName>
    <definedName name="sample_mgmt_az2_host16_mgmt_ip">#REF!</definedName>
    <definedName name="sample_mgmt_az2_host16_vrms_ip">'Site Protection &amp; DR'!$C$208</definedName>
    <definedName name="sample_mgmt_az2_host2_fqdn">#REF!</definedName>
    <definedName name="sample_mgmt_az2_host2_mgmt_ip">#REF!</definedName>
    <definedName name="sample_mgmt_az2_host2_sddc_id">#REF!</definedName>
    <definedName name="sample_mgmt_az2_host2_vrms_ip">'Site Protection &amp; DR'!$C$194</definedName>
    <definedName name="sample_mgmt_az2_host3_fqdn">#REF!</definedName>
    <definedName name="sample_mgmt_az2_host3_mgmt_ip">#REF!</definedName>
    <definedName name="sample_mgmt_az2_host3_sddc_id">#REF!</definedName>
    <definedName name="sample_mgmt_az2_host3_vrms_ip">'Site Protection &amp; DR'!$C$195</definedName>
    <definedName name="sample_mgmt_az2_host4_fqdn">#REF!</definedName>
    <definedName name="sample_mgmt_az2_host4_mgmt_ip">#REF!</definedName>
    <definedName name="sample_mgmt_az2_host4_sddc_id">#REF!</definedName>
    <definedName name="sample_mgmt_az2_host4_vrms_ip">'Site Protection &amp; DR'!$C$196</definedName>
    <definedName name="sample_mgmt_az2_host5_fqdn">#REF!</definedName>
    <definedName name="sample_mgmt_az2_host5_mgmt_ip">#REF!</definedName>
    <definedName name="sample_mgmt_az2_host5_vrms_ip">'Site Protection &amp; DR'!$C$197</definedName>
    <definedName name="sample_mgmt_az2_host6_fqdn">#REF!</definedName>
    <definedName name="sample_mgmt_az2_host6_mgmt_ip">#REF!</definedName>
    <definedName name="sample_mgmt_az2_host6_vrms_ip">'Site Protection &amp; DR'!$C$198</definedName>
    <definedName name="sample_mgmt_az2_host7_fqdn">#REF!</definedName>
    <definedName name="sample_mgmt_az2_host7_mgmt_ip">#REF!</definedName>
    <definedName name="sample_mgmt_az2_host7_vrms_ip">'Site Protection &amp; DR'!$C$199</definedName>
    <definedName name="sample_mgmt_az2_host8_fqdn">#REF!</definedName>
    <definedName name="sample_mgmt_az2_host8_mgmt_ip">#REF!</definedName>
    <definedName name="sample_mgmt_az2_host8_vrms_ip">'Site Protection &amp; DR'!$C$200</definedName>
    <definedName name="sample_mgmt_az2_host9_fqdn">#REF!</definedName>
    <definedName name="sample_mgmt_az2_host9_mgmt_ip">#REF!</definedName>
    <definedName name="sample_mgmt_az2_host9_vrms_ip">'Site Protection &amp; DR'!$C$201</definedName>
    <definedName name="sample_mgmt_az2_mgmt_cidr">#REF!</definedName>
    <definedName name="sample_mgmt_az2_mgmt_gateway_ip">#REF!</definedName>
    <definedName name="sample_mgmt_az2_mgmt_mtu">#REF!</definedName>
    <definedName name="sample_mgmt_az2_mgmt_vlan">#REF!</definedName>
    <definedName name="sample_mgmt_az2_pool_name">#REF!</definedName>
    <definedName name="sample_mgmt_az2_secondary_storage_cidr">#REF!</definedName>
    <definedName name="sample_mgmt_az2_secondary_storage_gateway_ip">#REF!</definedName>
    <definedName name="sample_mgmt_az2_secondary_storage_mask">#REF!</definedName>
    <definedName name="sample_mgmt_az2_secondary_storage_mtu">#REF!</definedName>
    <definedName name="sample_mgmt_az2_secondary_storage_network">#REF!</definedName>
    <definedName name="sample_mgmt_az2_secondary_storage_pool_end_ip">#REF!</definedName>
    <definedName name="sample_mgmt_az2_secondary_storage_pool_start_ip">#REF!</definedName>
    <definedName name="sample_mgmt_az2_secondary_storage_vlan">#REF!</definedName>
    <definedName name="sample_mgmt_az2_tor1_peer_asn">#REF!</definedName>
    <definedName name="sample_mgmt_az2_tor1_peer_bgp_password">#REF!</definedName>
    <definedName name="sample_mgmt_az2_tor1_peer_ip">#REF!</definedName>
    <definedName name="sample_mgmt_az2_tor2_peer_asn">#REF!</definedName>
    <definedName name="sample_mgmt_az2_tor2_peer_bgp_password">#REF!</definedName>
    <definedName name="sample_mgmt_az2_tor2_peer_ip">#REF!</definedName>
    <definedName name="sample_mgmt_az2_vmotion_cidr">#REF!</definedName>
    <definedName name="sample_mgmt_az2_vmotion_gateway_cidr">#REF!</definedName>
    <definedName name="sample_mgmt_az2_vmotion_mask">#REF!</definedName>
    <definedName name="sample_mgmt_az2_vmotion_mtu">#REF!</definedName>
    <definedName name="sample_mgmt_az2_vmotion_network">#REF!</definedName>
    <definedName name="sample_mgmt_az2_vmotion_pool_end_ip">#REF!</definedName>
    <definedName name="sample_mgmt_az2_vmotion_pool_start_ip">#REF!</definedName>
    <definedName name="sample_mgmt_az2_vmotion_vlan">#REF!</definedName>
    <definedName name="sample_mgmt_az2_vsan_cidr">#REF!</definedName>
    <definedName name="sample_mgmt_az2_vsan_gateway_ip">#REF!</definedName>
    <definedName name="sample_mgmt_az2_vsan_mask">#REF!</definedName>
    <definedName name="sample_mgmt_az2_vsan_mtu">#REF!</definedName>
    <definedName name="sample_mgmt_az2_vsan_network">#REF!</definedName>
    <definedName name="sample_mgmt_az2_vsan_pool_end_ip">#REF!</definedName>
    <definedName name="sample_mgmt_az2_vsan_pool_start_ip">#REF!</definedName>
    <definedName name="sample_mgmt_az2_vsan_vlan">#REF!</definedName>
    <definedName name="sample_mgmt_cl01_az1_mgmt_pg">#REF!</definedName>
    <definedName name="sample_mgmt_cl01_az1_mgmt_vm_pg">#REF!</definedName>
    <definedName name="sample_mgmt_cl01_az1_nfs_pg">#REF!</definedName>
    <definedName name="sample_mgmt_cl01_az1_uplink01_pg">#REF!</definedName>
    <definedName name="sample_mgmt_cl01_az1_uplink02_pg">#REF!</definedName>
    <definedName name="sample_mgmt_cl01_az1_vcf_mgmt_pg">#REF!</definedName>
    <definedName name="sample_mgmt_cl01_az1_vmotion_pg">#REF!</definedName>
    <definedName name="sample_mgmt_cl01_az1_vsan_pg">#REF!</definedName>
    <definedName name="sample_mgmt_cl01_cluster">#REF!</definedName>
    <definedName name="sample_mgmt_cl01_cluster_sddc_id">#REF!</definedName>
    <definedName name="sample_mgmt_cl01_nfs_server_ip">#REF!</definedName>
    <definedName name="sample_mgmt_cl01_nfs_share">#REF!</definedName>
    <definedName name="sample_mgmt_cl01_vds01_lag_name">#REF!</definedName>
    <definedName name="sample_mgmt_cl01_vds01_mtu">#REF!</definedName>
    <definedName name="sample_mgmt_cl01_vds01_name">#REF!</definedName>
    <definedName name="sample_mgmt_cl01_vds01_uplink_count">#REF!</definedName>
    <definedName name="sample_mgmt_cl01_vds01_uplink1">#REF!</definedName>
    <definedName name="sample_mgmt_cl01_vds01_uplink2">#REF!</definedName>
    <definedName name="sample_mgmt_cl01_vds02_lag_name">#REF!</definedName>
    <definedName name="sample_mgmt_cl01_vds02_mtu">#REF!</definedName>
    <definedName name="sample_mgmt_cl01_vds02_name">#REF!</definedName>
    <definedName name="sample_mgmt_cl01_vds02_uplink_count">#REF!</definedName>
    <definedName name="sample_mgmt_cl01_vds02_uplink1">#REF!</definedName>
    <definedName name="sample_mgmt_cl01_vds02_uplink2">#REF!</definedName>
    <definedName name="sample_mgmt_cl01_vds03_lag_name">#REF!</definedName>
    <definedName name="sample_mgmt_cl01_vds03_mtu">#REF!</definedName>
    <definedName name="sample_mgmt_cl01_vds03_name">#REF!</definedName>
    <definedName name="sample_mgmt_cl01_vds03_uplink_count">#REF!</definedName>
    <definedName name="sample_mgmt_cl01_vds03_uplink1">#REF!</definedName>
    <definedName name="sample_mgmt_cl01_vds03_uplink2">#REF!</definedName>
    <definedName name="sample_mgmt_cl01_vsan_datastore">#REF!</definedName>
    <definedName name="sample_mgmt_cross_instance_linked_t0_name">#REF!</definedName>
    <definedName name="sample_mgmt_datacenter">#REF!</definedName>
    <definedName name="sample_mgmt_depot_activation_code">#REF!</definedName>
    <definedName name="sample_mgmt_ec_mtu">#REF!</definedName>
    <definedName name="sample_mgmt_ec_name">#REF!</definedName>
    <definedName name="sample_mgmt_ec_rp_name">#REF!</definedName>
    <definedName name="sample_mgmt_ec01_en01_host_group_affinity_rule_name">#REF!</definedName>
    <definedName name="sample_mgmt_ec01_en02_host_group_affinity_rule_name">#REF!</definedName>
    <definedName name="sample_mgmt_en_asn">#REF!</definedName>
    <definedName name="sample_mgmt_existing_active_nsx_gm">#REF!</definedName>
    <definedName name="sample_mgmt_existing_cross_instance_t0_name">#REF!</definedName>
    <definedName name="sample_mgmt_host_overlay_transportzone">Arkham!$X$5</definedName>
    <definedName name="sample_mgmt_internet_proxy_address">#REF!</definedName>
    <definedName name="sample_mgmt_internet_proxy_email">#REF!</definedName>
    <definedName name="sample_mgmt_internet_proxy_password">#REF!</definedName>
    <definedName name="sample_mgmt_internet_proxy_port">#REF!</definedName>
    <definedName name="sample_mgmt_nsxt_en_admin_password">#REF!</definedName>
    <definedName name="sample_mgmt_nsxt_en_root_password">#REF!</definedName>
    <definedName name="sample_mgmt_nsxt_federation_global_manager_name">#REF!</definedName>
    <definedName name="sample_mgmt_nsxt_federation_location_name">#REF!</definedName>
    <definedName name="sample_mgmt_nsxt_global_mgr_anti_affinity_rule_name">#REF!</definedName>
    <definedName name="sample_mgmt_nsxt_global_mgr_certificate_id">#REF!</definedName>
    <definedName name="sample_mgmt_nsxt_global_mgr_cluster_id">#REF!</definedName>
    <definedName name="sample_mgmt_nsxt_global_mgr_vmca_signed_thumbprint">#REF!</definedName>
    <definedName name="sample_mgmt_nsxt_global_mgra_fqdn">#REF!</definedName>
    <definedName name="sample_mgmt_nsxt_global_mgra_hostname">#REF!</definedName>
    <definedName name="sample_mgmt_nsxt_global_mgra_ip">#REF!</definedName>
    <definedName name="sample_mgmt_nsxt_global_mgrb_fqdn">#REF!</definedName>
    <definedName name="sample_mgmt_nsxt_global_mgrb_hostname">#REF!</definedName>
    <definedName name="sample_mgmt_nsxt_global_mgrb_ip">#REF!</definedName>
    <definedName name="sample_mgmt_nsxt_global_mgrc_fqdn">#REF!</definedName>
    <definedName name="sample_mgmt_nsxt_global_mgrc_hostname">#REF!</definedName>
    <definedName name="sample_mgmt_nsxt_global_mgrc_ip">#REF!</definedName>
    <definedName name="sample_mgmt_nsxt_gm_fingerprint">#REF!</definedName>
    <definedName name="sample_mgmt_nsxt_gm_vip_fqdn">#REF!</definedName>
    <definedName name="sample_mgmt_nsxt_gm_vip_ip">#REF!</definedName>
    <definedName name="sample_mgmt_nsxt_lm_fingerprint">#REF!</definedName>
    <definedName name="sample_mgmt_nsxt_mgra_fqdn">#REF!</definedName>
    <definedName name="sample_mgmt_nsxt_mgra_ip">#REF!</definedName>
    <definedName name="sample_mgmt_nsxt_mgrb_fqdn">#REF!</definedName>
    <definedName name="sample_mgmt_nsxt_mgrb_ip">#REF!</definedName>
    <definedName name="sample_mgmt_nsxt_mgrc_fqdn">#REF!</definedName>
    <definedName name="sample_mgmt_nsxt_mgrc_ip">#REF!</definedName>
    <definedName name="sample_mgmt_nsxt_vip_fqdn">#REF!</definedName>
    <definedName name="sample_mgmt_nsxt_vip_ip">#REF!</definedName>
    <definedName name="sample_mgmt_nsxt_xreg_t1_name">#REF!</definedName>
    <definedName name="sample_mgmt_offline_depot_fqdn">#REF!</definedName>
    <definedName name="sample_mgmt_offline_depot_port">#REF!</definedName>
    <definedName name="sample_mgmt_recovery_lb_creation_method">'Dumping Ground'!$C$53</definedName>
    <definedName name="sample_mgmt_rtep_overlay_pool_end_ip">#REF!</definedName>
    <definedName name="sample_mgmt_rtep_overlay_pool_start_ip">#REF!</definedName>
    <definedName name="sample_mgmt_rwr_recovery_site_az1_mgmt_cidr">'On-Premises Ransomware Recovery'!$C$101</definedName>
    <definedName name="sample_mgmt_rwr_vc_fqdn">'On-Premises Ransomware Recovery'!$C$9</definedName>
    <definedName name="sample_mgmt_sddc_domain">#REF!</definedName>
    <definedName name="sample_mgmt_srm_admin_email">'Dumping Ground'!$C$41</definedName>
    <definedName name="sample_mgmt_srm_admin_password">'Dumping Ground'!$C$38</definedName>
    <definedName name="sample_mgmt_srm_database_password">'Dumping Ground'!$C$39</definedName>
    <definedName name="sample_mgmt_srm_days">'Site Protection &amp; DR'!$C$255</definedName>
    <definedName name="sample_mgmt_srm_instances_per_day">'Site Protection &amp; DR'!$C$254</definedName>
    <definedName name="sample_mgmt_srm_ip">'Dumping Ground'!$F$6</definedName>
    <definedName name="sample_mgmt_srm_logs_pg">'Site Protection &amp; DR'!$C$282</definedName>
    <definedName name="sample_mgmt_srm_logs_rp">'Site Protection &amp; DR'!$C$283</definedName>
    <definedName name="sample_mgmt_srm_net_pg">'Site Protection &amp; DR'!$C$307</definedName>
    <definedName name="sample_mgmt_srm_net_rp">'Site Protection &amp; DR'!$C$308</definedName>
    <definedName name="sample_mgmt_srm_p12_password">'Dumping Ground'!$C$42</definedName>
    <definedName name="sample_mgmt_srm_recovery_cluster">'Site Protection &amp; DR'!$C$324</definedName>
    <definedName name="sample_mgmt_srm_recovery_datastore">'Site Protection &amp; DR'!$C$252</definedName>
    <definedName name="sample_mgmt_srm_recovery_gateway">'Site Protection &amp; DR'!$C$382</definedName>
    <definedName name="sample_mgmt_srm_recovery_mask">'Site Protection &amp; DR'!$C$383</definedName>
    <definedName name="sample_mgmt_srm_recovery_nsx_ec_name">'Dumping Ground'!$C$60</definedName>
    <definedName name="sample_mgmt_srm_recovery_nsx_location">'Dumping Ground'!$C$59</definedName>
    <definedName name="sample_mgmt_srm_recovery_pg">'Site Protection &amp; DR'!$C$376</definedName>
    <definedName name="sample_mgmt_srm_recovery_sddc_manager_domain">'Dumping Ground'!$C$58</definedName>
    <definedName name="sample_mgmt_srm_recovery_sddc_manager_fqdn">'Dumping Ground'!$C$17</definedName>
    <definedName name="sample_mgmt_srm_recovery_sddc_manager_password">'Dumping Ground'!$C$19</definedName>
    <definedName name="sample_mgmt_srm_recovery_sddc_manager_username">'Dumping Ground'!$C$18</definedName>
    <definedName name="sample_mgmt_srm_recovery_t1_si_ip">'Dumping Ground'!$F$7</definedName>
    <definedName name="sample_mgmt_srm_recovery_vcenter_fqdn">'Site Protection &amp; DR'!$C$217</definedName>
    <definedName name="sample_mgmt_srm_recovery_vcenter_password">'Site Protection &amp; DR'!$C$219</definedName>
    <definedName name="sample_mgmt_srm_recovery_vcenter_username">'Site Protection &amp; DR'!$C$218</definedName>
    <definedName name="sample_mgmt_srm_root_password">'Dumping Ground'!$C$37</definedName>
    <definedName name="sample_mgmt_srm_rpo">'Site Protection &amp; DR'!$C$253</definedName>
    <definedName name="sample_mgmt_srm_site_name">'Dumping Ground'!$C$40</definedName>
    <definedName name="sample_mgmt_srm_sso_domain_membership">'Dumping Ground'!$C$64</definedName>
    <definedName name="sample_mgmt_srm_vm_folder">'Dumping Ground'!$C$36</definedName>
    <definedName name="sample_mgmt_srm_vra_pg">'Dumping Ground'!$C$50</definedName>
    <definedName name="sample_mgmt_srm_vra_rp">'Dumping Ground'!$C$51</definedName>
    <definedName name="sample_mgmt_srm_vrops_pg">'Site Protection &amp; DR'!$C$256</definedName>
    <definedName name="sample_mgmt_srm_vrops_rp">'Site Protection &amp; DR'!$C$257</definedName>
    <definedName name="sample_mgmt_srm_vrslcm_wsa_pg">'Dumping Ground'!$C$46</definedName>
    <definedName name="sample_mgmt_srm_vrslcm_wsa_rp">'Dumping Ground'!$C$47</definedName>
    <definedName name="sample_mgmt_sso_domain">#REF!</definedName>
    <definedName name="sample_mgmt_sso_domain_username">#REF!</definedName>
    <definedName name="sample_mgmt_supvr_api_server_fqdn">#REF!</definedName>
    <definedName name="sample_mgmt_supvr_cp_storage_policy">#REF!</definedName>
    <definedName name="sample_mgmt_supvr_ed_storage_policy">#REF!</definedName>
    <definedName name="sample_mgmt_supvr_ic_storage_policy">#REF!</definedName>
    <definedName name="sample_mgmt_supvr_ip_address_range">#REF!</definedName>
    <definedName name="sample_mgmt_supvr_mgmt_dns_server">#REF!</definedName>
    <definedName name="sample_mgmt_supvr_mgmt_dns_zones">#REF!</definedName>
    <definedName name="sample_mgmt_supvr_mgmt_ntp_server">#REF!</definedName>
    <definedName name="sample_mgmt_supvr_name">#REF!</definedName>
    <definedName name="sample_mgmt_supvr_nsx_project">#REF!</definedName>
    <definedName name="sample_mgmt_supvr_vpc_connectivity_profile">#REF!</definedName>
    <definedName name="sample_mgmt_supvr_vpc_ext_ip_blocks_name">#REF!</definedName>
    <definedName name="sample_mgmt_supvr_vpc_priv_cidr">#REF!</definedName>
    <definedName name="sample_mgmt_supvr_vpc_priv_ip_blocks_name">#REF!</definedName>
    <definedName name="sample_mgmt_supvr_vpc_service_cidr">#REF!</definedName>
    <definedName name="sample_mgmt_supvr_wld_dns_server">#REF!</definedName>
    <definedName name="sample_mgmt_supvr_wld_ntp_server">#REF!</definedName>
    <definedName name="sample_mgmt_supvr_zone_name">#REF!</definedName>
    <definedName name="sample_mgmt_tier0_name">#REF!</definedName>
    <definedName name="sample_mgmt_tier1_name">'Value Reference Tables'!$T$208</definedName>
    <definedName name="sample_mgmt_vc_fqdn">#REF!</definedName>
    <definedName name="sample_mgmt_vc_ip">#REF!</definedName>
    <definedName name="sample_mgmt_vna_rp_name">#REF!</definedName>
    <definedName name="sample_mgmt_vnaa_cidr">#REF!</definedName>
    <definedName name="sample_mgmt_vnaa_fqdn">#REF!</definedName>
    <definedName name="sample_mgmt_vnab_cidr">#REF!</definedName>
    <definedName name="sample_mgmt_vnab_fqdn">#REF!</definedName>
    <definedName name="sample_mgmt_vpc_ext_ip_blocks_cidr">#REF!</definedName>
    <definedName name="sample_mgmt_vpc_ext_ip_blocks_excluded_ips">#REF!</definedName>
    <definedName name="sample_mgmt_vpc_ext_ip_blocks_name">#REF!</definedName>
    <definedName name="sample_mgmt_vpc_ext_ip_blocks_reserved">#REF!</definedName>
    <definedName name="sample_mgmt_vpc_ext_ip_blocks_visability">#REF!</definedName>
    <definedName name="sample_mgmt_vpc_priv_ip_blocks_excluded_ips">#REF!</definedName>
    <definedName name="sample_mgmt_vpc_priv_ip_blocks_name">#REF!</definedName>
    <definedName name="sample_mgmt_vpc_priv_ip_blocks_reserved">#REF!</definedName>
    <definedName name="sample_mgmt_vpc_priv_ip_blocks_visability">#REF!</definedName>
    <definedName name="sample_mgmt_vpc_transit_gateway_ip_blocks_cidr">#REF!</definedName>
    <definedName name="sample_mgmt_vpc_vna_cluster_name">#REF!</definedName>
    <definedName name="sample_mgmt_vpc_vna_cluster_size_chosen">#REF!</definedName>
    <definedName name="sample_mgmt_vrms_admin_email">'Site Protection &amp; DR'!$C$153</definedName>
    <definedName name="sample_mgmt_vrms_admin_password">'Dumping Ground'!$C$30</definedName>
    <definedName name="sample_mgmt_vrms_hostname">'Dumping Ground'!$D$4</definedName>
    <definedName name="sample_mgmt_vrms_mgmt_ip">'Site Protection &amp; DR'!$C$113</definedName>
    <definedName name="sample_mgmt_vrms_p12_password">'Dumping Ground'!$C$34</definedName>
    <definedName name="sample_mgmt_vrms_pg">'Site Protection &amp; DR'!$C$162</definedName>
    <definedName name="sample_mgmt_vrms_recovery_replication_cidr">'Dumping Ground'!$C$63</definedName>
    <definedName name="sample_mgmt_vrms_root_password">'Dumping Ground'!$C$29</definedName>
    <definedName name="sample_mgmt_vrms_site_name">'Site Protection &amp; DR'!$C$152</definedName>
    <definedName name="sample_mgmt_vrms_vm_folder">'Dumping Ground'!$C$28</definedName>
    <definedName name="sample_mgmt_vrms_vrms_ip">'Dumping Ground'!$F$5</definedName>
    <definedName name="sample_mgmt_vsan_dit_rekey_custom_interval">#REF!</definedName>
    <definedName name="sample_mgmt_vsan_dit_rekey_default_interval">#REF!</definedName>
    <definedName name="sample_mgmt_witness_cluster">#REF!</definedName>
    <definedName name="sample_mgmt_witness_dns1_ip">#REF!</definedName>
    <definedName name="sample_mgmt_witness_dns2_ip">#REF!</definedName>
    <definedName name="sample_mgmt_witness_fqdn">#REF!</definedName>
    <definedName name="sample_mgmt_witness_hostname">#REF!</definedName>
    <definedName name="sample_mgmt_witness_ip">#REF!</definedName>
    <definedName name="sample_mgmt_witness_mgmt_pg">#REF!</definedName>
    <definedName name="sample_mgmt_witness_ntp1_server">#REF!</definedName>
    <definedName name="sample_mgmt_witness_ntp2_server">#REF!</definedName>
    <definedName name="sample_mgmt_witness_root_password">#REF!</definedName>
    <definedName name="sample_mgmt_witness_vm_folder">#REF!</definedName>
    <definedName name="sample_mgmt_witness_vsan_datastore">#REF!</definedName>
    <definedName name="sample_mgmt_witness_zone_vc_fqdn">#REF!</definedName>
    <definedName name="sample_mgmt_witness_zone_vc_ip">#REF!</definedName>
    <definedName name="sample_mgmt_witnessaz_mgmt_cidr">#REF!</definedName>
    <definedName name="sample_mgmt_witnessaz_mgmt_gateway_ip">#REF!</definedName>
    <definedName name="sample_mgmt_witnessaz_mgmt_mtu">#REF!</definedName>
    <definedName name="sample_mgmt_witnessaz_mgmt_vlan">#REF!</definedName>
    <definedName name="sample_nsxt_gm_admin_password">#REF!</definedName>
    <definedName name="sample_nsxt_gm_audit_password">#REF!</definedName>
    <definedName name="sample_nsxt_gm_root_password">#REF!</definedName>
    <definedName name="sample_nsxt_lm_admin_password">#REF!</definedName>
    <definedName name="sample_nsxt_lm_audit_password">#REF!</definedName>
    <definedName name="sample_nsxt_lm_root_password">#REF!</definedName>
    <definedName name="sample_parent_ad_groups_ou">'Active Directory Inputs'!$D$10</definedName>
    <definedName name="sample_parent_ad_users_ou">'Active Directory Inputs'!$F$10</definedName>
    <definedName name="sample_parent_dns_zone">#REF!</definedName>
    <definedName name="sample_parent_gg_wsa_admins_group">'Active Directory Inputs'!$D$59</definedName>
    <definedName name="sample_parent_gg_wsa_directory_admins_group">'Active Directory Inputs'!$D$60</definedName>
    <definedName name="sample_parent_gg_wsa_read_only_group">'Active Directory Inputs'!$D$61</definedName>
    <definedName name="sample_region_ad_child_fqdn">'Value Reference Tables'!$C$10</definedName>
    <definedName name="sample_region_ad_child_netbios">'Active Directory Inputs'!$F$9</definedName>
    <definedName name="sample_region_ad_parent_fqdn">'Value Reference Tables'!$C$9</definedName>
    <definedName name="sample_region_ad_parent_netbios">'Active Directory Inputs'!$F$8</definedName>
    <definedName name="sample_region_dns1_ip">#REF!</definedName>
    <definedName name="sample_region_dns2_ip">#REF!</definedName>
    <definedName name="sample_region_ntp1_server">#REF!</definedName>
    <definedName name="sample_region_ntp2_server">#REF!</definedName>
    <definedName name="sample_rwr_cert_country_code">'On-Premises Ransomware Recovery'!$C$34</definedName>
    <definedName name="sample_rwr_cert_file">'On-Premises Ransomware Recovery'!$C$37</definedName>
    <definedName name="sample_rwr_cert_locality">'On-Premises Ransomware Recovery'!$C$32</definedName>
    <definedName name="sample_rwr_cert_organisation">'On-Premises Ransomware Recovery'!$C$30</definedName>
    <definedName name="sample_rwr_cert_ou">'On-Premises Ransomware Recovery'!$C$31</definedName>
    <definedName name="sample_rwr_cert_state">'On-Premises Ransomware Recovery'!$C$33</definedName>
    <definedName name="sample_rwr_child_dns_zone">'On-Premises Ransomware Recovery'!$C$20</definedName>
    <definedName name="sample_rwr_datacenter">'On-Premises Ransomware Recovery'!$C$143</definedName>
    <definedName name="sample_rwr_sso_domain_name">'On-Premises Ransomware Recovery'!$C$43</definedName>
    <definedName name="sample_rwr_vlr_replication_password">'On-Premises Ransomware Recovery'!$C$45</definedName>
    <definedName name="sample_rwr_vrms_pg">'On-Premises Ransomware Recovery'!$C$71</definedName>
    <definedName name="sample_sddc_mgr_admin_local_password">#REF!</definedName>
    <definedName name="sample_sddc_mgr_fqdn">#REF!</definedName>
    <definedName name="sample_sddc_mgr_ip">#REF!</definedName>
    <definedName name="sample_sddc_mgr_root_password">#REF!</definedName>
    <definedName name="sample_sddc_mgr_vcf_password">#REF!</definedName>
    <definedName name="sample_sftp_server">#REF!</definedName>
    <definedName name="sample_sftp_server_backup_dir">#REF!</definedName>
    <definedName name="sample_sftp_server_passphrase">#REF!</definedName>
    <definedName name="sample_sftp_server_port">#REF!</definedName>
    <definedName name="sample_sftp_server_protocol">#REF!</definedName>
    <definedName name="sample_sftp_server_sshfingerprint">#REF!</definedName>
    <definedName name="sample_smtp_server">Arkham!$B$16</definedName>
    <definedName name="sample_smtp_server_port">Arkham!$B$17</definedName>
    <definedName name="sample_svc_cbr_vcdr_vsphere_password">'Cloud-Based Ransomware Recovery'!$C$16</definedName>
    <definedName name="sample_svc_cbr_vcdr_vsphere_user">'Cloud-Based Ransomware Recovery'!$C$15</definedName>
    <definedName name="sample_svc_ccm_hcx_nsx_password">'Active Directory Inputs'!$F$49</definedName>
    <definedName name="sample_svc_ccm_hcx_nsx_user">'Active Directory Inputs'!$D$49</definedName>
    <definedName name="sample_svc_ccm_hcx_vsphere_password">'Active Directory Inputs'!$F$48</definedName>
    <definedName name="sample_svc_ccm_hcx_vsphere_user">'Active Directory Inputs'!$D$48</definedName>
    <definedName name="sample_svc_hrm_vcf_password">'Active Directory Inputs'!$F$44</definedName>
    <definedName name="sample_svc_ila_ad_password">'Active Directory Inputs'!$F$24</definedName>
    <definedName name="sample_svc_ila_ad_user">'Active Directory Inputs'!$D$24</definedName>
    <definedName name="sample_svc_inv_ad_password">'Active Directory Inputs'!$F$32</definedName>
    <definedName name="sample_svc_inv_ad_user">'Active Directory Inputs'!$D$32</definedName>
    <definedName name="sample_svc_inv_vrops_password">'Active Directory Inputs'!$F$34</definedName>
    <definedName name="sample_svc_inv_vrops_user">'Active Directory Inputs'!$D$34</definedName>
    <definedName name="sample_svc_inv_vsphere_password">'Active Directory Inputs'!$F$33</definedName>
    <definedName name="sample_svc_inv_vsphere_user">'Active Directory Inputs'!$D$33</definedName>
    <definedName name="sample_svc_iom_vcf_password">'Active Directory Inputs'!$F$27</definedName>
    <definedName name="sample_svc_iom_vcf_user">'Active Directory Inputs'!$D$27</definedName>
    <definedName name="sample_svc_iom_vsphere_password">'Active Directory Inputs'!$F$28</definedName>
    <definedName name="sample_svc_iom_vsphere_user">'Active Directory Inputs'!$D$28</definedName>
    <definedName name="sample_svc_my_vmware_password">#REF!</definedName>
    <definedName name="sample_svc_vcf_bck_password">#REF!</definedName>
    <definedName name="sample_svc_vcf_bck_user">#REF!</definedName>
    <definedName name="sample_svc_vcf_ca_vcf_password">#REF!</definedName>
    <definedName name="sample_svc_vcf_ca_vcf_user">#REF!</definedName>
    <definedName name="sample_svc_vra_nsx_password">'Active Directory Inputs'!$F$38</definedName>
    <definedName name="sample_svc_vra_nsx_user">'Active Directory Inputs'!$D$38</definedName>
    <definedName name="sample_svc_vra_vcf_password">'Active Directory Inputs'!$F$39</definedName>
    <definedName name="sample_svc_vra_vcf_user">'Active Directory Inputs'!$D$39</definedName>
    <definedName name="sample_svc_vra_vrops_password">'Active Directory Inputs'!$F$41</definedName>
    <definedName name="sample_svc_vra_vrops_user">'Active Directory Inputs'!$D$41</definedName>
    <definedName name="sample_svc_vra_vsphere_password">'Active Directory Inputs'!$F$37</definedName>
    <definedName name="sample_svc_vra_vsphere_user">'Active Directory Inputs'!$D$37</definedName>
    <definedName name="sample_svc_vro_vsphere_password">'Active Directory Inputs'!$F$40</definedName>
    <definedName name="sample_svc_vro_vsphere_user">'Active Directory Inputs'!$D$40</definedName>
    <definedName name="sample_svc_vrops_vra_password">'Active Directory Inputs'!$F$29</definedName>
    <definedName name="sample_svc_vrops_vra_user">'Active Directory Inputs'!$D$29</definedName>
    <definedName name="sample_vcenter_root_password">#REF!</definedName>
    <definedName name="sample_vcf_automation_additional_vips">Arkham!$X$56</definedName>
    <definedName name="sample_vcf_automation_admin_password">#REF!</definedName>
    <definedName name="sample_vcf_automation_admin_password_alias">Arkham!$X$41</definedName>
    <definedName name="sample_vcf_automation_admin_password_description">Arkham!$X$42</definedName>
    <definedName name="sample_vcf_automation_admin_username">Arkham!$X$43</definedName>
    <definedName name="sample_vcf_automation_cert_alias">Arkham!$X$15</definedName>
    <definedName name="sample_vcf_automation_cert_common_name">Arkham!$X$17</definedName>
    <definedName name="sample_vcf_automation_cert_country_code">Arkham!$X$20</definedName>
    <definedName name="sample_vcf_automation_cert_file">Arkham!$X$16</definedName>
    <definedName name="sample_vcf_automation_cert_locality">Arkham!$X$21</definedName>
    <definedName name="sample_vcf_automation_cert_organisation">Arkham!$X$18</definedName>
    <definedName name="sample_vcf_automation_cert_state">Arkham!$X$22</definedName>
    <definedName name="sample_vcf_automation_folder">Arkham!$X$28</definedName>
    <definedName name="sample_vcf_automation_gateway_ip">Arkham!$X$38</definedName>
    <definedName name="sample_vcf_automation_mask">Arkham!$X$39</definedName>
    <definedName name="sample_vcf_automation_nodea_ip">Arkham!$X$57</definedName>
    <definedName name="sample_vcf_automation_nodeb_ip">Arkham!$X$58</definedName>
    <definedName name="sample_vcf_automation_nodec_ip">Arkham!$X$59</definedName>
    <definedName name="sample_vcf_automation_noded_ip">Arkham!$X$60</definedName>
    <definedName name="sample_vcf_automation_nodee_ip">Arkham!$X$61</definedName>
    <definedName name="sample_vcf_automation_nodeef_ip">Arkham!$X$62</definedName>
    <definedName name="sample_vcf_automation_ou_cert">Arkham!$X$19</definedName>
    <definedName name="sample_vcf_automation_portgroup">Arkham!$X$30</definedName>
    <definedName name="sample_vcf_automation_resource_pool">Arkham!$X$29</definedName>
    <definedName name="sample_vcf_automation_root_password">Arkham!$X$45</definedName>
    <definedName name="sample_vcf_automation_root_password_alias">Arkham!$X$44</definedName>
    <definedName name="sample_vcf_automation_root_password_description">Arkham!$X$46</definedName>
    <definedName name="sample_vcf_automation_root_username">Arkham!$X$47</definedName>
    <definedName name="sample_vcf_automation_runtime_cidr">#REF!</definedName>
    <definedName name="sample_vcf_automation_sr_fqdn">#REF!</definedName>
    <definedName name="sample_vcf_automation_sr_ip">#REF!</definedName>
    <definedName name="sample_vcf_automation_version">#REF!</definedName>
    <definedName name="sample_vcf_automation_vip_fqdn">#REF!</definedName>
    <definedName name="sample_vcf_automation_vip_ip">#REF!</definedName>
    <definedName name="sample_vcf_installer_fqdn">'Value Reference Tables'!$C$8</definedName>
    <definedName name="sample_vcf_installer_ip">#REF!</definedName>
    <definedName name="sample_vcf_instance_name">#REF!</definedName>
    <definedName name="sample_vrslcm_admin_password">#REF!</definedName>
    <definedName name="sample_vrslcm_xreg_vm_folder">'Dumping Ground'!$C$98</definedName>
    <definedName name="sample_vvs_dr_dns1_ip">'Site Protection &amp; DR'!$C$69</definedName>
    <definedName name="sample_vvs_dr_dns2_ip">'Site Protection &amp; DR'!$C$70</definedName>
    <definedName name="sample_vvs_dr_flt_auto_fqdn">'Site Protection &amp; DR'!$C$67</definedName>
    <definedName name="sample_vvs_dr_flt_fleet_manager_fqdn">'Site Protection &amp; DR'!$C$13</definedName>
    <definedName name="sample_vvs_dr_flt_fleet_manager_hostname">'Site Protection &amp; DR'!$C$248</definedName>
    <definedName name="sample_vvs_dr_flt_logs_nodea_fqdn">'Site Protection &amp; DR'!$C$35</definedName>
    <definedName name="sample_vvs_dr_flt_logs_nodeb_fqdn">'Site Protection &amp; DR'!$C$36</definedName>
    <definedName name="sample_vvs_dr_flt_logs_nodec_fqdn">'Site Protection &amp; DR'!$C$37</definedName>
    <definedName name="sample_vvs_dr_flt_net_nodea_fqdn">'Site Protection &amp; DR'!$C$38</definedName>
    <definedName name="sample_vvs_dr_flt_net_nodeb_fqdn">'Site Protection &amp; DR'!$C$39</definedName>
    <definedName name="sample_vvs_dr_flt_net_nodec_fqdn">'Site Protection &amp; DR'!$C$40</definedName>
    <definedName name="sample_vvs_dr_flt_ops_nodea_fqdn">'Site Protection &amp; DR'!$C$21</definedName>
    <definedName name="sample_vvs_dr_flt_ops_nodea_hostname">'Site Protection &amp; DR'!$C$249</definedName>
    <definedName name="sample_vvs_dr_flt_ops_nodeb_fqdn">'Site Protection &amp; DR'!$C$33</definedName>
    <definedName name="sample_vvs_dr_flt_ops_nodeb_hostname">'Site Protection &amp; DR'!$C$250</definedName>
    <definedName name="sample_vvs_dr_flt_ops_nodec_fqdn">'Site Protection &amp; DR'!$C$34</definedName>
    <definedName name="sample_vvs_dr_flt_ops_nodec_hostname">'Site Protection &amp; DR'!$C$251</definedName>
    <definedName name="sample_vvs_dr_mgmt_az1_mgmt_vm_pg">'Site Protection &amp; DR'!$C$104</definedName>
    <definedName name="sample_vvs_dr_mgmt_cl01_cluster">'Site Protection &amp; DR'!$C$100</definedName>
    <definedName name="sample_vvs_dr_mgmt_cl01_datastore">'Site Protection &amp; DR'!$C$103</definedName>
    <definedName name="sample_vvs_dr_mgmt_vc_fqdn">'Site Protection &amp; DR'!$C$99</definedName>
    <definedName name="sample_vvs_dr_ntp1_server">'Site Protection &amp; DR'!$C$23</definedName>
    <definedName name="sample_vvs_dr_parent_dns_zone">'Site Protection &amp; DR'!$C$17</definedName>
    <definedName name="sample_vvs_dr_sso_domain">'Site Protection &amp; DR'!$C$133</definedName>
    <definedName name="sample_vvs_dr_vr_password">'Site Protection &amp; DR'!$C$135</definedName>
    <definedName name="sample_vvs_dr_vr_username">'Site Protection &amp; DR'!$C$134</definedName>
    <definedName name="sample_vvs_mgmt_dr_vlr_fqdn">'Site Protection &amp; DR'!$C$105</definedName>
    <definedName name="sample_vvs_mgmt_dr_vlr_hostname">'Site Protection &amp; DR'!$C$101</definedName>
    <definedName name="sample_witness_dns_zone">Arkham!$B$12</definedName>
    <definedName name="sample_wld_administrator_vsphere_local_password">#REF!</definedName>
    <definedName name="sample_wld_avilb_cluster_name">#REF!</definedName>
    <definedName name="sample_wld_avilb_cluster_version">#REF!</definedName>
    <definedName name="sample_wld_avilb_fqdn">#REF!</definedName>
    <definedName name="sample_wld_avilb_ip">#REF!</definedName>
    <definedName name="sample_wld_avilb_mgra_ip">#REF!</definedName>
    <definedName name="sample_wld_avilb_mgrb_ip">#REF!</definedName>
    <definedName name="sample_wld_avilb_mgrc_ip">#REF!</definedName>
    <definedName name="sample_wld_az1_dtgw_gateway_cidr">#REF!</definedName>
    <definedName name="sample_wld_az1_dtgw_vlan">#REF!</definedName>
    <definedName name="sample_wld_az1_edge_overlay_cidr">#REF!</definedName>
    <definedName name="sample_wld_az1_edge_overlay_gateway_ip">#REF!</definedName>
    <definedName name="sample_wld_az1_edge_overlay_mask">#REF!</definedName>
    <definedName name="sample_wld_az1_edge_overlay_network_pool_name">#REF!</definedName>
    <definedName name="sample_wld_az1_edge_overlay_pool_end_ip">#REF!</definedName>
    <definedName name="sample_wld_az1_edge_overlay_pool_start_ip">#REF!</definedName>
    <definedName name="sample_wld_az1_edge_overlay_vlan">#REF!</definedName>
    <definedName name="sample_wld_az1_en1_edge_overlay_interface_ip_1_ip">#REF!</definedName>
    <definedName name="sample_wld_az1_en1_edge_overlay_interface_ip_2_ip">#REF!</definedName>
    <definedName name="sample_wld_az1_en1_eth0_uplink0">#REF!</definedName>
    <definedName name="sample_wld_az1_en1_eth0_uplink1">#REF!</definedName>
    <definedName name="sample_wld_az1_en1_eth1_uplink0">#REF!</definedName>
    <definedName name="sample_wld_az1_en1_eth1_uplink1">#REF!</definedName>
    <definedName name="sample_wld_az1_en1_fqdn">#REF!</definedName>
    <definedName name="sample_wld_az1_en1_hostname">#REF!</definedName>
    <definedName name="sample_wld_az1_en1_mgmt_cidr">#REF!</definedName>
    <definedName name="sample_wld_az1_en1_uplink01_interface_cidr">#REF!</definedName>
    <definedName name="sample_wld_az1_en1_uplink02_interface_cidr">#REF!</definedName>
    <definedName name="sample_wld_az1_en2_edge_overlay_interface_ip_1_ip">#REF!</definedName>
    <definedName name="sample_wld_az1_en2_edge_overlay_interface_ip_2_ip">#REF!</definedName>
    <definedName name="sample_wld_az1_en2_eth0_uplink0">#REF!</definedName>
    <definedName name="sample_wld_az1_en2_eth0_uplink1">#REF!</definedName>
    <definedName name="sample_wld_az1_en2_eth1_uplink0">#REF!</definedName>
    <definedName name="sample_wld_az1_en2_eth1_uplink1">#REF!</definedName>
    <definedName name="sample_wld_az1_en2_fqdn">#REF!</definedName>
    <definedName name="sample_wld_az1_en2_hostname">#REF!</definedName>
    <definedName name="sample_wld_az1_en2_mgmt_cidr">#REF!</definedName>
    <definedName name="sample_wld_az1_en2_uplink01_interface_cidr">#REF!</definedName>
    <definedName name="sample_wld_az1_en2_uplink02_interface_cidr">#REF!</definedName>
    <definedName name="sample_wld_az1_host_fqdns">#REF!</definedName>
    <definedName name="sample_wld_az1_host_mgmt_ips">#REF!</definedName>
    <definedName name="sample_wld_az1_host_overlay_cidr">#REF!</definedName>
    <definedName name="sample_wld_az1_host_overlay_gateway_ip">#REF!</definedName>
    <definedName name="sample_wld_az1_host_overlay_mtu">#REF!</definedName>
    <definedName name="sample_wld_az1_host_overlay_network_pool_description">#REF!</definedName>
    <definedName name="sample_wld_az1_host_overlay_network_pool_name">#REF!</definedName>
    <definedName name="sample_wld_az1_host_overlay_pool_end_ip">#REF!</definedName>
    <definedName name="sample_wld_az1_host_overlay_pool_start_ip">#REF!</definedName>
    <definedName name="sample_wld_az1_host_overlay_uplink_profile_name">#REF!</definedName>
    <definedName name="sample_wld_az1_host_overlay_vlan">#REF!</definedName>
    <definedName name="sample_wld_az1_host1_fqdn">#REF!</definedName>
    <definedName name="sample_wld_az1_host1_mgmt_ip">#REF!</definedName>
    <definedName name="sample_wld_az1_host1_vrms_ip">'Dumping Ground'!$C$293</definedName>
    <definedName name="sample_wld_az1_host10_fqdn">#REF!</definedName>
    <definedName name="sample_wld_az1_host10_mgmt_ip">#REF!</definedName>
    <definedName name="sample_wld_az1_host10_vrms_ip">'Dumping Ground'!$C$302</definedName>
    <definedName name="sample_wld_az1_host11_fqdn">#REF!</definedName>
    <definedName name="sample_wld_az1_host11_mgmt_ip">#REF!</definedName>
    <definedName name="sample_wld_az1_host11_vrms_ip">'Dumping Ground'!$C$303</definedName>
    <definedName name="sample_wld_az1_host12_fqdn">#REF!</definedName>
    <definedName name="sample_wld_az1_host12_mgmt_ip">#REF!</definedName>
    <definedName name="sample_wld_az1_host12_vrms_ip">'Dumping Ground'!$C$304</definedName>
    <definedName name="sample_wld_az1_host13_fqdn">#REF!</definedName>
    <definedName name="sample_wld_az1_host13_mgmt_ip">#REF!</definedName>
    <definedName name="sample_wld_az1_host13_vrms_ip">'Dumping Ground'!$C$305</definedName>
    <definedName name="sample_wld_az1_host14_fqdn">#REF!</definedName>
    <definedName name="sample_wld_az1_host14_mgmt_ip">#REF!</definedName>
    <definedName name="sample_wld_az1_host14_vrms_ip">'Dumping Ground'!$C$306</definedName>
    <definedName name="sample_wld_az1_host15_fqdn">#REF!</definedName>
    <definedName name="sample_wld_az1_host15_mgmt_ip">#REF!</definedName>
    <definedName name="sample_wld_az1_host15_vrms_ip">'Dumping Ground'!$C$307</definedName>
    <definedName name="sample_wld_az1_host16_fqdn">#REF!</definedName>
    <definedName name="sample_wld_az1_host16_mgmt_ip">#REF!</definedName>
    <definedName name="sample_wld_az1_host16_vrms_ip">'Dumping Ground'!$C$308</definedName>
    <definedName name="sample_wld_az1_host2_fqdn">#REF!</definedName>
    <definedName name="sample_wld_az1_host2_mgmt_ip">#REF!</definedName>
    <definedName name="sample_wld_az1_host2_vrms_ip">'Dumping Ground'!$C$294</definedName>
    <definedName name="sample_wld_az1_host3_fqdn">#REF!</definedName>
    <definedName name="sample_wld_az1_host3_mgmt_ip">#REF!</definedName>
    <definedName name="sample_wld_az1_host3_vrms_ip">'Dumping Ground'!$C$295</definedName>
    <definedName name="sample_wld_az1_host4_fqdn">#REF!</definedName>
    <definedName name="sample_wld_az1_host4_mgmt_ip">#REF!</definedName>
    <definedName name="sample_wld_az1_host4_vrms_ip">'Dumping Ground'!$C$296</definedName>
    <definedName name="sample_wld_az1_host5_fqdn">#REF!</definedName>
    <definedName name="sample_wld_az1_host5_mgmt_ip">#REF!</definedName>
    <definedName name="sample_wld_az1_host5_vrms_ip">'Dumping Ground'!$C$297</definedName>
    <definedName name="sample_wld_az1_host6_fqdn">#REF!</definedName>
    <definedName name="sample_wld_az1_host6_mgmt_ip">#REF!</definedName>
    <definedName name="sample_wld_az1_host6_vrms_ip">'Dumping Ground'!$C$298</definedName>
    <definedName name="sample_wld_az1_host7_fqdn">#REF!</definedName>
    <definedName name="sample_wld_az1_host7_mgmt_ip">#REF!</definedName>
    <definedName name="sample_wld_az1_host7_vrms_ip">'Dumping Ground'!$C$299</definedName>
    <definedName name="sample_wld_az1_host8_fqdn">#REF!</definedName>
    <definedName name="sample_wld_az1_host8_mgmt_ip">#REF!</definedName>
    <definedName name="sample_wld_az1_host8_vrms_ip">'Dumping Ground'!$C$300</definedName>
    <definedName name="sample_wld_az1_host9_fqdn">#REF!</definedName>
    <definedName name="sample_wld_az1_host9_mgmt_ip">#REF!</definedName>
    <definedName name="sample_wld_az1_host9_vrms_ip">'Dumping Ground'!$C$301</definedName>
    <definedName name="sample_wld_az1_mgmt_gateway_cidr">#REF!</definedName>
    <definedName name="sample_wld_az1_mgmt_mtu">#REF!</definedName>
    <definedName name="sample_wld_az1_mgmt_vlan">#REF!</definedName>
    <definedName name="sample_wld_az1_mgmt_vm_gateway_cidr">#REF!</definedName>
    <definedName name="sample_wld_az1_mgmt_vm_mtu">#REF!</definedName>
    <definedName name="sample_wld_az1_mgmt_vm_vlan">#REF!</definedName>
    <definedName name="sample_wld_az1_pool_name">#REF!</definedName>
    <definedName name="sample_wld_az1_principal_storage_gateway_cidr">#REF!</definedName>
    <definedName name="sample_wld_az1_principal_storage_mtu">#REF!</definedName>
    <definedName name="sample_wld_az1_principal_storage_pool_end_ip">#REF!</definedName>
    <definedName name="sample_wld_az1_principal_storage_pool_start_ip">#REF!</definedName>
    <definedName name="sample_wld_az1_principal_storage_vlan">#REF!</definedName>
    <definedName name="sample_wld_az1_rack1_host_overlay_network_profile_name">#REF!</definedName>
    <definedName name="sample_wld_az1_rack2_edge_overlay_gateway_ip">Arkham!$B$64</definedName>
    <definedName name="sample_wld_az1_rack2_edge_overlay_mask">Arkham!$B$67</definedName>
    <definedName name="sample_wld_az1_rack2_edge_overlay_mtu">Arkham!$B$70</definedName>
    <definedName name="sample_wld_az1_rack2_edge_overlay_network">Arkham!$B$61</definedName>
    <definedName name="sample_wld_az1_rack2_edge_overlay_network_pool_name">#REF!</definedName>
    <definedName name="sample_wld_az1_rack2_edge_overlay_pool_end_ip">Arkham!$B$72</definedName>
    <definedName name="sample_wld_az1_rack2_edge_overlay_pool_start_ip">Arkham!$B$71</definedName>
    <definedName name="sample_wld_az1_rack2_edge_overlay_vlan">Arkham!$B$58</definedName>
    <definedName name="sample_wld_az1_rack2_host_hostnames">#REF!</definedName>
    <definedName name="sample_wld_az1_rack2_host_mgmt_ips">#REF!</definedName>
    <definedName name="sample_wld_az1_rack2_host_overlay_cidr">Arkham!$B$23</definedName>
    <definedName name="sample_wld_az1_rack2_host_overlay_gateway_ip">#REF!</definedName>
    <definedName name="sample_wld_az1_rack2_host_overlay_mask">#REF!</definedName>
    <definedName name="sample_wld_az1_rack2_host_overlay_mtu">#REF!</definedName>
    <definedName name="sample_wld_az1_rack2_host_overlay_network">#REF!</definedName>
    <definedName name="sample_wld_az1_rack2_host_overlay_network_pool_name">#REF!</definedName>
    <definedName name="sample_wld_az1_rack2_host_overlay_network_profile_name">#REF!</definedName>
    <definedName name="sample_wld_az1_rack2_host_overlay_pool_end_ip">#REF!</definedName>
    <definedName name="sample_wld_az1_rack2_host_overlay_pool_start_ip">#REF!</definedName>
    <definedName name="sample_wld_az1_rack2_host_overlay_uplink_profile_name">#REF!</definedName>
    <definedName name="sample_wld_az1_rack2_host_overlay_vlan">#REF!</definedName>
    <definedName name="sample_wld_az1_rack2_host1_fqdn">#REF!</definedName>
    <definedName name="sample_wld_az1_rack2_host1_mgmt_ip">#REF!</definedName>
    <definedName name="sample_wld_az1_rack2_host10_fqdn">#REF!</definedName>
    <definedName name="sample_wld_az1_rack2_host10_mgmt_ip">#REF!</definedName>
    <definedName name="sample_wld_az1_rack2_host11_fqdn">#REF!</definedName>
    <definedName name="sample_wld_az1_rack2_host11_mgmt_ip">#REF!</definedName>
    <definedName name="sample_wld_az1_rack2_host12_fqdn">#REF!</definedName>
    <definedName name="sample_wld_az1_rack2_host12_mgmt_ip">#REF!</definedName>
    <definedName name="sample_wld_az1_rack2_host13_fqdn">#REF!</definedName>
    <definedName name="sample_wld_az1_rack2_host13_mgmt_ip">#REF!</definedName>
    <definedName name="sample_wld_az1_rack2_host14_fqdn">#REF!</definedName>
    <definedName name="sample_wld_az1_rack2_host14_mgmt_ip">#REF!</definedName>
    <definedName name="sample_wld_az1_rack2_host15_fqdn">#REF!</definedName>
    <definedName name="sample_wld_az1_rack2_host15_mgmt_ip">#REF!</definedName>
    <definedName name="sample_wld_az1_rack2_host16_fqdn">#REF!</definedName>
    <definedName name="sample_wld_az1_rack2_host16_mgmt_ip">#REF!</definedName>
    <definedName name="sample_wld_az1_rack2_host2_fqdn">#REF!</definedName>
    <definedName name="sample_wld_az1_rack2_host2_mgmt_ip">#REF!</definedName>
    <definedName name="sample_wld_az1_rack2_host3_fqdn">#REF!</definedName>
    <definedName name="sample_wld_az1_rack2_host3_mgmt_ip">#REF!</definedName>
    <definedName name="sample_wld_az1_rack2_host4_fqdn">#REF!</definedName>
    <definedName name="sample_wld_az1_rack2_host4_mgmt_ip">#REF!</definedName>
    <definedName name="sample_wld_az1_rack2_host5_fqdn">#REF!</definedName>
    <definedName name="sample_wld_az1_rack2_host5_mgmt_ip">#REF!</definedName>
    <definedName name="sample_wld_az1_rack2_host6_fqdn">#REF!</definedName>
    <definedName name="sample_wld_az1_rack2_host6_mgmt_ip">#REF!</definedName>
    <definedName name="sample_wld_az1_rack2_host7_fqdn">#REF!</definedName>
    <definedName name="sample_wld_az1_rack2_host7_mgmt_ip">#REF!</definedName>
    <definedName name="sample_wld_az1_rack2_host8_fqdn">#REF!</definedName>
    <definedName name="sample_wld_az1_rack2_host8_mgmt_ip">#REF!</definedName>
    <definedName name="sample_wld_az1_rack2_host9_fqdn">#REF!</definedName>
    <definedName name="sample_wld_az1_rack2_host9_mgmt_ip">#REF!</definedName>
    <definedName name="sample_wld_az1_rack2_mgmt_cidr">#REF!</definedName>
    <definedName name="sample_wld_az1_rack2_mgmt_gateway_ip">#REF!</definedName>
    <definedName name="sample_wld_az1_rack2_mgmt_mtu">#REF!</definedName>
    <definedName name="sample_wld_az1_rack2_mgmt_vlan">#REF!</definedName>
    <definedName name="sample_wld_az1_rack2_mgmt_vm_cidr">'Value Reference Tables - MR'!$M$270</definedName>
    <definedName name="sample_wld_az1_rack2_mgmt_vm_gateway_ip">'Value Reference Tables - MR'!$O$275</definedName>
    <definedName name="sample_wld_az1_rack2_mgmt_vm_mtu">'Value Reference Tables - MR'!$Q$275</definedName>
    <definedName name="sample_wld_az1_rack2_mgmt_vm_vlan">'Value Reference Tables - MR'!$K$275</definedName>
    <definedName name="sample_wld_az1_rack2_pool_name">#REF!</definedName>
    <definedName name="sample_wld_az1_rack2_principal_storage_cidr">Arkham!$B$21</definedName>
    <definedName name="sample_wld_az1_rack2_principal_storage_gateway_ip">#REF!</definedName>
    <definedName name="sample_wld_az1_rack2_principal_storage_mask">#REF!</definedName>
    <definedName name="sample_wld_az1_rack2_principal_storage_mtu">#REF!</definedName>
    <definedName name="sample_wld_az1_rack2_principal_storage_network">#REF!</definedName>
    <definedName name="sample_wld_az1_rack2_principal_storage_pool_end_ip">#REF!</definedName>
    <definedName name="sample_wld_az1_rack2_principal_storage_pool_start_ip">#REF!</definedName>
    <definedName name="sample_wld_az1_rack2_principal_storage_vlan">#REF!</definedName>
    <definedName name="sample_wld_az1_rack2_rtep_ip_pool_name">#REF!</definedName>
    <definedName name="sample_wld_az1_rack2_secondary_storage_cidr">Arkham!$B$22</definedName>
    <definedName name="sample_wld_az1_rack2_secondary_storage_gateway_ip">'Dumping Ground'!$C$512</definedName>
    <definedName name="sample_wld_az1_rack2_secondary_storage_mask">'Dumping Ground'!$C$511</definedName>
    <definedName name="sample_wld_az1_rack2_secondary_storage_mtu">'Dumping Ground'!$C$509</definedName>
    <definedName name="sample_wld_az1_rack2_secondary_storage_network">'Dumping Ground'!$C$510</definedName>
    <definedName name="sample_wld_az1_rack2_secondary_storage_pool_end_ip">'Dumping Ground'!$C$514</definedName>
    <definedName name="sample_wld_az1_rack2_secondary_storage_pool_start_ip">'Dumping Ground'!$C$513</definedName>
    <definedName name="sample_wld_az1_rack2_secondary_storage_vlan">'Dumping Ground'!$C$508</definedName>
    <definedName name="sample_wld_az1_rack2_tor1_peer_asn">Arkham!$B$75</definedName>
    <definedName name="sample_wld_az1_rack2_tor1_peer_bgp_password">Arkham!$B$76</definedName>
    <definedName name="sample_wld_az1_rack2_tor1_peer_ip">Arkham!$B$74</definedName>
    <definedName name="sample_wld_az1_rack2_tor2_peer_asn">Arkham!$B$78</definedName>
    <definedName name="sample_wld_az1_rack2_tor2_peer_bgp_password">Arkham!$B$79</definedName>
    <definedName name="sample_wld_az1_rack2_tor2_peer_ip">Arkham!$B$77</definedName>
    <definedName name="sample_wld_az1_rack2_uplink01_gateway_ip">Arkham!$B$62</definedName>
    <definedName name="sample_wld_az1_rack2_uplink01_mask">Arkham!$B$65</definedName>
    <definedName name="sample_wld_az1_rack2_uplink01_mtu">Arkham!$B$68</definedName>
    <definedName name="sample_wld_az1_rack2_uplink01_network">Arkham!$B$59</definedName>
    <definedName name="sample_wld_az1_rack2_uplink01_vlan">Arkham!$B$56</definedName>
    <definedName name="sample_wld_az1_rack2_uplink02_gateway_ip">Arkham!$B$63</definedName>
    <definedName name="sample_wld_az1_rack2_uplink02_mask">Arkham!$B$66</definedName>
    <definedName name="sample_wld_az1_rack2_uplink02_mtu">Arkham!$B$69</definedName>
    <definedName name="sample_wld_az1_rack2_uplink02_network">Arkham!$B$60</definedName>
    <definedName name="sample_wld_az1_rack2_uplink02_vlan">Arkham!$B$57</definedName>
    <definedName name="sample_wld_az1_rack2_vmotion_cidr">Arkham!$B$20</definedName>
    <definedName name="sample_wld_az1_rack2_vmotion_gateway_ip">#REF!</definedName>
    <definedName name="sample_wld_az1_rack2_vmotion_mask">#REF!</definedName>
    <definedName name="sample_wld_az1_rack2_vmotion_mtu">#REF!</definedName>
    <definedName name="sample_wld_az1_rack2_vmotion_network">#REF!</definedName>
    <definedName name="sample_wld_az1_rack2_vmotion_pool_end_ip">#REF!</definedName>
    <definedName name="sample_wld_az1_rack2_vmotion_pool_start_ip">#REF!</definedName>
    <definedName name="sample_wld_az1_rack2_vmotion_vlan">#REF!</definedName>
    <definedName name="sample_wld_az1_rack2_vsan_fault_domain">#REF!</definedName>
    <definedName name="sample_wld_az1_rack3_edge_overlay_gateway_ip">Arkham!$E$64</definedName>
    <definedName name="sample_wld_az1_rack3_edge_overlay_mask">Arkham!$E$67</definedName>
    <definedName name="sample_wld_az1_rack3_edge_overlay_mtu">Arkham!$E$70</definedName>
    <definedName name="sample_wld_az1_rack3_edge_overlay_network">Arkham!$E$61</definedName>
    <definedName name="sample_wld_az1_rack3_edge_overlay_network_pool_name">#REF!</definedName>
    <definedName name="sample_wld_az1_rack3_edge_overlay_pool_end_ip">Arkham!$E$72</definedName>
    <definedName name="sample_wld_az1_rack3_edge_overlay_pool_start_ip">Arkham!$E$71</definedName>
    <definedName name="sample_wld_az1_rack3_edge_overlay_vlan">Arkham!$E$58</definedName>
    <definedName name="sample_wld_az1_rack3_host_hostnames">#REF!</definedName>
    <definedName name="sample_wld_az1_rack3_host_mgmt_ips">#REF!</definedName>
    <definedName name="sample_wld_az1_rack3_host_overlay_cidr">Arkham!$B$27</definedName>
    <definedName name="sample_wld_az1_rack3_host_overlay_gateway_ip">#REF!</definedName>
    <definedName name="sample_wld_az1_rack3_host_overlay_mask">#REF!</definedName>
    <definedName name="sample_wld_az1_rack3_host_overlay_mtu">#REF!</definedName>
    <definedName name="sample_wld_az1_rack3_host_overlay_network">#REF!</definedName>
    <definedName name="sample_wld_az1_rack3_host_overlay_network_pool_name">#REF!</definedName>
    <definedName name="sample_wld_az1_rack3_host_overlay_network_profile_name">#REF!</definedName>
    <definedName name="sample_wld_az1_rack3_host_overlay_pool_end_ip">#REF!</definedName>
    <definedName name="sample_wld_az1_rack3_host_overlay_pool_start_ip">#REF!</definedName>
    <definedName name="sample_wld_az1_rack3_host_overlay_uplink_profile_name">#REF!</definedName>
    <definedName name="sample_wld_az1_rack3_host_overlay_vlan">#REF!</definedName>
    <definedName name="sample_wld_az1_rack3_host1_fqdn">#REF!</definedName>
    <definedName name="sample_wld_az1_rack3_host1_mgmt_ip">#REF!</definedName>
    <definedName name="sample_wld_az1_rack3_host10_fqdn">#REF!</definedName>
    <definedName name="sample_wld_az1_rack3_host10_mgmt_ip">#REF!</definedName>
    <definedName name="sample_wld_az1_rack3_host11_fqdn">#REF!</definedName>
    <definedName name="sample_wld_az1_rack3_host11_mgmt_ip">#REF!</definedName>
    <definedName name="sample_wld_az1_rack3_host12_fqdn">#REF!</definedName>
    <definedName name="sample_wld_az1_rack3_host12_mgmt_ip">#REF!</definedName>
    <definedName name="sample_wld_az1_rack3_host13_fqdn">#REF!</definedName>
    <definedName name="sample_wld_az1_rack3_host13_mgmt_ip">#REF!</definedName>
    <definedName name="sample_wld_az1_rack3_host14_fqdn">#REF!</definedName>
    <definedName name="sample_wld_az1_rack3_host14_mgmt_ip">#REF!</definedName>
    <definedName name="sample_wld_az1_rack3_host15_fqdn">#REF!</definedName>
    <definedName name="sample_wld_az1_rack3_host15_mgmt_ip">#REF!</definedName>
    <definedName name="sample_wld_az1_rack3_host16_fqdn">#REF!</definedName>
    <definedName name="sample_wld_az1_rack3_host16_mgmt_ip">#REF!</definedName>
    <definedName name="sample_wld_az1_rack3_host2_fqdn">#REF!</definedName>
    <definedName name="sample_wld_az1_rack3_host2_mgmt_ip">#REF!</definedName>
    <definedName name="sample_wld_az1_rack3_host3_fqdn">#REF!</definedName>
    <definedName name="sample_wld_az1_rack3_host3_mgmt_ip">#REF!</definedName>
    <definedName name="sample_wld_az1_rack3_host4_fqdn">#REF!</definedName>
    <definedName name="sample_wld_az1_rack3_host4_mgmt_ip">#REF!</definedName>
    <definedName name="sample_wld_az1_rack3_host5_fqdn">#REF!</definedName>
    <definedName name="sample_wld_az1_rack3_host5_mgmt_ip">#REF!</definedName>
    <definedName name="sample_wld_az1_rack3_host6_fqdn">#REF!</definedName>
    <definedName name="sample_wld_az1_rack3_host6_mgmt_ip">#REF!</definedName>
    <definedName name="sample_wld_az1_rack3_host7_fqdn">#REF!</definedName>
    <definedName name="sample_wld_az1_rack3_host7_mgmt_ip">#REF!</definedName>
    <definedName name="sample_wld_az1_rack3_host8_fqdn">#REF!</definedName>
    <definedName name="sample_wld_az1_rack3_host8_mgmt_ip">#REF!</definedName>
    <definedName name="sample_wld_az1_rack3_host9_fqdn">#REF!</definedName>
    <definedName name="sample_wld_az1_rack3_host9_mgmt_ip">#REF!</definedName>
    <definedName name="sample_wld_az1_rack3_mgmt_cidr">#REF!</definedName>
    <definedName name="sample_wld_az1_rack3_mgmt_gateway_ip">#REF!</definedName>
    <definedName name="sample_wld_az1_rack3_mgmt_mtu">#REF!</definedName>
    <definedName name="sample_wld_az1_rack3_mgmt_vlan">#REF!</definedName>
    <definedName name="sample_wld_az1_rack3_mgmt_vm_cidr">'Value Reference Tables - MR'!$M$271</definedName>
    <definedName name="sample_wld_az1_rack3_mgmt_vm_gateway_ip">'Value Reference Tables - MR'!$O$276</definedName>
    <definedName name="sample_wld_az1_rack3_mgmt_vm_mtu">'Value Reference Tables - MR'!$Q$276</definedName>
    <definedName name="sample_wld_az1_rack3_mgmt_vm_vlan">'Value Reference Tables - MR'!$K$276</definedName>
    <definedName name="sample_wld_az1_rack3_pool_name">#REF!</definedName>
    <definedName name="sample_wld_az1_rack3_principal_storage_cidr">Arkham!$B$25</definedName>
    <definedName name="sample_wld_az1_rack3_principal_storage_gateway_ip">#REF!</definedName>
    <definedName name="sample_wld_az1_rack3_principal_storage_mask">#REF!</definedName>
    <definedName name="sample_wld_az1_rack3_principal_storage_mtu">#REF!</definedName>
    <definedName name="sample_wld_az1_rack3_principal_storage_network">#REF!</definedName>
    <definedName name="sample_wld_az1_rack3_principal_storage_pool_end_ip">#REF!</definedName>
    <definedName name="sample_wld_az1_rack3_principal_storage_pool_start_ip">#REF!</definedName>
    <definedName name="sample_wld_az1_rack3_principal_storage_vlan">#REF!</definedName>
    <definedName name="sample_wld_az1_rack3_rtep_ip_pool_name">#REF!</definedName>
    <definedName name="sample_wld_az1_rack3_secondary_storage_cidr">Arkham!$B$26</definedName>
    <definedName name="sample_wld_az1_rack3_secondary_storage_gateway_ip">'Dumping Ground'!$C$520</definedName>
    <definedName name="sample_wld_az1_rack3_secondary_storage_mask">'Dumping Ground'!$C$519</definedName>
    <definedName name="sample_wld_az1_rack3_secondary_storage_mtu">'Dumping Ground'!$C$517</definedName>
    <definedName name="sample_wld_az1_rack3_secondary_storage_network">'Dumping Ground'!$C$518</definedName>
    <definedName name="sample_wld_az1_rack3_secondary_storage_pool_end_ip">'Dumping Ground'!$C$522</definedName>
    <definedName name="sample_wld_az1_rack3_secondary_storage_pool_start_ip">'Dumping Ground'!$C$521</definedName>
    <definedName name="sample_wld_az1_rack3_secondary_storage_vlan">'Dumping Ground'!$C$516</definedName>
    <definedName name="sample_wld_az1_rack3_tor1_peer_asn">Arkham!$E$75</definedName>
    <definedName name="sample_wld_az1_rack3_tor1_peer_bgp_password">Arkham!$E$76</definedName>
    <definedName name="sample_wld_az1_rack3_tor1_peer_ip">Arkham!$E$74</definedName>
    <definedName name="sample_wld_az1_rack3_tor2_peer_asn">Arkham!$E$78</definedName>
    <definedName name="sample_wld_az1_rack3_tor2_peer_bgp_password">Arkham!$E$79</definedName>
    <definedName name="sample_wld_az1_rack3_tor2_peer_ip">Arkham!$E$77</definedName>
    <definedName name="sample_wld_az1_rack3_uplink01_gateway_ip">Arkham!$E$62</definedName>
    <definedName name="sample_wld_az1_rack3_uplink01_mask">Arkham!$E$65</definedName>
    <definedName name="sample_wld_az1_rack3_uplink01_mtu">Arkham!$E$68</definedName>
    <definedName name="sample_wld_az1_rack3_uplink01_network">Arkham!$E$59</definedName>
    <definedName name="sample_wld_az1_rack3_uplink01_vlan">Arkham!$E$56</definedName>
    <definedName name="sample_wld_az1_rack3_uplink02_gateway_ip">Arkham!$E$63</definedName>
    <definedName name="sample_wld_az1_rack3_uplink02_mask">Arkham!$E$66</definedName>
    <definedName name="sample_wld_az1_rack3_uplink02_mtu">Arkham!$E$69</definedName>
    <definedName name="sample_wld_az1_rack3_uplink02_network">Arkham!$E$60</definedName>
    <definedName name="sample_wld_az1_rack3_uplink02_vlan">Arkham!$E$57</definedName>
    <definedName name="sample_wld_az1_rack3_vmotion_cidr">Arkham!$B$24</definedName>
    <definedName name="sample_wld_az1_rack3_vmotion_gateway_ip">#REF!</definedName>
    <definedName name="sample_wld_az1_rack3_vmotion_mask">#REF!</definedName>
    <definedName name="sample_wld_az1_rack3_vmotion_mtu">#REF!</definedName>
    <definedName name="sample_wld_az1_rack3_vmotion_network">#REF!</definedName>
    <definedName name="sample_wld_az1_rack3_vmotion_pool_end_ip">#REF!</definedName>
    <definedName name="sample_wld_az1_rack3_vmotion_pool_start_ip">#REF!</definedName>
    <definedName name="sample_wld_az1_rack3_vmotion_vlan">#REF!</definedName>
    <definedName name="sample_wld_az1_rack3_vsan_fault_domain">#REF!</definedName>
    <definedName name="sample_wld_az1_rack4_edge_overlay_gateway_ip">Arkham!$H$64</definedName>
    <definedName name="sample_wld_az1_rack4_edge_overlay_mask">Arkham!$H$67</definedName>
    <definedName name="sample_wld_az1_rack4_edge_overlay_mtu">Arkham!$H$70</definedName>
    <definedName name="sample_wld_az1_rack4_edge_overlay_network">Arkham!$H$61</definedName>
    <definedName name="sample_wld_az1_rack4_edge_overlay_network_pool_name">#REF!</definedName>
    <definedName name="sample_wld_az1_rack4_edge_overlay_pool_end_ip">Arkham!$H$72</definedName>
    <definedName name="sample_wld_az1_rack4_edge_overlay_pool_start_ip">Arkham!$H$71</definedName>
    <definedName name="sample_wld_az1_rack4_edge_overlay_vlan">Arkham!$H$58</definedName>
    <definedName name="sample_wld_az1_rack4_host_hostnames">#REF!</definedName>
    <definedName name="sample_wld_az1_rack4_host_mgmt_ips">#REF!</definedName>
    <definedName name="sample_wld_az1_rack4_host_overlay_cidr">Arkham!$B$31</definedName>
    <definedName name="sample_wld_az1_rack4_host_overlay_gateway_ip">#REF!</definedName>
    <definedName name="sample_wld_az1_rack4_host_overlay_mask">#REF!</definedName>
    <definedName name="sample_wld_az1_rack4_host_overlay_mtu">#REF!</definedName>
    <definedName name="sample_wld_az1_rack4_host_overlay_network">#REF!</definedName>
    <definedName name="sample_wld_az1_rack4_host_overlay_network_pool_name">#REF!</definedName>
    <definedName name="sample_wld_az1_rack4_host_overlay_network_profile_name">#REF!</definedName>
    <definedName name="sample_wld_az1_rack4_host_overlay_pool_end_ip">#REF!</definedName>
    <definedName name="sample_wld_az1_rack4_host_overlay_pool_start_ip">#REF!</definedName>
    <definedName name="sample_wld_az1_rack4_host_overlay_uplink_profile_name">#REF!</definedName>
    <definedName name="sample_wld_az1_rack4_host_overlay_vlan">#REF!</definedName>
    <definedName name="sample_wld_az1_rack4_host1_fqdn">#REF!</definedName>
    <definedName name="sample_wld_az1_rack4_host1_mgmt_ip">#REF!</definedName>
    <definedName name="sample_wld_az1_rack4_host10_fqdn">#REF!</definedName>
    <definedName name="sample_wld_az1_rack4_host10_mgmt_ip">#REF!</definedName>
    <definedName name="sample_wld_az1_rack4_host11_fqdn">#REF!</definedName>
    <definedName name="sample_wld_az1_rack4_host11_mgmt_ip">#REF!</definedName>
    <definedName name="sample_wld_az1_rack4_host12_fqdn">#REF!</definedName>
    <definedName name="sample_wld_az1_rack4_host12_mgmt_ip">#REF!</definedName>
    <definedName name="sample_wld_az1_rack4_host13_fqdn">#REF!</definedName>
    <definedName name="sample_wld_az1_rack4_host13_mgmt_ip">#REF!</definedName>
    <definedName name="sample_wld_az1_rack4_host14_fqdn">#REF!</definedName>
    <definedName name="sample_wld_az1_rack4_host14_mgmt_ip">#REF!</definedName>
    <definedName name="sample_wld_az1_rack4_host15_fqdn">#REF!</definedName>
    <definedName name="sample_wld_az1_rack4_host15_mgmt_ip">#REF!</definedName>
    <definedName name="sample_wld_az1_rack4_host16_fqdn">#REF!</definedName>
    <definedName name="sample_wld_az1_rack4_host16_mgmt_ip">#REF!</definedName>
    <definedName name="sample_wld_az1_rack4_host2_fqdn">#REF!</definedName>
    <definedName name="sample_wld_az1_rack4_host2_mgmt_ip">#REF!</definedName>
    <definedName name="sample_wld_az1_rack4_host3_fqdn">#REF!</definedName>
    <definedName name="sample_wld_az1_rack4_host3_mgmt_ip">#REF!</definedName>
    <definedName name="sample_wld_az1_rack4_host4_fqdn">#REF!</definedName>
    <definedName name="sample_wld_az1_rack4_host4_mgmt_ip">#REF!</definedName>
    <definedName name="sample_wld_az1_rack4_host5_fqdn">#REF!</definedName>
    <definedName name="sample_wld_az1_rack4_host5_mgmt_ip">#REF!</definedName>
    <definedName name="sample_wld_az1_rack4_host6_fqdn">#REF!</definedName>
    <definedName name="sample_wld_az1_rack4_host6_mgmt_ip">#REF!</definedName>
    <definedName name="sample_wld_az1_rack4_host7_fqdn">#REF!</definedName>
    <definedName name="sample_wld_az1_rack4_host7_mgmt_ip">#REF!</definedName>
    <definedName name="sample_wld_az1_rack4_host8_fqdn">#REF!</definedName>
    <definedName name="sample_wld_az1_rack4_host8_mgmt_ip">#REF!</definedName>
    <definedName name="sample_wld_az1_rack4_host9_fqdn">#REF!</definedName>
    <definedName name="sample_wld_az1_rack4_host9_mgmt_ip">#REF!</definedName>
    <definedName name="sample_wld_az1_rack4_mgmt_cidr">#REF!</definedName>
    <definedName name="sample_wld_az1_rack4_mgmt_gateway_ip">#REF!</definedName>
    <definedName name="sample_wld_az1_rack4_mgmt_mtu">#REF!</definedName>
    <definedName name="sample_wld_az1_rack4_mgmt_vlan">#REF!</definedName>
    <definedName name="sample_wld_az1_rack4_mgmt_vm_cidr">'Value Reference Tables - MR'!$M$272</definedName>
    <definedName name="sample_wld_az1_rack4_mgmt_vm_gateway_ip">'Value Reference Tables - MR'!$O$277</definedName>
    <definedName name="sample_wld_az1_rack4_mgmt_vm_mtu">'Value Reference Tables - MR'!$Q$277</definedName>
    <definedName name="sample_wld_az1_rack4_mgmt_vm_vlan">'Value Reference Tables - MR'!$K$277</definedName>
    <definedName name="sample_wld_az1_rack4_pool_name">#REF!</definedName>
    <definedName name="sample_wld_az1_rack4_principal_storage_cidr">Arkham!$B$29</definedName>
    <definedName name="sample_wld_az1_rack4_principal_storage_gateway_ip">#REF!</definedName>
    <definedName name="sample_wld_az1_rack4_principal_storage_mask">#REF!</definedName>
    <definedName name="sample_wld_az1_rack4_principal_storage_mtu">#REF!</definedName>
    <definedName name="sample_wld_az1_rack4_principal_storage_network">#REF!</definedName>
    <definedName name="sample_wld_az1_rack4_principal_storage_pool_end_ip">#REF!</definedName>
    <definedName name="sample_wld_az1_rack4_principal_storage_pool_start_ip">#REF!</definedName>
    <definedName name="sample_wld_az1_rack4_principal_storage_vlan">#REF!</definedName>
    <definedName name="sample_wld_az1_rack4_rtep_ip_pool_name">#REF!</definedName>
    <definedName name="sample_wld_az1_rack4_secondary_storage_cidr">Arkham!$B$30</definedName>
    <definedName name="sample_wld_az1_rack4_secondary_storage_gateway_ip">'Dumping Ground'!$C$528</definedName>
    <definedName name="sample_wld_az1_rack4_secondary_storage_mask">'Dumping Ground'!$C$527</definedName>
    <definedName name="sample_wld_az1_rack4_secondary_storage_mtu">'Dumping Ground'!$C$525</definedName>
    <definedName name="sample_wld_az1_rack4_secondary_storage_network">'Dumping Ground'!$C$526</definedName>
    <definedName name="sample_wld_az1_rack4_secondary_storage_pool_end_ip">'Dumping Ground'!$C$530</definedName>
    <definedName name="sample_wld_az1_rack4_secondary_storage_pool_start_ip">'Dumping Ground'!$C$529</definedName>
    <definedName name="sample_wld_az1_rack4_secondary_storage_vlan">'Dumping Ground'!$C$524</definedName>
    <definedName name="sample_wld_az1_rack4_tor1_peer_asn">Arkham!$H$75</definedName>
    <definedName name="sample_wld_az1_rack4_tor1_peer_bgp_password">Arkham!$H$76</definedName>
    <definedName name="sample_wld_az1_rack4_tor1_peer_ip">Arkham!$H$74</definedName>
    <definedName name="sample_wld_az1_rack4_tor2_peer_asn">Arkham!$H$78</definedName>
    <definedName name="sample_wld_az1_rack4_tor2_peer_bgp_password">Arkham!$H$79</definedName>
    <definedName name="sample_wld_az1_rack4_tor2_peer_ip">Arkham!$H$77</definedName>
    <definedName name="sample_wld_az1_rack4_uplink01_gateway_ip">Arkham!$H$62</definedName>
    <definedName name="sample_wld_az1_rack4_uplink01_mask">Arkham!$H$65</definedName>
    <definedName name="sample_wld_az1_rack4_uplink01_mtu">Arkham!$H$68</definedName>
    <definedName name="sample_wld_az1_rack4_uplink01_network">Arkham!$H$59</definedName>
    <definedName name="sample_wld_az1_rack4_uplink01_vlan">Arkham!$H$56</definedName>
    <definedName name="sample_wld_az1_rack4_uplink02_gateway_ip">Arkham!$H$63</definedName>
    <definedName name="sample_wld_az1_rack4_uplink02_mask">Arkham!$H$66</definedName>
    <definedName name="sample_wld_az1_rack4_uplink02_mtu">Arkham!$H$69</definedName>
    <definedName name="sample_wld_az1_rack4_uplink02_network">Arkham!$H$60</definedName>
    <definedName name="sample_wld_az1_rack4_uplink02_vlan">Arkham!$H$57</definedName>
    <definedName name="sample_wld_az1_rack4_vmotion_cidr">Arkham!$B$28</definedName>
    <definedName name="sample_wld_az1_rack4_vmotion_gateway_ip">#REF!</definedName>
    <definedName name="sample_wld_az1_rack4_vmotion_mask">#REF!</definedName>
    <definedName name="sample_wld_az1_rack4_vmotion_mtu">#REF!</definedName>
    <definedName name="sample_wld_az1_rack4_vmotion_network">#REF!</definedName>
    <definedName name="sample_wld_az1_rack4_vmotion_pool_end_ip">#REF!</definedName>
    <definedName name="sample_wld_az1_rack4_vmotion_pool_start_ip">#REF!</definedName>
    <definedName name="sample_wld_az1_rack4_vmotion_vlan">#REF!</definedName>
    <definedName name="sample_wld_az1_rack4_vsan_fault_domain">#REF!</definedName>
    <definedName name="sample_wld_az1_rack5_edge_overlay_gateway_ip">Arkham!$K$64</definedName>
    <definedName name="sample_wld_az1_rack5_edge_overlay_mask">Arkham!$K$67</definedName>
    <definedName name="sample_wld_az1_rack5_edge_overlay_mtu">Arkham!$K$70</definedName>
    <definedName name="sample_wld_az1_rack5_edge_overlay_network">Arkham!$K$61</definedName>
    <definedName name="sample_wld_az1_rack5_edge_overlay_network_pool_name">#REF!</definedName>
    <definedName name="sample_wld_az1_rack5_edge_overlay_pool_end_ip">Arkham!$K$72</definedName>
    <definedName name="sample_wld_az1_rack5_edge_overlay_pool_start_ip">Arkham!$K$71</definedName>
    <definedName name="sample_wld_az1_rack5_edge_overlay_vlan">Arkham!$K$58</definedName>
    <definedName name="sample_wld_az1_rack5_host_hostnames">#REF!</definedName>
    <definedName name="sample_wld_az1_rack5_host_mgmt_ips">#REF!</definedName>
    <definedName name="sample_wld_az1_rack5_host_overlay_cidr">Arkham!$B$35</definedName>
    <definedName name="sample_wld_az1_rack5_host_overlay_gateway_ip">#REF!</definedName>
    <definedName name="sample_wld_az1_rack5_host_overlay_mask">#REF!</definedName>
    <definedName name="sample_wld_az1_rack5_host_overlay_mtu">#REF!</definedName>
    <definedName name="sample_wld_az1_rack5_host_overlay_network">#REF!</definedName>
    <definedName name="sample_wld_az1_rack5_host_overlay_network_pool_name">#REF!</definedName>
    <definedName name="sample_wld_az1_rack5_host_overlay_network_profile_name">#REF!</definedName>
    <definedName name="sample_wld_az1_rack5_host_overlay_pool_end_ip">#REF!</definedName>
    <definedName name="sample_wld_az1_rack5_host_overlay_pool_start_ip">#REF!</definedName>
    <definedName name="sample_wld_az1_rack5_host_overlay_uplink_profile_name">#REF!</definedName>
    <definedName name="sample_wld_az1_rack5_host_overlay_vlan">#REF!</definedName>
    <definedName name="sample_wld_az1_rack5_host1_fqdn">#REF!</definedName>
    <definedName name="sample_wld_az1_rack5_host1_mgmt_ip">#REF!</definedName>
    <definedName name="sample_wld_az1_rack5_host10_fqdn">#REF!</definedName>
    <definedName name="sample_wld_az1_rack5_host10_mgmt_ip">#REF!</definedName>
    <definedName name="sample_wld_az1_rack5_host11_fqdn">#REF!</definedName>
    <definedName name="sample_wld_az1_rack5_host11_mgmt_ip">#REF!</definedName>
    <definedName name="sample_wld_az1_rack5_host12_fqdn">#REF!</definedName>
    <definedName name="sample_wld_az1_rack5_host12_mgmt_ip">#REF!</definedName>
    <definedName name="sample_wld_az1_rack5_host13_fqdn">#REF!</definedName>
    <definedName name="sample_wld_az1_rack5_host13_mgmt_ip">#REF!</definedName>
    <definedName name="sample_wld_az1_rack5_host14_fqdn">#REF!</definedName>
    <definedName name="sample_wld_az1_rack5_host14_mgmt_ip">#REF!</definedName>
    <definedName name="sample_wld_az1_rack5_host15_fqdn">#REF!</definedName>
    <definedName name="sample_wld_az1_rack5_host15_mgmt_ip">#REF!</definedName>
    <definedName name="sample_wld_az1_rack5_host16_fqdn">#REF!</definedName>
    <definedName name="sample_wld_az1_rack5_host16_mgmt_ip">#REF!</definedName>
    <definedName name="sample_wld_az1_rack5_host2_fqdn">#REF!</definedName>
    <definedName name="sample_wld_az1_rack5_host2_mgmt_ip">#REF!</definedName>
    <definedName name="sample_wld_az1_rack5_host3_fqdn">#REF!</definedName>
    <definedName name="sample_wld_az1_rack5_host3_mgmt_ip">#REF!</definedName>
    <definedName name="sample_wld_az1_rack5_host4_fqdn">#REF!</definedName>
    <definedName name="sample_wld_az1_rack5_host4_mgmt_ip">#REF!</definedName>
    <definedName name="sample_wld_az1_rack5_host5_fqdn">#REF!</definedName>
    <definedName name="sample_wld_az1_rack5_host5_mgmt_ip">#REF!</definedName>
    <definedName name="sample_wld_az1_rack5_host6_fqdn">#REF!</definedName>
    <definedName name="sample_wld_az1_rack5_host6_mgmt_ip">#REF!</definedName>
    <definedName name="sample_wld_az1_rack5_host7_fqdn">#REF!</definedName>
    <definedName name="sample_wld_az1_rack5_host7_mgmt_ip">#REF!</definedName>
    <definedName name="sample_wld_az1_rack5_host8_fqdn">#REF!</definedName>
    <definedName name="sample_wld_az1_rack5_host8_mgmt_ip">#REF!</definedName>
    <definedName name="sample_wld_az1_rack5_host9_fqdn">#REF!</definedName>
    <definedName name="sample_wld_az1_rack5_host9_mgmt_ip">#REF!</definedName>
    <definedName name="sample_wld_az1_rack5_mgmt_cidr">#REF!</definedName>
    <definedName name="sample_wld_az1_rack5_mgmt_gateway_ip">#REF!</definedName>
    <definedName name="sample_wld_az1_rack5_mgmt_mtu">#REF!</definedName>
    <definedName name="sample_wld_az1_rack5_mgmt_vlan">#REF!</definedName>
    <definedName name="sample_wld_az1_rack5_mgmt_vm_cidr">'Value Reference Tables - MR'!$M$273</definedName>
    <definedName name="sample_wld_az1_rack5_mgmt_vm_gateway_ip">'Value Reference Tables - MR'!$O$278</definedName>
    <definedName name="sample_wld_az1_rack5_mgmt_vm_mtu">'Value Reference Tables - MR'!$Q$278</definedName>
    <definedName name="sample_wld_az1_rack5_mgmt_vm_vlan">'Value Reference Tables - MR'!$K$278</definedName>
    <definedName name="sample_wld_az1_rack5_pool_name">#REF!</definedName>
    <definedName name="sample_wld_az1_rack5_principal_storage_cidr">Arkham!$B$33</definedName>
    <definedName name="sample_wld_az1_rack5_principal_storage_gateway_ip">#REF!</definedName>
    <definedName name="sample_wld_az1_rack5_principal_storage_mask">#REF!</definedName>
    <definedName name="sample_wld_az1_rack5_principal_storage_mtu">#REF!</definedName>
    <definedName name="sample_wld_az1_rack5_principal_storage_network">#REF!</definedName>
    <definedName name="sample_wld_az1_rack5_principal_storage_pool_end_ip">#REF!</definedName>
    <definedName name="sample_wld_az1_rack5_principal_storage_pool_start_ip">#REF!</definedName>
    <definedName name="sample_wld_az1_rack5_principal_storage_vlan">#REF!</definedName>
    <definedName name="sample_wld_az1_rack5_rtep_ip_pool_name">#REF!</definedName>
    <definedName name="sample_wld_az1_rack5_secondary_storage_cidr">Arkham!$B$34</definedName>
    <definedName name="sample_wld_az1_rack5_secondary_storage_gateway_ip">'Dumping Ground'!$C$536</definedName>
    <definedName name="sample_wld_az1_rack5_secondary_storage_mask">'Dumping Ground'!$C$535</definedName>
    <definedName name="sample_wld_az1_rack5_secondary_storage_mtu">'Dumping Ground'!$C$533</definedName>
    <definedName name="sample_wld_az1_rack5_secondary_storage_network">'Dumping Ground'!$C$534</definedName>
    <definedName name="sample_wld_az1_rack5_secondary_storage_pool_end_ip">'Dumping Ground'!$C$538</definedName>
    <definedName name="sample_wld_az1_rack5_secondary_storage_pool_start_ip">'Dumping Ground'!$C$537</definedName>
    <definedName name="sample_wld_az1_rack5_secondary_storage_vlan">'Dumping Ground'!$C$532</definedName>
    <definedName name="sample_wld_az1_rack5_tor1_peer_asn">Arkham!$K$75</definedName>
    <definedName name="sample_wld_az1_rack5_tor1_peer_bgp_password">Arkham!$K$76</definedName>
    <definedName name="sample_wld_az1_rack5_tor1_peer_ip">Arkham!$K$74</definedName>
    <definedName name="sample_wld_az1_rack5_tor2_peer_asn">Arkham!$K$78</definedName>
    <definedName name="sample_wld_az1_rack5_tor2_peer_bgp_password">Arkham!$K$79</definedName>
    <definedName name="sample_wld_az1_rack5_tor2_peer_ip">Arkham!$K$77</definedName>
    <definedName name="sample_wld_az1_rack5_uplink01_gateway_ip">Arkham!$K$62</definedName>
    <definedName name="sample_wld_az1_rack5_uplink01_mask">Arkham!$K$65</definedName>
    <definedName name="sample_wld_az1_rack5_uplink01_mtu">Arkham!$K$68</definedName>
    <definedName name="sample_wld_az1_rack5_uplink01_network">Arkham!$K$59</definedName>
    <definedName name="sample_wld_az1_rack5_uplink01_vlan">Arkham!$K$56</definedName>
    <definedName name="sample_wld_az1_rack5_uplink02_gateway_ip">Arkham!$K$63</definedName>
    <definedName name="sample_wld_az1_rack5_uplink02_mask">Arkham!$K$66</definedName>
    <definedName name="sample_wld_az1_rack5_uplink02_mtu">Arkham!$K$69</definedName>
    <definedName name="sample_wld_az1_rack5_uplink02_network">Arkham!$K$60</definedName>
    <definedName name="sample_wld_az1_rack5_uplink02_vlan">Arkham!$K$57</definedName>
    <definedName name="sample_wld_az1_rack5_vmotion_cidr">Arkham!$B$32</definedName>
    <definedName name="sample_wld_az1_rack5_vmotion_gateway_ip">#REF!</definedName>
    <definedName name="sample_wld_az1_rack5_vmotion_mask">#REF!</definedName>
    <definedName name="sample_wld_az1_rack5_vmotion_mtu">#REF!</definedName>
    <definedName name="sample_wld_az1_rack5_vmotion_network">#REF!</definedName>
    <definedName name="sample_wld_az1_rack5_vmotion_pool_end_ip">#REF!</definedName>
    <definedName name="sample_wld_az1_rack5_vmotion_pool_start_ip">#REF!</definedName>
    <definedName name="sample_wld_az1_rack5_vmotion_vlan">#REF!</definedName>
    <definedName name="sample_wld_az1_rack5_vsan_fault_domain">#REF!</definedName>
    <definedName name="sample_wld_az1_rack6_edge_overlay_gateway_ip">Arkham!$N$64</definedName>
    <definedName name="sample_wld_az1_rack6_edge_overlay_mask">Arkham!$N$67</definedName>
    <definedName name="sample_wld_az1_rack6_edge_overlay_mtu">Arkham!$N$70</definedName>
    <definedName name="sample_wld_az1_rack6_edge_overlay_network">Arkham!$N$61</definedName>
    <definedName name="sample_wld_az1_rack6_edge_overlay_network_pool_name">#REF!</definedName>
    <definedName name="sample_wld_az1_rack6_edge_overlay_pool_end_ip">Arkham!$N$72</definedName>
    <definedName name="sample_wld_az1_rack6_edge_overlay_pool_start_ip">Arkham!$N$71</definedName>
    <definedName name="sample_wld_az1_rack6_edge_overlay_vlan">Arkham!$N$58</definedName>
    <definedName name="sample_wld_az1_rack6_host_hostnames">#REF!</definedName>
    <definedName name="sample_wld_az1_rack6_host_mgmt_ips">#REF!</definedName>
    <definedName name="sample_wld_az1_rack6_host_overlay_cidr">Arkham!$B$39</definedName>
    <definedName name="sample_wld_az1_rack6_host_overlay_gateway_ip">#REF!</definedName>
    <definedName name="sample_wld_az1_rack6_host_overlay_mask">#REF!</definedName>
    <definedName name="sample_wld_az1_rack6_host_overlay_mtu">#REF!</definedName>
    <definedName name="sample_wld_az1_rack6_host_overlay_network">#REF!</definedName>
    <definedName name="sample_wld_az1_rack6_host_overlay_network_pool_name">#REF!</definedName>
    <definedName name="sample_wld_az1_rack6_host_overlay_network_profile_name">#REF!</definedName>
    <definedName name="sample_wld_az1_rack6_host_overlay_pool_end_ip">#REF!</definedName>
    <definedName name="sample_wld_az1_rack6_host_overlay_pool_start_ip">#REF!</definedName>
    <definedName name="sample_wld_az1_rack6_host_overlay_uplink_profile_name">#REF!</definedName>
    <definedName name="sample_wld_az1_rack6_host_overlay_vlan">#REF!</definedName>
    <definedName name="sample_wld_az1_rack6_host1_fqdn">#REF!</definedName>
    <definedName name="sample_wld_az1_rack6_host1_mgmt_ip">#REF!</definedName>
    <definedName name="sample_wld_az1_rack6_host10_fqdn">#REF!</definedName>
    <definedName name="sample_wld_az1_rack6_host10_mgmt_ip">#REF!</definedName>
    <definedName name="sample_wld_az1_rack6_host11_fqdn">#REF!</definedName>
    <definedName name="sample_wld_az1_rack6_host11_mgmt_ip">#REF!</definedName>
    <definedName name="sample_wld_az1_rack6_host12_fqdn">#REF!</definedName>
    <definedName name="sample_wld_az1_rack6_host12_mgmt_ip">#REF!</definedName>
    <definedName name="sample_wld_az1_rack6_host13_fqdn">#REF!</definedName>
    <definedName name="sample_wld_az1_rack6_host13_mgmt_ip">#REF!</definedName>
    <definedName name="sample_wld_az1_rack6_host14_fqdn">#REF!</definedName>
    <definedName name="sample_wld_az1_rack6_host14_mgmt_ip">#REF!</definedName>
    <definedName name="sample_wld_az1_rack6_host15_fqdn">#REF!</definedName>
    <definedName name="sample_wld_az1_rack6_host15_mgmt_ip">#REF!</definedName>
    <definedName name="sample_wld_az1_rack6_host16_fqdn">#REF!</definedName>
    <definedName name="sample_wld_az1_rack6_host16_mgmt_ip">#REF!</definedName>
    <definedName name="sample_wld_az1_rack6_host2_fqdn">#REF!</definedName>
    <definedName name="sample_wld_az1_rack6_host2_mgmt_ip">#REF!</definedName>
    <definedName name="sample_wld_az1_rack6_host3_fqdn">#REF!</definedName>
    <definedName name="sample_wld_az1_rack6_host3_mgmt_ip">#REF!</definedName>
    <definedName name="sample_wld_az1_rack6_host4_fqdn">#REF!</definedName>
    <definedName name="sample_wld_az1_rack6_host4_mgmt_ip">#REF!</definedName>
    <definedName name="sample_wld_az1_rack6_host5_fqdn">#REF!</definedName>
    <definedName name="sample_wld_az1_rack6_host5_mgmt_ip">#REF!</definedName>
    <definedName name="sample_wld_az1_rack6_host6_fqdn">#REF!</definedName>
    <definedName name="sample_wld_az1_rack6_host6_mgmt_ip">#REF!</definedName>
    <definedName name="sample_wld_az1_rack6_host7_fqdn">#REF!</definedName>
    <definedName name="sample_wld_az1_rack6_host7_mgmt_ip">#REF!</definedName>
    <definedName name="sample_wld_az1_rack6_host8_fqdn">#REF!</definedName>
    <definedName name="sample_wld_az1_rack6_host8_mgmt_ip">#REF!</definedName>
    <definedName name="sample_wld_az1_rack6_host9_fqdn">#REF!</definedName>
    <definedName name="sample_wld_az1_rack6_host9_mgmt_ip">#REF!</definedName>
    <definedName name="sample_wld_az1_rack6_mgmt_cidr">#REF!</definedName>
    <definedName name="sample_wld_az1_rack6_mgmt_gateway_ip">#REF!</definedName>
    <definedName name="sample_wld_az1_rack6_mgmt_mtu">#REF!</definedName>
    <definedName name="sample_wld_az1_rack6_mgmt_vlan">#REF!</definedName>
    <definedName name="sample_wld_az1_rack6_mgmt_vm_cidr">'Value Reference Tables - MR'!$M$274</definedName>
    <definedName name="sample_wld_az1_rack6_mgmt_vm_gateway_ip">'Value Reference Tables - MR'!$O$279</definedName>
    <definedName name="sample_wld_az1_rack6_mgmt_vm_mtu">'Value Reference Tables - MR'!$Q$279</definedName>
    <definedName name="sample_wld_az1_rack6_mgmt_vm_vlan">'Value Reference Tables - MR'!$K$279</definedName>
    <definedName name="sample_wld_az1_rack6_pool_name">#REF!</definedName>
    <definedName name="sample_wld_az1_rack6_principal_storage_cidr">Arkham!$B$37</definedName>
    <definedName name="sample_wld_az1_rack6_principal_storage_gateway_ip">#REF!</definedName>
    <definedName name="sample_wld_az1_rack6_principal_storage_mask">#REF!</definedName>
    <definedName name="sample_wld_az1_rack6_principal_storage_mtu">#REF!</definedName>
    <definedName name="sample_wld_az1_rack6_principal_storage_network">#REF!</definedName>
    <definedName name="sample_wld_az1_rack6_principal_storage_pool_end_ip">#REF!</definedName>
    <definedName name="sample_wld_az1_rack6_principal_storage_pool_start_ip">#REF!</definedName>
    <definedName name="sample_wld_az1_rack6_principal_storage_vlan">#REF!</definedName>
    <definedName name="sample_wld_az1_rack6_rtep_ip_pool_name">#REF!</definedName>
    <definedName name="sample_wld_az1_rack6_secondary_storage_cidr">Arkham!$B$38</definedName>
    <definedName name="sample_wld_az1_rack6_secondary_storage_gateway_ip">'Dumping Ground'!$C$544</definedName>
    <definedName name="sample_wld_az1_rack6_secondary_storage_mask">'Dumping Ground'!$C$543</definedName>
    <definedName name="sample_wld_az1_rack6_secondary_storage_mtu">'Dumping Ground'!$C$541</definedName>
    <definedName name="sample_wld_az1_rack6_secondary_storage_network">'Dumping Ground'!$C$542</definedName>
    <definedName name="sample_wld_az1_rack6_secondary_storage_pool_end_ip">'Dumping Ground'!$C$546</definedName>
    <definedName name="sample_wld_az1_rack6_secondary_storage_pool_start_ip">'Dumping Ground'!$C$545</definedName>
    <definedName name="sample_wld_az1_rack6_secondary_storage_vlan">'Dumping Ground'!$C$540</definedName>
    <definedName name="sample_wld_az1_rack6_tor1_peer_asn">Arkham!$N$75</definedName>
    <definedName name="sample_wld_az1_rack6_tor1_peer_bgp_password">Arkham!$N$76</definedName>
    <definedName name="sample_wld_az1_rack6_tor1_peer_ip">Arkham!$N$74</definedName>
    <definedName name="sample_wld_az1_rack6_tor2_peer_asn">Arkham!$N$78</definedName>
    <definedName name="sample_wld_az1_rack6_tor2_peer_bgp_password">Arkham!$N$79</definedName>
    <definedName name="sample_wld_az1_rack6_tor2_peer_ip">Arkham!$N$77</definedName>
    <definedName name="sample_wld_az1_rack6_uplink01_gateway_ip">Arkham!$N$62</definedName>
    <definedName name="sample_wld_az1_rack6_uplink01_mask">Arkham!$N$65</definedName>
    <definedName name="sample_wld_az1_rack6_uplink01_mtu">Arkham!$N$68</definedName>
    <definedName name="sample_wld_az1_rack6_uplink01_network">Arkham!$N$59</definedName>
    <definedName name="sample_wld_az1_rack6_uplink01_vlan">Arkham!$N$56</definedName>
    <definedName name="sample_wld_az1_rack6_uplink02_gateway_ip">Arkham!$N$63</definedName>
    <definedName name="sample_wld_az1_rack6_uplink02_mask">Arkham!$N$66</definedName>
    <definedName name="sample_wld_az1_rack6_uplink02_mtu">Arkham!$N$69</definedName>
    <definedName name="sample_wld_az1_rack6_uplink02_network">Arkham!$N$60</definedName>
    <definedName name="sample_wld_az1_rack6_uplink02_vlan">Arkham!$N$57</definedName>
    <definedName name="sample_wld_az1_rack6_vmotion_cidr">Arkham!$B$36</definedName>
    <definedName name="sample_wld_az1_rack6_vmotion_gateway_ip">#REF!</definedName>
    <definedName name="sample_wld_az1_rack6_vmotion_mask">#REF!</definedName>
    <definedName name="sample_wld_az1_rack6_vmotion_mtu">#REF!</definedName>
    <definedName name="sample_wld_az1_rack6_vmotion_network">#REF!</definedName>
    <definedName name="sample_wld_az1_rack6_vmotion_pool_end_ip">#REF!</definedName>
    <definedName name="sample_wld_az1_rack6_vmotion_pool_start_ip">#REF!</definedName>
    <definedName name="sample_wld_az1_rack6_vmotion_vlan">#REF!</definedName>
    <definedName name="sample_wld_az1_rack6_vsan_fault_domain">#REF!</definedName>
    <definedName name="sample_wld_az1_rack7_edge_overlay_gateway_ip">Arkham!$Q$64</definedName>
    <definedName name="sample_wld_az1_rack7_edge_overlay_mask">Arkham!$Q$67</definedName>
    <definedName name="sample_wld_az1_rack7_edge_overlay_mtu">Arkham!$Q$70</definedName>
    <definedName name="sample_wld_az1_rack7_edge_overlay_network">Arkham!$Q$61</definedName>
    <definedName name="sample_wld_az1_rack7_edge_overlay_network_pool_name">#REF!</definedName>
    <definedName name="sample_wld_az1_rack7_edge_overlay_pool_end_ip">Arkham!$Q$72</definedName>
    <definedName name="sample_wld_az1_rack7_edge_overlay_pool_start_ip">Arkham!$Q$71</definedName>
    <definedName name="sample_wld_az1_rack7_edge_overlay_vlan">Arkham!$Q$58</definedName>
    <definedName name="sample_wld_az1_rack7_host_hostnames">#REF!</definedName>
    <definedName name="sample_wld_az1_rack7_host_mgmt_ips">#REF!</definedName>
    <definedName name="sample_wld_az1_rack7_host_overlay_cidr">Arkham!$B$43</definedName>
    <definedName name="sample_wld_az1_rack7_host_overlay_gateway_ip">#REF!</definedName>
    <definedName name="sample_wld_az1_rack7_host_overlay_mask">#REF!</definedName>
    <definedName name="sample_wld_az1_rack7_host_overlay_mtu">#REF!</definedName>
    <definedName name="sample_wld_az1_rack7_host_overlay_network">#REF!</definedName>
    <definedName name="sample_wld_az1_rack7_host_overlay_network_pool_name">#REF!</definedName>
    <definedName name="sample_wld_az1_rack7_host_overlay_network_profile_name">#REF!</definedName>
    <definedName name="sample_wld_az1_rack7_host_overlay_pool_end_ip">#REF!</definedName>
    <definedName name="sample_wld_az1_rack7_host_overlay_pool_start_ip">#REF!</definedName>
    <definedName name="sample_wld_az1_rack7_host_overlay_uplink_profile_name">#REF!</definedName>
    <definedName name="sample_wld_az1_rack7_host_overlay_vlan">#REF!</definedName>
    <definedName name="sample_wld_az1_rack7_host1_fqdn">#REF!</definedName>
    <definedName name="sample_wld_az1_rack7_host1_mgmt_ip">#REF!</definedName>
    <definedName name="sample_wld_az1_rack7_host10_fqdn">#REF!</definedName>
    <definedName name="sample_wld_az1_rack7_host10_mgmt_ip">#REF!</definedName>
    <definedName name="sample_wld_az1_rack7_host11_fqdn">#REF!</definedName>
    <definedName name="sample_wld_az1_rack7_host11_mgmt_ip">#REF!</definedName>
    <definedName name="sample_wld_az1_rack7_host12_fqdn">#REF!</definedName>
    <definedName name="sample_wld_az1_rack7_host12_mgmt_ip">#REF!</definedName>
    <definedName name="sample_wld_az1_rack7_host13_fqdn">#REF!</definedName>
    <definedName name="sample_wld_az1_rack7_host13_mgmt_ip">#REF!</definedName>
    <definedName name="sample_wld_az1_rack7_host14_fqdn">#REF!</definedName>
    <definedName name="sample_wld_az1_rack7_host14_mgmt_ip">#REF!</definedName>
    <definedName name="sample_wld_az1_rack7_host15_fqdn">#REF!</definedName>
    <definedName name="sample_wld_az1_rack7_host15_mgmt_ip">#REF!</definedName>
    <definedName name="sample_wld_az1_rack7_host16_fqdn">#REF!</definedName>
    <definedName name="sample_wld_az1_rack7_host16_mgmt_ip">#REF!</definedName>
    <definedName name="sample_wld_az1_rack7_host2_fqdn">#REF!</definedName>
    <definedName name="sample_wld_az1_rack7_host2_mgmt_ip">#REF!</definedName>
    <definedName name="sample_wld_az1_rack7_host3_fqdn">#REF!</definedName>
    <definedName name="sample_wld_az1_rack7_host3_mgmt_ip">#REF!</definedName>
    <definedName name="sample_wld_az1_rack7_host4_fqdn">#REF!</definedName>
    <definedName name="sample_wld_az1_rack7_host4_mgmt_ip">#REF!</definedName>
    <definedName name="sample_wld_az1_rack7_host5_fqdn">#REF!</definedName>
    <definedName name="sample_wld_az1_rack7_host5_mgmt_ip">#REF!</definedName>
    <definedName name="sample_wld_az1_rack7_host6_fqdn">#REF!</definedName>
    <definedName name="sample_wld_az1_rack7_host6_mgmt_ip">#REF!</definedName>
    <definedName name="sample_wld_az1_rack7_host7_fqdn">#REF!</definedName>
    <definedName name="sample_wld_az1_rack7_host7_mgmt_ip">#REF!</definedName>
    <definedName name="sample_wld_az1_rack7_host8_fqdn">#REF!</definedName>
    <definedName name="sample_wld_az1_rack7_host8_mgmt_ip">#REF!</definedName>
    <definedName name="sample_wld_az1_rack7_host9_fqdn">#REF!</definedName>
    <definedName name="sample_wld_az1_rack7_host9_mgmt_ip">#REF!</definedName>
    <definedName name="sample_wld_az1_rack7_mgmt_cidr">#REF!</definedName>
    <definedName name="sample_wld_az1_rack7_mgmt_gateway_ip">#REF!</definedName>
    <definedName name="sample_wld_az1_rack7_mgmt_mtu">#REF!</definedName>
    <definedName name="sample_wld_az1_rack7_mgmt_vlan">#REF!</definedName>
    <definedName name="sample_wld_az1_rack7_mgmt_vm_cidr">'Value Reference Tables - MR'!$M$275</definedName>
    <definedName name="sample_wld_az1_rack7_mgmt_vm_gateway_ip">'Value Reference Tables - MR'!$O$280</definedName>
    <definedName name="sample_wld_az1_rack7_mgmt_vm_mtu">'Value Reference Tables - MR'!$Q$280</definedName>
    <definedName name="sample_wld_az1_rack7_mgmt_vm_vlan">'Value Reference Tables - MR'!$K$280</definedName>
    <definedName name="sample_wld_az1_rack7_pool_name">#REF!</definedName>
    <definedName name="sample_wld_az1_rack7_principal_storage_cidr">Arkham!$B$41</definedName>
    <definedName name="sample_wld_az1_rack7_principal_storage_gateway_ip">#REF!</definedName>
    <definedName name="sample_wld_az1_rack7_principal_storage_mask">#REF!</definedName>
    <definedName name="sample_wld_az1_rack7_principal_storage_mtu">#REF!</definedName>
    <definedName name="sample_wld_az1_rack7_principal_storage_network">#REF!</definedName>
    <definedName name="sample_wld_az1_rack7_principal_storage_pool_end_ip">#REF!</definedName>
    <definedName name="sample_wld_az1_rack7_principal_storage_pool_start_ip">#REF!</definedName>
    <definedName name="sample_wld_az1_rack7_principal_storage_vlan">#REF!</definedName>
    <definedName name="sample_wld_az1_rack7_rtep_ip_pool_name">#REF!</definedName>
    <definedName name="sample_wld_az1_rack7_secondary_storage_cidr">Arkham!$B$42</definedName>
    <definedName name="sample_wld_az1_rack7_secondary_storage_gateway_ip">'Dumping Ground'!$C$552</definedName>
    <definedName name="sample_wld_az1_rack7_secondary_storage_mask">'Dumping Ground'!$C$551</definedName>
    <definedName name="sample_wld_az1_rack7_secondary_storage_mtu">'Dumping Ground'!$C$549</definedName>
    <definedName name="sample_wld_az1_rack7_secondary_storage_network">'Dumping Ground'!$C$550</definedName>
    <definedName name="sample_wld_az1_rack7_secondary_storage_pool_end_ip">'Dumping Ground'!$C$554</definedName>
    <definedName name="sample_wld_az1_rack7_secondary_storage_pool_start_ip">'Dumping Ground'!$C$553</definedName>
    <definedName name="sample_wld_az1_rack7_secondary_storage_vlan">'Dumping Ground'!$C$548</definedName>
    <definedName name="sample_wld_az1_rack7_tor1_peer_asn">Arkham!$Q$75</definedName>
    <definedName name="sample_wld_az1_rack7_tor1_peer_bgp_password">Arkham!$Q$76</definedName>
    <definedName name="sample_wld_az1_rack7_tor1_peer_ip">Arkham!$Q$74</definedName>
    <definedName name="sample_wld_az1_rack7_tor2_peer_asn">Arkham!$Q$78</definedName>
    <definedName name="sample_wld_az1_rack7_tor2_peer_bgp_password">Arkham!$Q$79</definedName>
    <definedName name="sample_wld_az1_rack7_tor2_peer_ip">Arkham!$Q$77</definedName>
    <definedName name="sample_wld_az1_rack7_uplink01_gateway_ip">Arkham!$Q$62</definedName>
    <definedName name="sample_wld_az1_rack7_uplink01_mask">Arkham!$Q$65</definedName>
    <definedName name="sample_wld_az1_rack7_uplink01_mtu">Arkham!$Q$68</definedName>
    <definedName name="sample_wld_az1_rack7_uplink01_network">Arkham!$Q$59</definedName>
    <definedName name="sample_wld_az1_rack7_uplink01_vlan">Arkham!$Q$56</definedName>
    <definedName name="sample_wld_az1_rack7_uplink02_gateway_ip">Arkham!$Q$63</definedName>
    <definedName name="sample_wld_az1_rack7_uplink02_mask">Arkham!$Q$66</definedName>
    <definedName name="sample_wld_az1_rack7_uplink02_mtu">Arkham!$Q$69</definedName>
    <definedName name="sample_wld_az1_rack7_uplink02_network">Arkham!$Q$60</definedName>
    <definedName name="sample_wld_az1_rack7_uplink02_vlan">Arkham!$Q$57</definedName>
    <definedName name="sample_wld_az1_rack7_vmotion_cidr">Arkham!$B$40</definedName>
    <definedName name="sample_wld_az1_rack7_vmotion_gateway_ip">#REF!</definedName>
    <definedName name="sample_wld_az1_rack7_vmotion_mask">#REF!</definedName>
    <definedName name="sample_wld_az1_rack7_vmotion_mtu">#REF!</definedName>
    <definedName name="sample_wld_az1_rack7_vmotion_network">#REF!</definedName>
    <definedName name="sample_wld_az1_rack7_vmotion_pool_end_ip">#REF!</definedName>
    <definedName name="sample_wld_az1_rack7_vmotion_pool_start_ip">#REF!</definedName>
    <definedName name="sample_wld_az1_rack7_vmotion_vlan">#REF!</definedName>
    <definedName name="sample_wld_az1_rack7_vsan_fault_domain">#REF!</definedName>
    <definedName name="sample_wld_az1_rack8_edge_overlay_gateway_ip">Arkham!$T$64</definedName>
    <definedName name="sample_wld_az1_rack8_edge_overlay_mask">Arkham!$T$67</definedName>
    <definedName name="sample_wld_az1_rack8_edge_overlay_mtu">Arkham!$T$70</definedName>
    <definedName name="sample_wld_az1_rack8_edge_overlay_network">Arkham!$T$61</definedName>
    <definedName name="sample_wld_az1_rack8_edge_overlay_network_pool_name">#REF!</definedName>
    <definedName name="sample_wld_az1_rack8_edge_overlay_pool_end_ip">Arkham!$T$72</definedName>
    <definedName name="sample_wld_az1_rack8_edge_overlay_pool_start_ip">Arkham!$T$71</definedName>
    <definedName name="sample_wld_az1_rack8_edge_overlay_vlan">Arkham!$T$58</definedName>
    <definedName name="sample_wld_az1_rack8_host_hostnames">#REF!</definedName>
    <definedName name="sample_wld_az1_rack8_host_mgmt_ips">#REF!</definedName>
    <definedName name="sample_wld_az1_rack8_host_overlay_cidr">Arkham!$B$47</definedName>
    <definedName name="sample_wld_az1_rack8_host_overlay_gateway_ip">#REF!</definedName>
    <definedName name="sample_wld_az1_rack8_host_overlay_mask">#REF!</definedName>
    <definedName name="sample_wld_az1_rack8_host_overlay_mtu">#REF!</definedName>
    <definedName name="sample_wld_az1_rack8_host_overlay_network">#REF!</definedName>
    <definedName name="sample_wld_az1_rack8_host_overlay_network_pool_name">#REF!</definedName>
    <definedName name="sample_wld_az1_rack8_host_overlay_network_profile_name">#REF!</definedName>
    <definedName name="sample_wld_az1_rack8_host_overlay_pool_end_ip">#REF!</definedName>
    <definedName name="sample_wld_az1_rack8_host_overlay_pool_start_ip">#REF!</definedName>
    <definedName name="sample_wld_az1_rack8_host_overlay_uplink_profile_name">#REF!</definedName>
    <definedName name="sample_wld_az1_rack8_host_overlay_vlan">#REF!</definedName>
    <definedName name="sample_wld_az1_rack8_host1_fqdn">#REF!</definedName>
    <definedName name="sample_wld_az1_rack8_host1_mgmt_ip">#REF!</definedName>
    <definedName name="sample_wld_az1_rack8_host10_fqdn">#REF!</definedName>
    <definedName name="sample_wld_az1_rack8_host10_mgmt_ip">#REF!</definedName>
    <definedName name="sample_wld_az1_rack8_host11_fqdn">#REF!</definedName>
    <definedName name="sample_wld_az1_rack8_host11_mgmt_ip">#REF!</definedName>
    <definedName name="sample_wld_az1_rack8_host12_fqdn">#REF!</definedName>
    <definedName name="sample_wld_az1_rack8_host12_mgmt_ip">#REF!</definedName>
    <definedName name="sample_wld_az1_rack8_host13_fqdn">#REF!</definedName>
    <definedName name="sample_wld_az1_rack8_host13_mgmt_ip">#REF!</definedName>
    <definedName name="sample_wld_az1_rack8_host14_fqdn">#REF!</definedName>
    <definedName name="sample_wld_az1_rack8_host14_mgmt_ip">#REF!</definedName>
    <definedName name="sample_wld_az1_rack8_host15_fqdn">#REF!</definedName>
    <definedName name="sample_wld_az1_rack8_host15_mgmt_ip">#REF!</definedName>
    <definedName name="sample_wld_az1_rack8_host16_fqdn">#REF!</definedName>
    <definedName name="sample_wld_az1_rack8_host16_mgmt_ip">#REF!</definedName>
    <definedName name="sample_wld_az1_rack8_host2_fqdn">#REF!</definedName>
    <definedName name="sample_wld_az1_rack8_host2_mgmt_ip">#REF!</definedName>
    <definedName name="sample_wld_az1_rack8_host3_fqdn">#REF!</definedName>
    <definedName name="sample_wld_az1_rack8_host3_mgmt_ip">#REF!</definedName>
    <definedName name="sample_wld_az1_rack8_host4_fqdn">#REF!</definedName>
    <definedName name="sample_wld_az1_rack8_host4_mgmt_ip">#REF!</definedName>
    <definedName name="sample_wld_az1_rack8_host5_fqdn">#REF!</definedName>
    <definedName name="sample_wld_az1_rack8_host5_mgmt_ip">#REF!</definedName>
    <definedName name="sample_wld_az1_rack8_host6_fqdn">#REF!</definedName>
    <definedName name="sample_wld_az1_rack8_host6_mgmt_ip">#REF!</definedName>
    <definedName name="sample_wld_az1_rack8_host7_fqdn">#REF!</definedName>
    <definedName name="sample_wld_az1_rack8_host7_mgmt_ip">#REF!</definedName>
    <definedName name="sample_wld_az1_rack8_host8_fqdn">#REF!</definedName>
    <definedName name="sample_wld_az1_rack8_host8_mgmt_ip">#REF!</definedName>
    <definedName name="sample_wld_az1_rack8_host9_fqdn">#REF!</definedName>
    <definedName name="sample_wld_az1_rack8_host9_mgmt_ip">#REF!</definedName>
    <definedName name="sample_wld_az1_rack8_mgmt_cidr">#REF!</definedName>
    <definedName name="sample_wld_az1_rack8_mgmt_gateway_ip">#REF!</definedName>
    <definedName name="sample_wld_az1_rack8_mgmt_mtu">#REF!</definedName>
    <definedName name="sample_wld_az1_rack8_mgmt_vlan">#REF!</definedName>
    <definedName name="sample_wld_az1_rack8_mgmt_vm_cidr">'Value Reference Tables - MR'!$M$276</definedName>
    <definedName name="sample_wld_az1_rack8_mgmt_vm_gateway_ip">'Value Reference Tables - MR'!$O$281</definedName>
    <definedName name="sample_wld_az1_rack8_mgmt_vm_mtu">'Value Reference Tables - MR'!$Q$281</definedName>
    <definedName name="sample_wld_az1_rack8_mgmt_vm_vlan">'Value Reference Tables - MR'!$K$281</definedName>
    <definedName name="sample_wld_az1_rack8_pool_name">#REF!</definedName>
    <definedName name="sample_wld_az1_rack8_principal_storage_cidr">Arkham!$B$45</definedName>
    <definedName name="sample_wld_az1_rack8_principal_storage_gateway_ip">#REF!</definedName>
    <definedName name="sample_wld_az1_rack8_principal_storage_mask">#REF!</definedName>
    <definedName name="sample_wld_az1_rack8_principal_storage_mtu">#REF!</definedName>
    <definedName name="sample_wld_az1_rack8_principal_storage_network">#REF!</definedName>
    <definedName name="sample_wld_az1_rack8_principal_storage_pool_end_ip">#REF!</definedName>
    <definedName name="sample_wld_az1_rack8_principal_storage_pool_start_ip">#REF!</definedName>
    <definedName name="sample_wld_az1_rack8_principal_storage_vlan">#REF!</definedName>
    <definedName name="sample_wld_az1_rack8_rtep_ip_pool_name">#REF!</definedName>
    <definedName name="sample_wld_az1_rack8_secondary_storage_cidr">Arkham!$B$46</definedName>
    <definedName name="sample_wld_az1_rack8_secondary_storage_gateway_ip">'Dumping Ground'!$C$560</definedName>
    <definedName name="sample_wld_az1_rack8_secondary_storage_mask">'Dumping Ground'!$C$559</definedName>
    <definedName name="sample_wld_az1_rack8_secondary_storage_mtu">'Dumping Ground'!$C$557</definedName>
    <definedName name="sample_wld_az1_rack8_secondary_storage_network">'Dumping Ground'!$C$558</definedName>
    <definedName name="sample_wld_az1_rack8_secondary_storage_pool_end_ip">'Dumping Ground'!$C$562</definedName>
    <definedName name="sample_wld_az1_rack8_secondary_storage_pool_start_ip">'Dumping Ground'!$C$561</definedName>
    <definedName name="sample_wld_az1_rack8_secondary_storage_vlan">'Dumping Ground'!$C$556</definedName>
    <definedName name="sample_wld_az1_rack8_tor1_peer_asn">Arkham!$T$75</definedName>
    <definedName name="sample_wld_az1_rack8_tor1_peer_bgp_password">Arkham!$T$76</definedName>
    <definedName name="sample_wld_az1_rack8_tor1_peer_ip">Arkham!$T$74</definedName>
    <definedName name="sample_wld_az1_rack8_tor2_peer_asn">Arkham!$T$78</definedName>
    <definedName name="sample_wld_az1_rack8_tor2_peer_bgp_password">Arkham!$T$79</definedName>
    <definedName name="sample_wld_az1_rack8_tor2_peer_ip">Arkham!$T$77</definedName>
    <definedName name="sample_wld_az1_rack8_uplink01_gateway_ip">Arkham!$T$62</definedName>
    <definedName name="sample_wld_az1_rack8_uplink01_mask">Arkham!$T$65</definedName>
    <definedName name="sample_wld_az1_rack8_uplink01_mtu">Arkham!$T$68</definedName>
    <definedName name="sample_wld_az1_rack8_uplink01_network">Arkham!$T$59</definedName>
    <definedName name="sample_wld_az1_rack8_uplink01_vlan">Arkham!$T$56</definedName>
    <definedName name="sample_wld_az1_rack8_uplink02_gateway_ip">Arkham!$T$63</definedName>
    <definedName name="sample_wld_az1_rack8_uplink02_mask">Arkham!$T$66</definedName>
    <definedName name="sample_wld_az1_rack8_uplink02_mtu">Arkham!$T$69</definedName>
    <definedName name="sample_wld_az1_rack8_uplink02_network">Arkham!$T$60</definedName>
    <definedName name="sample_wld_az1_rack8_uplink02_vlan">Arkham!$T$57</definedName>
    <definedName name="sample_wld_az1_rack8_vmotion_cidr">Arkham!$B$44</definedName>
    <definedName name="sample_wld_az1_rack8_vmotion_gateway_ip">#REF!</definedName>
    <definedName name="sample_wld_az1_rack8_vmotion_mask">#REF!</definedName>
    <definedName name="sample_wld_az1_rack8_vmotion_mtu">#REF!</definedName>
    <definedName name="sample_wld_az1_rack8_vmotion_network">#REF!</definedName>
    <definedName name="sample_wld_az1_rack8_vmotion_pool_end_ip">#REF!</definedName>
    <definedName name="sample_wld_az1_rack8_vmotion_pool_start_ip">#REF!</definedName>
    <definedName name="sample_wld_az1_rack8_vmotion_vlan">#REF!</definedName>
    <definedName name="sample_wld_az1_rack8_vsan_fault_domain">#REF!</definedName>
    <definedName name="sample_wld_az1_rtep_ip_pool_name">#REF!</definedName>
    <definedName name="sample_wld_az1_rtep_overlay_cidr">#REF!</definedName>
    <definedName name="sample_wld_az1_rtep_overlay_gateway_ip">#REF!</definedName>
    <definedName name="sample_wld_az1_rtep_overlay_vlan">#REF!</definedName>
    <definedName name="sample_wld_az1_secondary_storage_gateway_cidr">#REF!</definedName>
    <definedName name="sample_wld_az1_secondary_storage_mtu">#REF!</definedName>
    <definedName name="sample_wld_az1_secondary_storage_pool_end_ip">#REF!</definedName>
    <definedName name="sample_wld_az1_secondary_storage_pool_start_ip">#REF!</definedName>
    <definedName name="sample_wld_az1_secondary_storage_vlan">#REF!</definedName>
    <definedName name="sample_wld_az1_storage_cluster_gateway_cidr">#REF!</definedName>
    <definedName name="sample_wld_az1_storage_cluster_mtu">#REF!</definedName>
    <definedName name="sample_wld_az1_storage_cluster_pool_end_ip">#REF!</definedName>
    <definedName name="sample_wld_az1_storage_cluster_pool_start_ip">#REF!</definedName>
    <definedName name="sample_wld_az1_storage_cluster_vlan">#REF!</definedName>
    <definedName name="sample_wld_az1_tor1_peer_asn">#REF!</definedName>
    <definedName name="sample_wld_az1_tor1_peer_bgp_password">#REF!</definedName>
    <definedName name="sample_wld_az1_tor1_peer_ip">#REF!</definedName>
    <definedName name="sample_wld_az1_tor2_peer_asn">#REF!</definedName>
    <definedName name="sample_wld_az1_tor2_peer_bgp_password">#REF!</definedName>
    <definedName name="sample_wld_az1_tor2_peer_ip">#REF!</definedName>
    <definedName name="sample_wld_az1_uplink01_cidr">#REF!</definedName>
    <definedName name="sample_wld_az1_uplink01_gateway_ip">#REF!</definedName>
    <definedName name="sample_wld_az1_uplink01_mtu">#REF!</definedName>
    <definedName name="sample_wld_az1_uplink01_vlan">#REF!</definedName>
    <definedName name="sample_wld_az1_uplink02_cidr">#REF!</definedName>
    <definedName name="sample_wld_az1_uplink02_gateway_ip">#REF!</definedName>
    <definedName name="sample_wld_az1_uplink02_mtu">#REF!</definedName>
    <definedName name="sample_wld_az1_uplink02_vlan">#REF!</definedName>
    <definedName name="sample_wld_az1_vmotion_gateway_cidr">#REF!</definedName>
    <definedName name="sample_wld_az1_vmotion_mtu">#REF!</definedName>
    <definedName name="sample_wld_az1_vmotion_pool_end_ip">#REF!</definedName>
    <definedName name="sample_wld_az1_vmotion_pool_start_ip">#REF!</definedName>
    <definedName name="sample_wld_az1_vmotion_vlan">#REF!</definedName>
    <definedName name="sample_wld_az1_vrms_cidr">'Dumping Ground'!$C$270</definedName>
    <definedName name="sample_wld_az1_vrms_gateway_ip">'Dumping Ground'!$C$269</definedName>
    <definedName name="sample_wld_az1_vrms_mask">'Dumping Ground'!$E$269</definedName>
    <definedName name="sample_wld_az1_vrms_mtu">'Dumping Ground'!$C$271</definedName>
    <definedName name="sample_wld_az1_vrms_vlan">'On-Premises Ransomware Recovery'!$C$72</definedName>
    <definedName name="sample_wld_az2_host_overlay_cidr">#REF!</definedName>
    <definedName name="sample_wld_az2_host_overlay_gateway_ip">#REF!</definedName>
    <definedName name="sample_wld_az2_host_overlay_mtu">#REF!</definedName>
    <definedName name="sample_wld_az2_host_overlay_network_pool_name">#REF!</definedName>
    <definedName name="sample_wld_az2_host_overlay_network_profile_name">#REF!</definedName>
    <definedName name="sample_wld_az2_host_overlay_pool_end_ip">#REF!</definedName>
    <definedName name="sample_wld_az2_host_overlay_pool_start_ip">#REF!</definedName>
    <definedName name="sample_wld_az2_host_overlay_uplink_profile_name">#REF!</definedName>
    <definedName name="sample_wld_az2_host_overlay_vlan">#REF!</definedName>
    <definedName name="sample_wld_az2_host1_fqdn">#REF!</definedName>
    <definedName name="sample_wld_az2_host1_mgmt_ip">#REF!</definedName>
    <definedName name="sample_wld_az2_host1_sddc_id">#REF!</definedName>
    <definedName name="sample_wld_az2_host1_vrms_ip">'Dumping Ground'!$C$310</definedName>
    <definedName name="sample_wld_az2_host10_fqdn">#REF!</definedName>
    <definedName name="sample_wld_az2_host10_mgmt_ip">#REF!</definedName>
    <definedName name="sample_wld_az2_host10_vrms_ip">'Dumping Ground'!$C$319</definedName>
    <definedName name="sample_wld_az2_host11_fqdn">#REF!</definedName>
    <definedName name="sample_wld_az2_host11_mgmt_ip">#REF!</definedName>
    <definedName name="sample_wld_az2_host11_vrms_ip">'Dumping Ground'!$C$320</definedName>
    <definedName name="sample_wld_az2_host12_fqdn">#REF!</definedName>
    <definedName name="sample_wld_az2_host12_mgmt_ip">#REF!</definedName>
    <definedName name="sample_wld_az2_host12_vrms_ip">'Dumping Ground'!$C$321</definedName>
    <definedName name="sample_wld_az2_host13_fqdn">#REF!</definedName>
    <definedName name="sample_wld_az2_host13_mgmt_ip">#REF!</definedName>
    <definedName name="sample_wld_az2_host13_vrms_ip">'Dumping Ground'!$C$322</definedName>
    <definedName name="sample_wld_az2_host14_fqdn">#REF!</definedName>
    <definedName name="sample_wld_az2_host14_mgmt_ip">#REF!</definedName>
    <definedName name="sample_wld_az2_host14_vrms_ip">'Dumping Ground'!$C$323</definedName>
    <definedName name="sample_wld_az2_host15_fqdn">#REF!</definedName>
    <definedName name="sample_wld_az2_host15_mgmt_ip">#REF!</definedName>
    <definedName name="sample_wld_az2_host15_vrms_ip">'Dumping Ground'!$C$324</definedName>
    <definedName name="sample_wld_az2_host16_fqdn">#REF!</definedName>
    <definedName name="sample_wld_az2_host16_mgmt_ip">#REF!</definedName>
    <definedName name="sample_wld_az2_host16_vrms_ip">'Dumping Ground'!$C$325</definedName>
    <definedName name="sample_wld_az2_host2_fqdn">#REF!</definedName>
    <definedName name="sample_wld_az2_host2_mgmt_ip">#REF!</definedName>
    <definedName name="sample_wld_az2_host2_sddc_id">#REF!</definedName>
    <definedName name="sample_wld_az2_host2_vrms_ip">'Dumping Ground'!$C$311</definedName>
    <definedName name="sample_wld_az2_host3_fqdn">#REF!</definedName>
    <definedName name="sample_wld_az2_host3_mgmt_ip">#REF!</definedName>
    <definedName name="sample_wld_az2_host3_sddc_id">#REF!</definedName>
    <definedName name="sample_wld_az2_host3_vrms_ip">'Dumping Ground'!$C$312</definedName>
    <definedName name="sample_wld_az2_host4_fqdn">#REF!</definedName>
    <definedName name="sample_wld_az2_host4_mgmt_ip">#REF!</definedName>
    <definedName name="sample_wld_az2_host4_sddc_id">#REF!</definedName>
    <definedName name="sample_wld_az2_host4_vrms_ip">'Dumping Ground'!$C$313</definedName>
    <definedName name="sample_wld_az2_host5_fqdn">#REF!</definedName>
    <definedName name="sample_wld_az2_host5_mgmt_ip">#REF!</definedName>
    <definedName name="sample_wld_az2_host5_vrms_ip">'Dumping Ground'!$C$314</definedName>
    <definedName name="sample_wld_az2_host6_fqdn">#REF!</definedName>
    <definedName name="sample_wld_az2_host6_mgmt_ip">#REF!</definedName>
    <definedName name="sample_wld_az2_host6_vrms_ip">'Dumping Ground'!$C$315</definedName>
    <definedName name="sample_wld_az2_host7_fqdn">#REF!</definedName>
    <definedName name="sample_wld_az2_host7_mgmt_ip">#REF!</definedName>
    <definedName name="sample_wld_az2_host7_vrms_ip">'Dumping Ground'!$C$316</definedName>
    <definedName name="sample_wld_az2_host8_fqdn">#REF!</definedName>
    <definedName name="sample_wld_az2_host8_mgmt_ip">#REF!</definedName>
    <definedName name="sample_wld_az2_host8_vrms_ip">'Dumping Ground'!$C$317</definedName>
    <definedName name="sample_wld_az2_host9_fqdn">#REF!</definedName>
    <definedName name="sample_wld_az2_host9_mgmt_ip">#REF!</definedName>
    <definedName name="sample_wld_az2_host9_vrms_ip">'Dumping Ground'!$C$318</definedName>
    <definedName name="sample_wld_az2_mgmt_cidr">#REF!</definedName>
    <definedName name="sample_wld_az2_mgmt_gateway_ip">#REF!</definedName>
    <definedName name="sample_wld_az2_mgmt_mtu">#REF!</definedName>
    <definedName name="sample_wld_az2_mgmt_vlan">#REF!</definedName>
    <definedName name="sample_wld_az2_pool_name">#REF!</definedName>
    <definedName name="sample_wld_az2_principal_storage_gateway_ip">#REF!</definedName>
    <definedName name="sample_wld_az2_principal_storage_mask">#REF!</definedName>
    <definedName name="sample_wld_az2_principal_storage_mtu">#REF!</definedName>
    <definedName name="sample_wld_az2_principal_storage_network">#REF!</definedName>
    <definedName name="sample_wld_az2_principal_storage_pool_end_ip">#REF!</definedName>
    <definedName name="sample_wld_az2_principal_storage_pool_start_ip">#REF!</definedName>
    <definedName name="sample_wld_az2_principal_storage_vlan">#REF!</definedName>
    <definedName name="sample_wld_az2_secondary_storage_gateway_ip">#REF!</definedName>
    <definedName name="sample_wld_az2_secondary_storage_mask">#REF!</definedName>
    <definedName name="sample_wld_az2_secondary_storage_mtu">#REF!</definedName>
    <definedName name="sample_wld_az2_secondary_storage_network">#REF!</definedName>
    <definedName name="sample_wld_az2_secondary_storage_pool_end_ip">#REF!</definedName>
    <definedName name="sample_wld_az2_secondary_storage_pool_start_ip">#REF!</definedName>
    <definedName name="sample_wld_az2_secondary_storage_vlan">#REF!</definedName>
    <definedName name="sample_wld_az2_storage_cluster_gateway_ip">#REF!</definedName>
    <definedName name="sample_wld_az2_storage_cluster_mask">#REF!</definedName>
    <definedName name="sample_wld_az2_storage_cluster_mtu">#REF!</definedName>
    <definedName name="sample_wld_az2_storage_cluster_network">#REF!</definedName>
    <definedName name="sample_wld_az2_storage_cluster_pool_end_ip">#REF!</definedName>
    <definedName name="sample_wld_az2_storage_cluster_pool_start_ip">#REF!</definedName>
    <definedName name="sample_wld_az2_storage_cluster_vlan">#REF!</definedName>
    <definedName name="sample_wld_az2_tor1_peer_asn">#REF!</definedName>
    <definedName name="sample_wld_az2_tor1_peer_bgp_password">#REF!</definedName>
    <definedName name="sample_wld_az2_tor1_peer_ip">#REF!</definedName>
    <definedName name="sample_wld_az2_tor2_peer_asn">#REF!</definedName>
    <definedName name="sample_wld_az2_tor2_peer_bgp_password">#REF!</definedName>
    <definedName name="sample_wld_az2_tor2_peer_ip">#REF!</definedName>
    <definedName name="sample_wld_az2_vmotion_gateway_ip">#REF!</definedName>
    <definedName name="sample_wld_az2_vmotion_mask">#REF!</definedName>
    <definedName name="sample_wld_az2_vmotion_mtu">#REF!</definedName>
    <definedName name="sample_wld_az2_vmotion_network">#REF!</definedName>
    <definedName name="sample_wld_az2_vmotion_pool_end_ip">#REF!</definedName>
    <definedName name="sample_wld_az2_vmotion_pool_start_ip">#REF!</definedName>
    <definedName name="sample_wld_az2_vmotion_vlan">#REF!</definedName>
    <definedName name="sample_wld_bf_nsxt_admin_password">#REF!</definedName>
    <definedName name="sample_wld_bf_nsxt_audit_password">#REF!</definedName>
    <definedName name="sample_wld_bf_nsxt_mgra_fqdn">#REF!</definedName>
    <definedName name="sample_wld_bf_nsxt_mgrb_fqdn">#REF!</definedName>
    <definedName name="sample_wld_bf_nsxt_mgrc_fqdn">#REF!</definedName>
    <definedName name="sample_wld_bf_nsxt_root_password">#REF!</definedName>
    <definedName name="sample_wld_bf_nsxt_vip_fqdn">#REF!</definedName>
    <definedName name="sample_wld_bf_sddc_domain">#REF!</definedName>
    <definedName name="sample_wld_bf_vc_fqdn">#REF!</definedName>
    <definedName name="sample_wld_bf_vc_root_password">#REF!</definedName>
    <definedName name="sample_wld_bf_vc_sso_password">#REF!</definedName>
    <definedName name="sample_wld_bf_vc_sso_username">#REF!</definedName>
    <definedName name="sample_wld_cl01_az1_mgmt_pg">#REF!</definedName>
    <definedName name="sample_wld_cl01_az1_mgmt_vm_pg">#REF!</definedName>
    <definedName name="sample_wld_cl01_az1_nsx_uplink_count">#REF!</definedName>
    <definedName name="sample_wld_cl01_az1_principal_storage_pg">#REF!</definedName>
    <definedName name="sample_wld_cl01_az1_uplink01_pg">#REF!</definedName>
    <definedName name="sample_wld_cl01_az1_uplink02_pg">#REF!</definedName>
    <definedName name="sample_wld_cl01_az1_vmotion_pg">#REF!</definedName>
    <definedName name="sample_wld_cl01_az1_vsan_storage_client_pg">#REF!</definedName>
    <definedName name="sample_wld_cl01_cluster">#REF!</definedName>
    <definedName name="sample_wld_cl01_cluster_sddc_id">#REF!</definedName>
    <definedName name="sample_wld_cl01_cluster_zn_name">#REF!</definedName>
    <definedName name="sample_wld_cl01_evc_mode">'Dumping Ground'!$R$7</definedName>
    <definedName name="sample_wld_cl01_image_name">#REF!</definedName>
    <definedName name="sample_wld_cl01_nfs_datastore_name">#REF!</definedName>
    <definedName name="sample_wld_cl01_nfs_server_address">#REF!</definedName>
    <definedName name="sample_wld_cl01_nfs_share_path">#REF!</definedName>
    <definedName name="sample_wld_cl01_supervisor_control_plane_ip_range">#REF!</definedName>
    <definedName name="sample_wld_cl01_supervisor_dns">#REF!</definedName>
    <definedName name="sample_wld_cl01_supervisor_name">#REF!</definedName>
    <definedName name="sample_wld_cl01_supervisor_nsx_project">#REF!</definedName>
    <definedName name="sample_wld_cl01_supervisor_ntp">#REF!</definedName>
    <definedName name="sample_wld_cl01_supervisor_private_transit_gateway_cidr">#REF!</definedName>
    <definedName name="sample_wld_cl01_supervisor_service_cidr">#REF!</definedName>
    <definedName name="sample_wld_cl01_supervisor_vpc_profile">#REF!</definedName>
    <definedName name="sample_wld_cl01_vds01_lag_name">#REF!</definedName>
    <definedName name="sample_wld_cl01_vds01_mtu">#REF!</definedName>
    <definedName name="sample_wld_cl01_vds01_name">#REF!</definedName>
    <definedName name="sample_wld_cl01_vds01_pnics">#REF!</definedName>
    <definedName name="sample_wld_cl01_vds01_uplink_count">#REF!</definedName>
    <definedName name="sample_wld_cl01_vds02_lag_name">#REF!</definedName>
    <definedName name="sample_wld_cl01_vds02_mtu">#REF!</definedName>
    <definedName name="sample_wld_cl01_vds02_name">#REF!</definedName>
    <definedName name="sample_wld_cl01_vds02_pnics">#REF!</definedName>
    <definedName name="sample_wld_cl01_vds02_uplink_count">#REF!</definedName>
    <definedName name="sample_wld_cl01_vds03_lag_name">#REF!</definedName>
    <definedName name="sample_wld_cl01_vds03_mtu">#REF!</definedName>
    <definedName name="sample_wld_cl01_vds03_name">#REF!</definedName>
    <definedName name="sample_wld_cl01_vds03_pnics">#REF!</definedName>
    <definedName name="sample_wld_cl01_vds03_uplink_count">#REF!</definedName>
    <definedName name="sample_wld_cl01_vmfs_datastore_name">#REF!</definedName>
    <definedName name="sample_wld_cl01_vsan_datastore">#REF!</definedName>
    <definedName name="sample_wld_cl01_vsan_dit_rekey_custom_interval">#REF!</definedName>
    <definedName name="sample_wld_cl01_vsan_dit_rekey_default_interval">#REF!</definedName>
    <definedName name="sample_wld_datacenter">#REF!</definedName>
    <definedName name="sample_wld_day2_vnaa_cidr">#REF!</definedName>
    <definedName name="sample_wld_day2_vnaa_fqdn">#REF!</definedName>
    <definedName name="sample_wld_day2_vnab_cidr">#REF!</definedName>
    <definedName name="sample_wld_day2_vnab_fqdn">#REF!</definedName>
    <definedName name="sample_wld_ec_mtu">#REF!</definedName>
    <definedName name="sample_wld_ec_name">#REF!</definedName>
    <definedName name="sample_wld_ec_rp_name">#REF!</definedName>
    <definedName name="sample_wld_ec01_en01_host_group_affinity_rule_name">#REF!</definedName>
    <definedName name="sample_wld_ec01_en02_host_group_affinity_rule_name">#REF!</definedName>
    <definedName name="sample_wld_en_asn">#REF!</definedName>
    <definedName name="sample_wld_esx_root_password">#REF!</definedName>
    <definedName name="sample_wld_esx_root_username">#REF!</definedName>
    <definedName name="sample_wld_existing_active_nsx_gm">#REF!</definedName>
    <definedName name="sample_wld_existing_cross_instance_t0_name">#REF!</definedName>
    <definedName name="sample_wld_host_overlay_transportzone">#REF!</definedName>
    <definedName name="sample_wld_nsx_vlan_transport_zone_name">#REF!</definedName>
    <definedName name="sample_wld_nsxt_en_admin_password">#REF!</definedName>
    <definedName name="sample_wld_nsxt_en_root_password">#REF!</definedName>
    <definedName name="sample_wld_nsxt_federation_global_manager_name">#REF!</definedName>
    <definedName name="sample_wld_nsxt_federation_location_name">#REF!</definedName>
    <definedName name="sample_wld_nsxt_global_mgr_anti_affinity_rule_name">#REF!</definedName>
    <definedName name="sample_wld_nsxt_global_mgr_certificate_id">#REF!</definedName>
    <definedName name="sample_wld_nsxt_global_mgr_cluster_id">#REF!</definedName>
    <definedName name="sample_wld_nsxt_global_mgr_vmca_signed_thumbprint">#REF!</definedName>
    <definedName name="sample_wld_nsxt_global_mgra_fqdn">#REF!</definedName>
    <definedName name="sample_wld_nsxt_global_mgra_hostname">#REF!</definedName>
    <definedName name="sample_wld_nsxt_global_mgra_ip">#REF!</definedName>
    <definedName name="sample_wld_nsxt_global_mgrb_fqdn">#REF!</definedName>
    <definedName name="sample_wld_nsxt_global_mgrb_hostname">#REF!</definedName>
    <definedName name="sample_wld_nsxt_global_mgrb_ip">#REF!</definedName>
    <definedName name="sample_wld_nsxt_global_mgrc_fqdn">#REF!</definedName>
    <definedName name="sample_wld_nsxt_global_mgrc_hostname">#REF!</definedName>
    <definedName name="sample_wld_nsxt_global_mgrc_ip">#REF!</definedName>
    <definedName name="sample_wld_nsxt_gm_admin_password">#REF!</definedName>
    <definedName name="sample_wld_nsxt_gm_audit_password">#REF!</definedName>
    <definedName name="sample_wld_nsxt_gm_fingerprint">#REF!</definedName>
    <definedName name="sample_wld_nsxt_gm_root_password">#REF!</definedName>
    <definedName name="sample_wld_nsxt_gm_vip_fqdn">#REF!</definedName>
    <definedName name="sample_wld_nsxt_gm_vip_ip">#REF!</definedName>
    <definedName name="sample_wld_nsxt_lm_admin_password">#REF!</definedName>
    <definedName name="sample_wld_nsxt_lm_audit_password">#REF!</definedName>
    <definedName name="sample_wld_nsxt_lm_fingerprint">#REF!</definedName>
    <definedName name="sample_wld_nsxt_mgra_fqdn">#REF!</definedName>
    <definedName name="sample_wld_nsxt_mgra_ip">#REF!</definedName>
    <definedName name="sample_wld_nsxt_mgrb_fqdn">#REF!</definedName>
    <definedName name="sample_wld_nsxt_mgrb_ip">#REF!</definedName>
    <definedName name="sample_wld_nsxt_mgrc_fqdn">#REF!</definedName>
    <definedName name="sample_wld_nsxt_mgrc_ip">#REF!</definedName>
    <definedName name="sample_wld_nsxt_vip_fqdn">#REF!</definedName>
    <definedName name="sample_wld_nsxt_vip_ip">#REF!</definedName>
    <definedName name="sample_wld_nsxt_xreg_t1_name">#REF!</definedName>
    <definedName name="sample_wld_rack2_en_asn">Arkham!$B$73</definedName>
    <definedName name="sample_wld_rack3_en_asn">Arkham!$E$73</definedName>
    <definedName name="sample_wld_rack4_en_asn">Arkham!$H$73</definedName>
    <definedName name="sample_wld_rack5_en_asn">Arkham!$K$73</definedName>
    <definedName name="sample_wld_rack6_en_asn">Arkham!$N$73</definedName>
    <definedName name="sample_wld_rack7_en_asn">Arkham!$Q$73</definedName>
    <definedName name="sample_wld_rack8_en_asn">Arkham!$T$73</definedName>
    <definedName name="sample_wld_rtep_overlay_pool_end_ip">#REF!</definedName>
    <definedName name="sample_wld_rtep_overlay_pool_start_ip">#REF!</definedName>
    <definedName name="sample_wld_rwr_az1_vrms_gateway_ip">'On-Premises Ransomware Recovery'!$C$99</definedName>
    <definedName name="sample_wld_rwr_az1_vrms_gateway_mask">'On-Premises Ransomware Recovery'!$C$82</definedName>
    <definedName name="sample_wld_rwr_cl02_cluster">'On-Premises Ransomware Recovery'!$C$78</definedName>
    <definedName name="sample_wld_rwr_cl02_vds01">'On-Premises Ransomware Recovery'!$C$70</definedName>
    <definedName name="sample_wld_rwr_recovery_site_az1_vrms_cidr">'On-Premises Ransomware Recovery'!$C$100</definedName>
    <definedName name="sample_wld_rwr_recovery_site_nsx_ec_name">'On-Premises Ransomware Recovery'!$C$123</definedName>
    <definedName name="sample_wld_rwr_recovery_site_nsx_ec_t0_name">'On-Premises Ransomware Recovery'!$C$126</definedName>
    <definedName name="sample_wld_rwr_recovery_site_nsx_ec_t1_name">'On-Premises Ransomware Recovery'!$C$125</definedName>
    <definedName name="sample_wld_rwr_recovery_site_nsx_fqdn">'On-Premises Ransomware Recovery'!$C$118</definedName>
    <definedName name="sample_wld_rwr_recovery_site_vc_fqdn">'On-Premises Ransomware Recovery'!$C$153</definedName>
    <definedName name="sample_wld_rwr_recoverysite_fd">'On-Premises Ransomware Recovery'!$C$144</definedName>
    <definedName name="sample_wld_rwr_vc_fqdn">'On-Premises Ransomware Recovery'!$C$42</definedName>
    <definedName name="sample_wld_rwr_vcfops_vlsr_username">'On-Premises Ransomware Recovery'!$C$203</definedName>
    <definedName name="sample_wld_rwr_vcfops_vr_username">'On-Premises Ransomware Recovery'!$C$205</definedName>
    <definedName name="sample_wld_sddc_domain">#REF!</definedName>
    <definedName name="sample_wld_srm_admin_email">'Dumping Ground'!$C$82</definedName>
    <definedName name="sample_wld_srm_admin_password">'Dumping Ground'!$C$79</definedName>
    <definedName name="sample_wld_srm_database_password">'Dumping Ground'!$C$80</definedName>
    <definedName name="sample_wld_srm_hostname">'Dumping Ground'!$D$12</definedName>
    <definedName name="sample_wld_srm_ip">'Dumping Ground'!$F$12</definedName>
    <definedName name="sample_wld_srm_p12_password">'Dumping Ground'!$C$83</definedName>
    <definedName name="sample_wld_srm_recovery_vcenter_fqdn">'Dumping Ground'!$C$85</definedName>
    <definedName name="sample_wld_srm_recovery_vcenter_password">'Dumping Ground'!$C$87</definedName>
    <definedName name="sample_wld_srm_recovery_vcenter_username">'Dumping Ground'!$C$86</definedName>
    <definedName name="sample_wld_srm_root_password">'Dumping Ground'!$C$78</definedName>
    <definedName name="sample_wld_srm_site_name">'Dumping Ground'!$C$81</definedName>
    <definedName name="sample_wld_srm_sso_domain_membership">'Dumping Ground'!$C$89</definedName>
    <definedName name="sample_wld_srm_vm_folder">'Dumping Ground'!$C$77</definedName>
    <definedName name="sample_wld_sso_domain_name">#REF!</definedName>
    <definedName name="sample_wld_supvr_api_server_fqdn">#REF!</definedName>
    <definedName name="sample_wld_supvr_cp_storage_policy">#REF!</definedName>
    <definedName name="sample_wld_supvr_ed_storage_policy">#REF!</definedName>
    <definedName name="sample_wld_supvr_ic_storage_policy">#REF!</definedName>
    <definedName name="sample_wld_supvr_ip_address_range">#REF!</definedName>
    <definedName name="sample_wld_supvr_mgmt_dns_server">#REF!</definedName>
    <definedName name="sample_wld_supvr_mgmt_dns_zones">#REF!</definedName>
    <definedName name="sample_wld_supvr_mgmt_ntp_server">#REF!</definedName>
    <definedName name="sample_wld_supvr_name">#REF!</definedName>
    <definedName name="sample_wld_supvr_nsx_project">#REF!</definedName>
    <definedName name="sample_wld_supvr_vpc_connectivity_profile">#REF!</definedName>
    <definedName name="sample_wld_supvr_vpc_ext_ip_blocks_name">#REF!</definedName>
    <definedName name="sample_wld_supvr_vpc_priv_cidr">#REF!</definedName>
    <definedName name="sample_wld_supvr_vpc_priv_ip_blocks_name">#REF!</definedName>
    <definedName name="sample_wld_supvr_vpc_service_cidr">#REF!</definedName>
    <definedName name="sample_wld_supvr_wld_dns_server">#REF!</definedName>
    <definedName name="sample_wld_supvr_wld_ntp_server">#REF!</definedName>
    <definedName name="sample_wld_supvr_zone_name">#REF!</definedName>
    <definedName name="sample_wld_tier0_name">#REF!</definedName>
    <definedName name="sample_wld_vc_fqdn">#REF!</definedName>
    <definedName name="sample_wld_vc_ip">#REF!</definedName>
    <definedName name="sample_wld_vcenter_root_password">#REF!</definedName>
    <definedName name="sample_wld_vlr_admin_password">'On-Premises Ransomware Recovery'!$C$17</definedName>
    <definedName name="sample_wld_vlr_fqdn">'On-Premises Ransomware Recovery'!$C$15</definedName>
    <definedName name="sample_wld_vlr_hostname">'On-Premises Ransomware Recovery'!$C$11</definedName>
    <definedName name="sample_wld_vlr_mgmt_ip">'On-Premises Ransomware Recovery'!$C$23</definedName>
    <definedName name="sample_wld_vlr_replication_user">'On-Premises Ransomware Recovery'!$C$44</definedName>
    <definedName name="sample_wld_vlr_root_password">'On-Premises Ransomware Recovery'!$C$16</definedName>
    <definedName name="sample_wld_vna_rp_name">#REF!</definedName>
    <definedName name="sample_wld_vnaa_fqdn">#REF!</definedName>
    <definedName name="sample_wld_vnaa_ip">#REF!</definedName>
    <definedName name="sample_wld_vnab_fqdn">#REF!</definedName>
    <definedName name="sample_wld_vnab_ip">#REF!</definedName>
    <definedName name="sample_wld_vpc_ext_ip_blocks">#REF!</definedName>
    <definedName name="sample_wld_vpc_ext_ip_blocks_cidr">#REF!</definedName>
    <definedName name="sample_wld_vpc_ext_ip_blocks_excluded_ips">#REF!</definedName>
    <definedName name="sample_wld_vpc_ext_ip_blocks_name">#REF!</definedName>
    <definedName name="sample_wld_vpc_ext_ip_blocks_reserved">#REF!</definedName>
    <definedName name="sample_wld_vpc_ext_ip_blocks_visability">#REF!</definedName>
    <definedName name="sample_wld_vpc_priv_ip_blocks_excluded_ips">#REF!</definedName>
    <definedName name="sample_wld_vpc_priv_ip_blocks_name">#REF!</definedName>
    <definedName name="sample_wld_vpc_priv_ip_blocks_reserved">#REF!</definedName>
    <definedName name="sample_wld_vpc_priv_ip_blocks_visability">#REF!</definedName>
    <definedName name="sample_wld_vpc_transit_gateway_ip_blocks">#REF!</definedName>
    <definedName name="sample_wld_vpc_transit_gateway_ip_blocks_cidr">#REF!</definedName>
    <definedName name="sample_wld_vpc_vna_cluster_name">#REF!</definedName>
    <definedName name="sample_wld_vrms_admin_email">'Dumping Ground'!$C$73</definedName>
    <definedName name="sample_wld_vrms_admin_password">'Dumping Ground'!$C$71</definedName>
    <definedName name="sample_wld_vrms_hostname">'Dumping Ground'!$D$10</definedName>
    <definedName name="sample_wld_vrms_mgmt_ip">'Dumping Ground'!$F$10</definedName>
    <definedName name="sample_wld_vrms_p12_password">'Dumping Ground'!$C$75</definedName>
    <definedName name="sample_wld_vrms_pg">'Dumping Ground'!$C$74</definedName>
    <definedName name="sample_wld_vrms_recovery_replication_cidr">'Dumping Ground'!$C$88</definedName>
    <definedName name="sample_wld_vrms_root_password">'Dumping Ground'!$C$70</definedName>
    <definedName name="sample_wld_vrms_site_name">'Dumping Ground'!$C$72</definedName>
    <definedName name="sample_wld_vrms_vm_folder">'Dumping Ground'!$C$69</definedName>
    <definedName name="sample_wld_vrms_vrms_ip">'Dumping Ground'!$F$11</definedName>
    <definedName name="sample_wld_witness_cluster">#REF!</definedName>
    <definedName name="sample_wld_witness_dns1_ip">#REF!</definedName>
    <definedName name="sample_wld_witness_dns2_ip">#REF!</definedName>
    <definedName name="sample_wld_witness_fqdn">#REF!</definedName>
    <definedName name="sample_wld_witness_hostname">#REF!</definedName>
    <definedName name="sample_wld_witness_ip">#REF!</definedName>
    <definedName name="sample_wld_witness_mgmt_pg">#REF!</definedName>
    <definedName name="sample_wld_witness_ntp1_server">#REF!</definedName>
    <definedName name="sample_wld_witness_ntp2_server">#REF!</definedName>
    <definedName name="sample_wld_witness_root_password">#REF!</definedName>
    <definedName name="sample_wld_witness_vm_folder">#REF!</definedName>
    <definedName name="sample_wld_witness_vsan_datastore">#REF!</definedName>
    <definedName name="sample_wld_witness_zone_vc_fqdn">#REF!</definedName>
    <definedName name="sample_wld_witness_zone_vc_ip">#REF!</definedName>
    <definedName name="sample_wld_witnessaz_mgmt_cidr">#REF!</definedName>
    <definedName name="sample_wld_witnessaz_mgmt_gateway_ip">#REF!</definedName>
    <definedName name="sample_wld_witnessaz_mgmt_mtu">#REF!</definedName>
    <definedName name="sample_wld_witnessaz_mgmt_vlan">#REF!</definedName>
    <definedName name="sample_xreg_seg01_name">#REF!</definedName>
    <definedName name="sample_xreg_vra_admin_password">#REF!</definedName>
    <definedName name="sample_xreg_vra_prefix">#REF!</definedName>
    <definedName name="sample_xreg_vra_virtual_fqdn">#REF!</definedName>
    <definedName name="sample_xreg_vra_virtual_ip">#REF!</definedName>
    <definedName name="sample_xreg_vra_vm_folder">'Dumping Ground'!$C$107</definedName>
    <definedName name="sample_xreg_vrops_admin_password">#REF!</definedName>
    <definedName name="sample_xreg_vrops_collector_fqdn">#REF!</definedName>
    <definedName name="sample_xreg_vrops_collector_ip">#REF!</definedName>
    <definedName name="sample_xreg_vrops_collector_root_password">#REF!</definedName>
    <definedName name="sample_xreg_vrops_nodea_fqdn">#REF!</definedName>
    <definedName name="sample_xreg_vrops_nodea_ip">#REF!</definedName>
    <definedName name="sample_xreg_vrops_nodeb_fqdn">#REF!</definedName>
    <definedName name="sample_xreg_vrops_nodeb_ip">#REF!</definedName>
    <definedName name="sample_xreg_vrops_nodec_fqdn">#REF!</definedName>
    <definedName name="sample_xreg_vrops_nodec_ip">#REF!</definedName>
    <definedName name="sample_xreg_vrops_root_password">#REF!</definedName>
    <definedName name="sample_xreg_vrops_srm_sso_password">'Site Protection &amp; DR'!$C$481</definedName>
    <definedName name="sample_xreg_vrops_srm_sso_username">'Site Protection &amp; DR'!$C$480</definedName>
    <definedName name="sample_xreg_vrops_virtual_fqdn">#REF!</definedName>
    <definedName name="sample_xreg_vrops_virtual_ip">#REF!</definedName>
    <definedName name="sample_xreg_vrops_vm_folder">'Dumping Ground'!$C$106</definedName>
    <definedName name="sample_xreg_vrops_vrms_sso_password">'Site Protection &amp; DR'!$C$479</definedName>
    <definedName name="sample_xreg_vrops_vrms_sso_username">'Site Protection &amp; DR'!$C$478</definedName>
    <definedName name="sample_xreg_vrslcm_fqdn">#REF!</definedName>
    <definedName name="sample_xreg_vrslcm_ip">#REF!</definedName>
    <definedName name="sample_xreg_wsa_vm_folder">'Dumping Ground'!$C$105</definedName>
    <definedName name="sample_xregion_dns1_ip">Arkham!$B$13</definedName>
    <definedName name="sample_xregion_dns2_ip">Arkham!$B$14</definedName>
    <definedName name="sample_xregion_ntp1_server">Arkham!$B$18</definedName>
    <definedName name="sample_xregion_ntp2_server">Arkham!$B$19</definedName>
    <definedName name="sddc_mgr_admin_local_password">'Value Reference Tables'!$L$29</definedName>
    <definedName name="sddc_mgr_fqdn">'Value Reference Tables'!$C$58</definedName>
    <definedName name="sddc_mgr_hostname">'Value Reference Tables'!$C$38</definedName>
    <definedName name="sddc_mgr_ip">'Value Reference Tables'!$C$15</definedName>
    <definedName name="sddc_mgr_root_password">'Value Reference Tables'!$L$27</definedName>
    <definedName name="sddc_mgr_vcf_password">'Value Reference Tables'!$L$28</definedName>
    <definedName name="sddc_mgr_vcf_username">'Value Reference Tables'!$K$27</definedName>
    <definedName name="sftp_server">'Value Reference Tables'!$L$179</definedName>
    <definedName name="sftp_server_backup_dir">'Value Reference Tables'!$O$49</definedName>
    <definedName name="sftp_server_ip">'Value Reference Tables'!$L$60</definedName>
    <definedName name="sftp_server_passphrase">'Value Reference Tables'!$O$51</definedName>
    <definedName name="sftp_server_port">'Value Reference Tables'!$O$46</definedName>
    <definedName name="sftp_server_protocol">'Value Reference Tables'!$O$47</definedName>
    <definedName name="sftp_server_sshfingerprint">'Value Reference Tables'!$O$50</definedName>
    <definedName name="shared_edge_and_compute">'Static Reference Tables'!$B$422</definedName>
    <definedName name="sizing_cbr_cpu">'Static Reference Tables'!$C$231</definedName>
    <definedName name="sizing_cbr_disk">'Static Reference Tables'!$C$233</definedName>
    <definedName name="sizing_cbr_ram">'Static Reference Tables'!$C$232</definedName>
    <definedName name="sizing_ccm_hcx_cpu">'Static Reference Tables'!$C$235</definedName>
    <definedName name="sizing_ccm_hcx_disk">'Static Reference Tables'!$C$237</definedName>
    <definedName name="sizing_ccm_hcx_ram">'Static Reference Tables'!$C$236</definedName>
    <definedName name="sizing_cpu_oversubscription">#REF!</definedName>
    <definedName name="sizing_disk_groups_per_host">#REF!</definedName>
    <definedName name="sizing_estimated_growth">#REF!</definedName>
    <definedName name="sizing_hrm_hvm_cpu">'Static Reference Tables'!$C$197</definedName>
    <definedName name="sizing_hrm_hvm_disk">'Static Reference Tables'!$C$199</definedName>
    <definedName name="sizing_hrm_hvm_ram">'Static Reference Tables'!$C$198</definedName>
    <definedName name="sizing_inv_cpu">'Static Reference Tables'!$C$207</definedName>
    <definedName name="sizing_inv_platform_node_cpu">'Static Reference Tables'!$C$203</definedName>
    <definedName name="sizing_log_replicas_large">'Static Reference Tables'!$E$326:$E$340</definedName>
    <definedName name="sizing_log_replicas_medium">'Static Reference Tables'!$E$323:$E$339</definedName>
    <definedName name="sizing_log_replicas_small">'Static Reference Tables'!$E$321:$E$339</definedName>
    <definedName name="sizing_m01_included">#REF!</definedName>
    <definedName name="sizing_m01_nsxt_appliance_size">#REF!</definedName>
    <definedName name="sizing_m01_nsxt_edge_size">#REF!</definedName>
    <definedName name="sizing_m01_nsxt_gm_appliance_size">#REF!</definedName>
    <definedName name="sizing_m01_nsxt_gm_appliance_size_chosen">#REF!</definedName>
    <definedName name="sizing_m01_ssp_chosen">#REF!</definedName>
    <definedName name="sizing_m01_vcenter_appliance_size">#REF!</definedName>
    <definedName name="sizing_m01_vcenter_storage_size_chosen">#REF!</definedName>
    <definedName name="sizing_mgmt_avi_lb_appliance_size">#REF!</definedName>
    <definedName name="sizing_mgmt_avilb_cluster_chosen">#REF!</definedName>
    <definedName name="sizing_mgmt_cluster_host_core_count">#REF!</definedName>
    <definedName name="sizing_mgmt_cluster_host_ram_count">#REF!</definedName>
    <definedName name="sizing_mgmt_ec_formfactor_chosen">#REF!</definedName>
    <definedName name="sizing_mgmt_nsxt_global_appliance_chosen">#REF!</definedName>
    <definedName name="sizing_nsxt_edge_sizing_list">'Static Reference Tables'!$C$21:$C$29</definedName>
    <definedName name="sizing_nsxt_manager_size_list">'Static Reference Tables'!$C$17:$C$20</definedName>
    <definedName name="sizing_ram_oversubscription">#REF!</definedName>
    <definedName name="sizing_sddc_manager_cpu">'Static Reference Tables'!$C$33</definedName>
    <definedName name="sizing_sddc_manager_disk">'Static Reference Tables'!$C$35</definedName>
    <definedName name="sizing_sddc_manager_ram">'Static Reference Tables'!$C$34</definedName>
    <definedName name="sizing_storage_type">#REF!</definedName>
    <definedName name="sizing_table_ssp_lic_cpu">'Static Reference Tables'!$C$268</definedName>
    <definedName name="sizing_table_ssp_lic_disk">'Static Reference Tables'!$C$270</definedName>
    <definedName name="sizing_table_ssp_lic_ram">'Static Reference Tables'!$C$269</definedName>
    <definedName name="sizing_vcenter_appliance_size_list">'Static Reference Tables'!$C$8:$C$12</definedName>
    <definedName name="sizing_vcenter_storage_size_list">'Static Reference Tables'!$C$13:$C$15</definedName>
    <definedName name="sizing_vcf_deployment_model">'Static Reference Tables'!$C$265:$C$266</definedName>
    <definedName name="sizing_vcf_deployment_model_chosen">#REF!</definedName>
    <definedName name="sizing_vcf_deployment_model_small">'Static Reference Tables'!$C$264</definedName>
    <definedName name="sizing_vcf_deployment_size_chosen">#REF!</definedName>
    <definedName name="sizing_vcf_instance_model">#REF!</definedName>
    <definedName name="sizing_vcfauto_chosen">#REF!</definedName>
    <definedName name="sizing_vcfms_chosen">#REF!</definedName>
    <definedName name="sizing_vcfops_collector_chosen">#REF!</definedName>
    <definedName name="sizing_vcfops_ha_chosen">#REF!</definedName>
    <definedName name="sizing_vcfops_logs_chosen">#REF!</definedName>
    <definedName name="sizing_vcfops_logs_replica_count_chosen">#REF!</definedName>
    <definedName name="sizing_vcfops_net_chosen">#REF!</definedName>
    <definedName name="sizing_vcfrtm_chosen">#REF!</definedName>
    <definedName name="sizing_vcfsd_chosen">#REF!</definedName>
    <definedName name="sizing_vcfvidb_chosen">#REF!</definedName>
    <definedName name="sizing_virtual_machine_overhead">#REF!</definedName>
    <definedName name="sizing_vm_cpu_requirements">#REF!</definedName>
    <definedName name="sizing_vm_ram_requirements">#REF!</definedName>
    <definedName name="sizing_vm_storage_requirements">#REF!</definedName>
    <definedName name="sizing_w01_avi_appliance_size">#REF!</definedName>
    <definedName name="sizing_w01_chosen">#REF!</definedName>
    <definedName name="sizing_w01_gm_chosen">#REF!</definedName>
    <definedName name="sizing_w01_nsxt_appliance_size">#REF!</definedName>
    <definedName name="sizing_w01_nsxt_gm_appliance_size">#REF!</definedName>
    <definedName name="sizing_w01_nsxt_model">#REF!</definedName>
    <definedName name="sizing_w01_spr_chosen">#REF!</definedName>
    <definedName name="sizing_w01_ssp_chosen">#REF!</definedName>
    <definedName name="sizing_w01_vcenter_appliance_size">#REF!</definedName>
    <definedName name="sizing_w01_vcenter_storage_size">#REF!</definedName>
    <definedName name="sizing_w02_avi_appliance_size">#REF!</definedName>
    <definedName name="sizing_w02_chosen">#REF!</definedName>
    <definedName name="sizing_w02_gm_chosen">#REF!</definedName>
    <definedName name="sizing_w02_nsxt_appliance_size">#REF!</definedName>
    <definedName name="sizing_w02_nsxt_gm_appliance_size">#REF!</definedName>
    <definedName name="sizing_w02_nsxt_model">#REF!</definedName>
    <definedName name="sizing_w02_spr_chosen">#REF!</definedName>
    <definedName name="sizing_w02_ssp_chosen">#REF!</definedName>
    <definedName name="sizing_w02_vcenter_appliance_size">#REF!</definedName>
    <definedName name="sizing_w02_vcenter_storage_size">#REF!</definedName>
    <definedName name="sizing_w03_avi_appliance_size">#REF!</definedName>
    <definedName name="sizing_w03_chosen">#REF!</definedName>
    <definedName name="sizing_w03_gm_chosen">#REF!</definedName>
    <definedName name="sizing_w03_nsxt_appliance_size">#REF!</definedName>
    <definedName name="sizing_w03_nsxt_gm_appliance_size">#REF!</definedName>
    <definedName name="sizing_w03_nsxt_model">#REF!</definedName>
    <definedName name="sizing_w03_spr_chosen">#REF!</definedName>
    <definedName name="sizing_w03_ssp_chosen">#REF!</definedName>
    <definedName name="sizing_w03_vcenter_appliance_size">#REF!</definedName>
    <definedName name="sizing_w03_vcenter_storage_size">#REF!</definedName>
    <definedName name="sizing_w04_avi_appliance_size">#REF!</definedName>
    <definedName name="sizing_w04_chosen">#REF!</definedName>
    <definedName name="sizing_w04_gm_chosen">#REF!</definedName>
    <definedName name="sizing_w04_nsxt_appliance_size">#REF!</definedName>
    <definedName name="sizing_w04_nsxt_gm_appliance_size">#REF!</definedName>
    <definedName name="sizing_w04_nsxt_model">#REF!</definedName>
    <definedName name="sizing_w04_spr_chosen">#REF!</definedName>
    <definedName name="sizing_w04_ssp_chosen">#REF!</definedName>
    <definedName name="sizing_w04_vcenter_appliance_size">#REF!</definedName>
    <definedName name="sizing_w04_vcenter_storage_size">#REF!</definedName>
    <definedName name="sizing_w05_avi_appliance_size">#REF!</definedName>
    <definedName name="sizing_w05_chosen">#REF!</definedName>
    <definedName name="sizing_w05_gm_chosen">#REF!</definedName>
    <definedName name="sizing_w05_nsxt_appliance_size">#REF!</definedName>
    <definedName name="sizing_w05_nsxt_gm_appliance_size">#REF!</definedName>
    <definedName name="sizing_w05_nsxt_model">#REF!</definedName>
    <definedName name="sizing_w05_spr_chosen">#REF!</definedName>
    <definedName name="sizing_w05_ssp_chosen">#REF!</definedName>
    <definedName name="sizing_w05_vcenter_appliance_size">#REF!</definedName>
    <definedName name="sizing_w05_vcenter_storage_size">#REF!</definedName>
    <definedName name="sizing_w06_avi_appliance_size">#REF!</definedName>
    <definedName name="sizing_w06_chosen">#REF!</definedName>
    <definedName name="sizing_w06_gm_chosen">#REF!</definedName>
    <definedName name="sizing_w06_nsxt_appliance_size">#REF!</definedName>
    <definedName name="sizing_w06_nsxt_gm_appliance_size">#REF!</definedName>
    <definedName name="sizing_w06_nsxt_model">#REF!</definedName>
    <definedName name="sizing_w06_spr_chosen">#REF!</definedName>
    <definedName name="sizing_w06_ssp_chosen">#REF!</definedName>
    <definedName name="sizing_w06_vcenter_appliance_size">#REF!</definedName>
    <definedName name="sizing_w06_vcenter_storage_size">#REF!</definedName>
    <definedName name="sizing_w07_avi_appliance_size">#REF!</definedName>
    <definedName name="sizing_w07_chosen">#REF!</definedName>
    <definedName name="sizing_w07_gm_chosen">#REF!</definedName>
    <definedName name="sizing_w07_nsxt_appliance_size">#REF!</definedName>
    <definedName name="sizing_w07_nsxt_gm_appliance_size">#REF!</definedName>
    <definedName name="sizing_w07_nsxt_model">#REF!</definedName>
    <definedName name="sizing_w07_spr_chosen">#REF!</definedName>
    <definedName name="sizing_w07_ssp_chosen">#REF!</definedName>
    <definedName name="sizing_w07_vcenter_appliance_size">#REF!</definedName>
    <definedName name="sizing_w07_vcenter_storage_size">#REF!</definedName>
    <definedName name="sizing_w08_avi_appliance_size">#REF!</definedName>
    <definedName name="sizing_w08_chosen">#REF!</definedName>
    <definedName name="sizing_w08_gm_chosen">#REF!</definedName>
    <definedName name="sizing_w08_nsxt_appliance_size">#REF!</definedName>
    <definedName name="sizing_w08_nsxt_gm_appliance_size">#REF!</definedName>
    <definedName name="sizing_w08_nsxt_model">#REF!</definedName>
    <definedName name="sizing_w08_spr_chosen">#REF!</definedName>
    <definedName name="sizing_w08_ssp_chosen">#REF!</definedName>
    <definedName name="sizing_w08_vcenter_appliance_size">#REF!</definedName>
    <definedName name="sizing_w08_vcenter_storage_size">#REF!</definedName>
    <definedName name="sizing_w09_avi_appliance_size">#REF!</definedName>
    <definedName name="sizing_w09_chosen">#REF!</definedName>
    <definedName name="sizing_w09_gm_chosen">#REF!</definedName>
    <definedName name="sizing_w09_nsxt_appliance_size">#REF!</definedName>
    <definedName name="sizing_w09_nsxt_gm_appliance_size">#REF!</definedName>
    <definedName name="sizing_w09_nsxt_model">#REF!</definedName>
    <definedName name="sizing_w09_spr_chosen">#REF!</definedName>
    <definedName name="sizing_w09_ssp_chosen">#REF!</definedName>
    <definedName name="sizing_w09_vcenter_appliance_size">#REF!</definedName>
    <definedName name="sizing_w09_vcenter_storage_size">#REF!</definedName>
    <definedName name="sizing_w10_avi_appliance_size">#REF!</definedName>
    <definedName name="sizing_w10_chosen">#REF!</definedName>
    <definedName name="sizing_w10_gm_chosen">#REF!</definedName>
    <definedName name="sizing_w10_nsxt_appliance_size">#REF!</definedName>
    <definedName name="sizing_w10_nsxt_gm_appliance_size">#REF!</definedName>
    <definedName name="sizing_w10_nsxt_model">#REF!</definedName>
    <definedName name="sizing_w10_spr_chosen">#REF!</definedName>
    <definedName name="sizing_w10_ssp_chosen">#REF!</definedName>
    <definedName name="sizing_w10_vcenter_appliance_size">#REF!</definedName>
    <definedName name="sizing_w10_vcenter_storage_size">#REF!</definedName>
    <definedName name="sizing_w11_avi_appliance_size">#REF!</definedName>
    <definedName name="sizing_w11_chosen">#REF!</definedName>
    <definedName name="sizing_w11_gm_chosen">#REF!</definedName>
    <definedName name="sizing_w11_nsxt_appliance_size">#REF!</definedName>
    <definedName name="sizing_w11_nsxt_gm_appliance_size">#REF!</definedName>
    <definedName name="sizing_w11_nsxt_model">#REF!</definedName>
    <definedName name="sizing_w11_spr_chosen">#REF!</definedName>
    <definedName name="sizing_w11_ssp_chosen">#REF!</definedName>
    <definedName name="sizing_w11_vcenter_appliance_size">#REF!</definedName>
    <definedName name="sizing_w11_vcenter_storage_size">#REF!</definedName>
    <definedName name="sizing_w12_avi_appliance_size">#REF!</definedName>
    <definedName name="sizing_w12_chosen">#REF!</definedName>
    <definedName name="sizing_w12_gm_chosen">#REF!</definedName>
    <definedName name="sizing_w12_nsxt_appliance_size">#REF!</definedName>
    <definedName name="sizing_w12_nsxt_gm_appliance_size">#REF!</definedName>
    <definedName name="sizing_w12_nsxt_model">#REF!</definedName>
    <definedName name="sizing_w12_spr_chosen">#REF!</definedName>
    <definedName name="sizing_w12_ssp_chosen">#REF!</definedName>
    <definedName name="sizing_w12_vcenter_appliance_size">#REF!</definedName>
    <definedName name="sizing_w12_vcenter_storage_size">#REF!</definedName>
    <definedName name="sizing_w13_avi_appliance_size">#REF!</definedName>
    <definedName name="sizing_w13_chosen">#REF!</definedName>
    <definedName name="sizing_w13_gm_chosen">#REF!</definedName>
    <definedName name="sizing_w13_nsxt_appliance_size">#REF!</definedName>
    <definedName name="sizing_w13_nsxt_gm_appliance_size">#REF!</definedName>
    <definedName name="sizing_w13_nsxt_model">#REF!</definedName>
    <definedName name="sizing_w13_spr_chosen">#REF!</definedName>
    <definedName name="sizing_w13_ssp_chosen">#REF!</definedName>
    <definedName name="sizing_w13_vcenter_appliance_size">#REF!</definedName>
    <definedName name="sizing_w13_vcenter_storage_size">#REF!</definedName>
    <definedName name="sizing_w14_avi_appliance_size">#REF!</definedName>
    <definedName name="sizing_w14_chosen">#REF!</definedName>
    <definedName name="sizing_w14_gm_chosen">#REF!</definedName>
    <definedName name="sizing_w14_nsxt_appliance_size">#REF!</definedName>
    <definedName name="sizing_w14_nsxt_gm_appliance_size">#REF!</definedName>
    <definedName name="sizing_w14_nsxt_model">#REF!</definedName>
    <definedName name="sizing_w14_spr_chosen">#REF!</definedName>
    <definedName name="sizing_w14_ssp_chosen">#REF!</definedName>
    <definedName name="sizing_w14_vcenter_appliance_size">#REF!</definedName>
    <definedName name="sizing_w14_vcenter_storage_size">#REF!</definedName>
    <definedName name="sizing_w15_avi_appliance_size">#REF!</definedName>
    <definedName name="sizing_w15_chosen">#REF!</definedName>
    <definedName name="sizing_w15_gm_chosen">#REF!</definedName>
    <definedName name="sizing_w15_nsxt_appliance_size">#REF!</definedName>
    <definedName name="sizing_w15_nsxt_gm_appliance_size">#REF!</definedName>
    <definedName name="sizing_w15_nsxt_model">#REF!</definedName>
    <definedName name="sizing_w15_spr_chosen">#REF!</definedName>
    <definedName name="sizing_w15_ssp_chosen">#REF!</definedName>
    <definedName name="sizing_w15_vcenter_appliance_size">#REF!</definedName>
    <definedName name="sizing_w15_vcenter_storage_size">#REF!</definedName>
    <definedName name="sizing_w16_avi_appliance_size">#REF!</definedName>
    <definedName name="sizing_w16_chosen">#REF!</definedName>
    <definedName name="sizing_w16_gm_chosen">#REF!</definedName>
    <definedName name="sizing_w16_nsxt_appliance_size">#REF!</definedName>
    <definedName name="sizing_w16_nsxt_gm_appliance_size">#REF!</definedName>
    <definedName name="sizing_w16_nsxt_model">#REF!</definedName>
    <definedName name="sizing_w16_spr_chosen">#REF!</definedName>
    <definedName name="sizing_w16_ssp_chosen">#REF!</definedName>
    <definedName name="sizing_w16_vcenter_appliance_size">#REF!</definedName>
    <definedName name="sizing_w16_vcenter_storage_size">#REF!</definedName>
    <definedName name="sizing_w17_avi_appliance_size">#REF!</definedName>
    <definedName name="sizing_w17_chosen">#REF!</definedName>
    <definedName name="sizing_w17_gm_chosen">#REF!</definedName>
    <definedName name="sizing_w17_nsxt_appliance_size">#REF!</definedName>
    <definedName name="sizing_w17_nsxt_gm_appliance_size">#REF!</definedName>
    <definedName name="sizing_w17_nsxt_model">#REF!</definedName>
    <definedName name="sizing_w17_spr_chosen">#REF!</definedName>
    <definedName name="sizing_w17_ssp_chosen">#REF!</definedName>
    <definedName name="sizing_w17_vcenter_appliance_size">#REF!</definedName>
    <definedName name="sizing_w17_vcenter_storage_size">#REF!</definedName>
    <definedName name="sizing_w18_avi_appliance_size">#REF!</definedName>
    <definedName name="sizing_w18_chosen">#REF!</definedName>
    <definedName name="sizing_w18_gm_chosen">#REF!</definedName>
    <definedName name="sizing_w18_nsxt_appliance_size">#REF!</definedName>
    <definedName name="sizing_w18_nsxt_gm_appliance_size">#REF!</definedName>
    <definedName name="sizing_w18_nsxt_model">#REF!</definedName>
    <definedName name="sizing_w18_spr_chosen">#REF!</definedName>
    <definedName name="sizing_w18_ssp_chosen">#REF!</definedName>
    <definedName name="sizing_w18_vcenter_appliance_size">#REF!</definedName>
    <definedName name="sizing_w18_vcenter_storage_size">#REF!</definedName>
    <definedName name="sizing_w19_avi_appliance_size">#REF!</definedName>
    <definedName name="sizing_w19_chosen">#REF!</definedName>
    <definedName name="sizing_w19_gm_chosen">#REF!</definedName>
    <definedName name="sizing_w19_nsxt_appliance_size">#REF!</definedName>
    <definedName name="sizing_w19_nsxt_gm_appliance_size">#REF!</definedName>
    <definedName name="sizing_w19_nsxt_model">#REF!</definedName>
    <definedName name="sizing_w19_spr_chosen">#REF!</definedName>
    <definedName name="sizing_w19_ssp_chosen">#REF!</definedName>
    <definedName name="sizing_w19_vcenter_appliance_size">#REF!</definedName>
    <definedName name="sizing_w19_vcenter_storage_size">#REF!</definedName>
    <definedName name="sizing_w20_avi_appliance_size">#REF!</definedName>
    <definedName name="sizing_w20_chosen">#REF!</definedName>
    <definedName name="sizing_w20_gm_chosen">#REF!</definedName>
    <definedName name="sizing_w20_nsxt_appliance_size">#REF!</definedName>
    <definedName name="sizing_w20_nsxt_gm_appliance_size">#REF!</definedName>
    <definedName name="sizing_w20_nsxt_model">#REF!</definedName>
    <definedName name="sizing_w20_spr_chosen">#REF!</definedName>
    <definedName name="sizing_w20_ssp_chosen">#REF!</definedName>
    <definedName name="sizing_w20_vcenter_appliance_size">#REF!</definedName>
    <definedName name="sizing_w20_vcenter_storage_size">#REF!</definedName>
    <definedName name="sizing_w21_avi_appliance_size">#REF!</definedName>
    <definedName name="sizing_w21_chosen">#REF!</definedName>
    <definedName name="sizing_w21_gm_chosen">#REF!</definedName>
    <definedName name="sizing_w21_nsxt_appliance_size">#REF!</definedName>
    <definedName name="sizing_w21_nsxt_gm_appliance_size">#REF!</definedName>
    <definedName name="sizing_w21_nsxt_model">#REF!</definedName>
    <definedName name="sizing_w21_spr_chosen">#REF!</definedName>
    <definedName name="sizing_w21_ssp_chosen">#REF!</definedName>
    <definedName name="sizing_w21_vcenter_appliance_size">#REF!</definedName>
    <definedName name="sizing_w21_vcenter_storage_size">#REF!</definedName>
    <definedName name="sizing_w22_avi_appliance_size">#REF!</definedName>
    <definedName name="sizing_w22_chosen">#REF!</definedName>
    <definedName name="sizing_w22_gm_chosen">#REF!</definedName>
    <definedName name="sizing_w22_nsxt_appliance_size">#REF!</definedName>
    <definedName name="sizing_w22_nsxt_gm_appliance_size">#REF!</definedName>
    <definedName name="sizing_w22_nsxt_model">#REF!</definedName>
    <definedName name="sizing_w22_spr_chosen">#REF!</definedName>
    <definedName name="sizing_w22_ssp_chosen">#REF!</definedName>
    <definedName name="sizing_w22_vcenter_appliance_size">#REF!</definedName>
    <definedName name="sizing_w22_vcenter_storage_size">#REF!</definedName>
    <definedName name="sizing_w23_avi_appliance_size">#REF!</definedName>
    <definedName name="sizing_w23_chosen">#REF!</definedName>
    <definedName name="sizing_w23_gm_chosen">#REF!</definedName>
    <definedName name="sizing_w23_nsxt_appliance_size">#REF!</definedName>
    <definedName name="sizing_w23_nsxt_gm_appliance_size">#REF!</definedName>
    <definedName name="sizing_w23_nsxt_model">#REF!</definedName>
    <definedName name="sizing_w23_spr_chosen">#REF!</definedName>
    <definedName name="sizing_w23_ssp_chosen">#REF!</definedName>
    <definedName name="sizing_w23_vcenter_appliance_size">#REF!</definedName>
    <definedName name="sizing_w23_vcenter_storage_size">#REF!</definedName>
    <definedName name="sizing_w24_avi_appliance_size">#REF!</definedName>
    <definedName name="sizing_w24_chosen">#REF!</definedName>
    <definedName name="sizing_w24_gm_chosen">#REF!</definedName>
    <definedName name="sizing_w24_nsxt_appliance_size">#REF!</definedName>
    <definedName name="sizing_w24_nsxt_gm_appliance_size">#REF!</definedName>
    <definedName name="sizing_w24_nsxt_model">#REF!</definedName>
    <definedName name="sizing_w24_spr_chosen">#REF!</definedName>
    <definedName name="sizing_w24_ssp_chosen">#REF!</definedName>
    <definedName name="sizing_w24_vcenter_appliance_size">#REF!</definedName>
    <definedName name="sizing_w24_vcenter_storage_size">#REF!</definedName>
    <definedName name="sizing_wld_avilb_cluster_formfactor_chosen">#REF!</definedName>
    <definedName name="sizing_wld_nsxt_gm_appliance_size_chosen">#REF!</definedName>
    <definedName name="smtp_server">'Value Reference Tables'!$L$61</definedName>
    <definedName name="smtp_server_port">'Value Reference Tables'!$L$62</definedName>
    <definedName name="spr_chosen">#REF!</definedName>
    <definedName name="spr_mo_result">'Value Reference Tables'!$AA$48</definedName>
    <definedName name="spr_mw_result">'Value Reference Tables'!$AA$50</definedName>
    <definedName name="spr_result">#REF!</definedName>
    <definedName name="spr_wo_result">'Value Reference Tables'!$AA$49</definedName>
    <definedName name="srm_appliance_size">'Value Reference Tables'!$U$52</definedName>
    <definedName name="sso_default_admin">'Value Reference Tables'!$O$52</definedName>
    <definedName name="storage_autopolicy">'Static Reference Tables'!$B$418</definedName>
    <definedName name="storage_ftt">'Static Reference Tables'!$B$415:$B$417</definedName>
    <definedName name="svc_cbr_vcdr_vsphere_password">'Value Reference Tables'!$U$125</definedName>
    <definedName name="svc_cbr_vcdr_vsphere_user">'Value Reference Tables'!$U$124</definedName>
    <definedName name="svc_my_vmware_password">'Value Reference Tables'!$L$30</definedName>
    <definedName name="svc_vcf_bck_password">'Value Reference Tables'!$L$33</definedName>
    <definedName name="svc_vra_nsx_password">'Value Reference Tables'!$L$119</definedName>
    <definedName name="svc_vra_vcf_password">'Value Reference Tables'!$L$120</definedName>
    <definedName name="svc_vra_vrops_password">'Value Reference Tables'!$L$121</definedName>
    <definedName name="svc_vra_vsphere_password">'Value Reference Tables'!$L$118</definedName>
    <definedName name="svc_vrli_vrops_password">'Value Reference Tables'!$L$117</definedName>
    <definedName name="svc_vro_vsphere_password">'Value Reference Tables'!$L$122</definedName>
    <definedName name="svc_vrops_nsx_password">'Value Reference Tables'!$L$115</definedName>
    <definedName name="svc_vrops_vra_password">'Value Reference Tables'!$L$116</definedName>
    <definedName name="svc_vrops_vsan_password">'Value Reference Tables'!$L$114</definedName>
    <definedName name="svc_vrops_vsphere_password">'Value Reference Tables'!$L$113</definedName>
    <definedName name="table_avi_lb_cpu">'Static Reference Tables'!$B$239:$C$241</definedName>
    <definedName name="table_avi_lb_disk">'Static Reference Tables'!$B$247:$C$249</definedName>
    <definedName name="table_avi_lb_ram">'Static Reference Tables'!$B$243:$C$245</definedName>
    <definedName name="table_cidr_to_mask">'Static Reference Tables'!$B$308:$C$340</definedName>
    <definedName name="table_identity_broker_cpu">'Static Reference Tables'!$B$110:$C$113</definedName>
    <definedName name="table_identity_broker_disk">'Static Reference Tables'!$B$120:$C$123</definedName>
    <definedName name="table_identity_broker_ram">'Static Reference Tables'!$B$115:$C$118</definedName>
    <definedName name="table_mask_to_cidr">'Static Reference Tables'!$C$246:$D$334</definedName>
    <definedName name="table_masks">'Static Reference Tables'!$C$308:$C$331</definedName>
    <definedName name="table_nsxt_deployment_model">'Static Reference Tables'!$C$342:$C$344</definedName>
    <definedName name="table_nsxt_deployment_model_dedicated">'Static Reference Tables'!$C$343</definedName>
    <definedName name="table_nsxt_edge_cpu">'Static Reference Tables'!$B$83:$C$90</definedName>
    <definedName name="table_nsxt_edge_disk_gb">'Static Reference Tables'!$B$101:$C$108</definedName>
    <definedName name="table_nsxt_edge_ram">'Static Reference Tables'!$B$92:$C$99</definedName>
    <definedName name="table_nsxt_manager_cpu">'Static Reference Tables'!$B$65:$C$69</definedName>
    <definedName name="table_nsxt_manager_disk_gb">'Static Reference Tables'!$B$77:$C$81</definedName>
    <definedName name="table_nsxt_manager_ram">'Static Reference Tables'!$B$71:$C$75</definedName>
    <definedName name="table_srm_cpu">'Static Reference Tables'!$B$188:$C$189</definedName>
    <definedName name="table_srm_disk">'Static Reference Tables'!$B$194:$C$195</definedName>
    <definedName name="table_srm_ram">'Static Reference Tables'!$B$191:$C$192</definedName>
    <definedName name="table_ssp_cpu">'Static Reference Tables'!$B$252:$C$254</definedName>
    <definedName name="table_ssp_disk">'Static Reference Tables'!$B$260:$C$262</definedName>
    <definedName name="table_ssp_ram">'Static Reference Tables'!$B$256:$C$258</definedName>
    <definedName name="table_ssp_sizes">'Static Reference Tables'!$B$251:$B$254</definedName>
    <definedName name="table_vcenter_appliance_cpu">'Static Reference Tables'!$B$37:$C$41</definedName>
    <definedName name="table_vcenter_appliance_ram">'Static Reference Tables'!$B$43:$C$47</definedName>
    <definedName name="table_vcenter_disk_gb">'Static Reference Tables'!$B$49:$C$63</definedName>
    <definedName name="table_vcf_version5x_mgmt_vlcm_image">'Static Reference Tables'!$B$384</definedName>
    <definedName name="table_vcf_version5x_mgmt_vlcm_type">'Static Reference Tables'!$B$381:$B$382</definedName>
    <definedName name="table_vcf_version5x_mgmt_vsan_type">'Static Reference Tables'!$B$371:$B$372</definedName>
    <definedName name="table_vcf_version5x_wld_storage_type">'Static Reference Tables'!$B$374:$B$378</definedName>
    <definedName name="table_vcf_version9x_cluster_storage_type">'Static Reference Tables'!$C$374:$C$379</definedName>
    <definedName name="table_vcfa_appliance_cpu">'Static Reference Tables'!$B$125:$C$127</definedName>
    <definedName name="table_vcfa_appliance_disk">'Static Reference Tables'!$B$133:$C$135</definedName>
    <definedName name="table_vcfa_appliance_ram">'Static Reference Tables'!$B$129:$C$131</definedName>
    <definedName name="table_vcfms_control_cpu">'Static Reference Tables'!$B$277:$C$280</definedName>
    <definedName name="table_vcfms_control_disk">'Static Reference Tables'!$B$287:$C$290</definedName>
    <definedName name="table_vcfms_control_nodes">'Static Reference Tables'!$B$272:$C$275</definedName>
    <definedName name="table_vcfms_control_ram">'Static Reference Tables'!$B$282:$C$285</definedName>
    <definedName name="table_vcfms_worker_cpu">'Static Reference Tables'!$B$296:$C$298</definedName>
    <definedName name="table_vcfms_worker_disk">'Static Reference Tables'!$B$304:$C$306</definedName>
    <definedName name="table_vcfms_worker_nodes">'Static Reference Tables'!$B$292:$C$294</definedName>
    <definedName name="table_vcfms_worker_ram">'Static Reference Tables'!$B$300:$C$302</definedName>
    <definedName name="table_vcfo_appliance_cpu">'Static Reference Tables'!$B$151:$C$153</definedName>
    <definedName name="table_vcfo_appliance_disk">'Static Reference Tables'!$B$163:$C$165</definedName>
    <definedName name="table_vcfo_appliance_ram">'Static Reference Tables'!$B$157:$C$159</definedName>
    <definedName name="table_vcfo_p_cpu">'Static Reference Tables'!$B$167:$C$169</definedName>
    <definedName name="table_vcfo_p_disk">'Static Reference Tables'!$B$175:$C$177</definedName>
    <definedName name="table_vcfo_p_ram">'Static Reference Tables'!$B$171:$C$173</definedName>
    <definedName name="table_vcfops_appliance_cpu">'Static Reference Tables'!$B$149:$C$153</definedName>
    <definedName name="table_vcfops_appliance_disk">'Static Reference Tables'!$B$161:$C$165</definedName>
    <definedName name="table_vcfops_appliance_ram">'Static Reference Tables'!$B$155:$C$159</definedName>
    <definedName name="table_vcfopsnet_appliance_cpu">'Static Reference Tables'!$B$201:$C$203</definedName>
    <definedName name="table_vcfopsnet_appliance_disk">'Static Reference Tables'!$B$209:$C$211</definedName>
    <definedName name="table_vcfopsnet_appliance_ram">'Static Reference Tables'!$B$205:$C$207</definedName>
    <definedName name="table_vcfopsnet_collector_cpu">'Static Reference Tables'!$B$213:$C$217</definedName>
    <definedName name="table_vcfopsnet_collector_disk">'Static Reference Tables'!$B$225:$C$229</definedName>
    <definedName name="table_vcfopsnet_collector_ram">'Static Reference Tables'!$B$219:$C$223</definedName>
    <definedName name="table_vrli_appliance_cpu">'Static Reference Tables'!$B$137:$C$139</definedName>
    <definedName name="table_vrli_appliance_disk">'Static Reference Tables'!$B$145:$C$147</definedName>
    <definedName name="table_vrli_appliance_ram">'Static Reference Tables'!$B$141:$C$143</definedName>
    <definedName name="table_vrms_cpu">'Static Reference Tables'!$B$179:$C$180</definedName>
    <definedName name="table_vrms_disk">'Static Reference Tables'!$B$185:$C$186</definedName>
    <definedName name="table_vrms_ram">'Static Reference Tables'!$B$182:$C$183</definedName>
    <definedName name="this_instance">'Value Reference Tables'!$AA$19</definedName>
    <definedName name="user_svc_vcf_bck">'Value Reference Tables'!$O$48</definedName>
    <definedName name="user_svc_vcf_ca_vcf">'Value Reference Tables'!$O$10</definedName>
    <definedName name="user_svc_vra_nsx">'Value Reference Tables'!$L$104</definedName>
    <definedName name="user_svc_vra_vcf">'Value Reference Tables'!$L$105</definedName>
    <definedName name="user_svc_vra_vrops">'Value Reference Tables'!$L$107</definedName>
    <definedName name="user_svc_vra_vsphere">'Value Reference Tables'!$L$103</definedName>
    <definedName name="user_svc_vrli_vrops">'Value Reference Tables'!$L$102</definedName>
    <definedName name="user_svc_vrli_wsa">'Value Reference Tables'!$L$101</definedName>
    <definedName name="user_svc_vro_vsphere">'Value Reference Tables'!$L$106</definedName>
    <definedName name="user_svc_vrops_nsx">'Value Reference Tables'!$L$99</definedName>
    <definedName name="user_svc_vrops_vra">'Value Reference Tables'!$L$100</definedName>
    <definedName name="user_svc_vrops_vsan">'Value Reference Tables'!$L$98</definedName>
    <definedName name="user_svc_vrops_vsphere">'Value Reference Tables'!$L$97</definedName>
    <definedName name="vcenter_root_password">'Value Reference Tables'!$L$15</definedName>
    <definedName name="vcenter_sizing_limits">'Static Reference Tables'!$B$449:$C$454</definedName>
    <definedName name="vcf_automation_additional_vips">'Value Reference Tables'!$L$370</definedName>
    <definedName name="vcf_automation_admin_password">'Value Reference Tables'!$L$360</definedName>
    <definedName name="vcf_automation_admin_password_alias">'Value Reference Tables'!$L$359</definedName>
    <definedName name="vcf_automation_admin_password_description">'Value Reference Tables'!$L$361</definedName>
    <definedName name="vcf_automation_admin_username">'Value Reference Tables'!$L$362</definedName>
    <definedName name="vcf_automation_cert_alias">'Value Reference Tables'!$L$337</definedName>
    <definedName name="vcf_automation_cert_common_name">'Value Reference Tables'!$L$339</definedName>
    <definedName name="vcf_automation_cert_country_code">'Value Reference Tables'!$L$342</definedName>
    <definedName name="vcf_automation_cert_file">'Value Reference Tables'!$L$338</definedName>
    <definedName name="vcf_automation_cert_key_length_chosen">Arkham!$Y$23</definedName>
    <definedName name="vcf_automation_cert_locality">'Value Reference Tables'!$L$343</definedName>
    <definedName name="vcf_automation_cert_organisation">'Value Reference Tables'!$L$340</definedName>
    <definedName name="vcf_automation_cert_state">'Value Reference Tables'!$L$344</definedName>
    <definedName name="vcf_automation_cert_type_chosen">Arkham!$Y$14</definedName>
    <definedName name="vcf_automation_folder">'Value Reference Tables'!$L$354</definedName>
    <definedName name="vcf_automation_gateway_ip">'Value Reference Tables'!$L$357</definedName>
    <definedName name="vcf_automation_internal_cidr_chosen">Arkham!$Y$55</definedName>
    <definedName name="vcf_automation_lb_type_chosen">Arkham!$Y$52</definedName>
    <definedName name="vcf_automation_mask">'Value Reference Tables'!$L$356</definedName>
    <definedName name="vcf_automation_node_prefix_chosen">Arkham!$Y$53</definedName>
    <definedName name="vcf_automation_nodea_ip">'Value Reference Tables'!$L$350</definedName>
    <definedName name="vcf_automation_nodeb_ip">'Value Reference Tables'!$L$351</definedName>
    <definedName name="vcf_automation_nodec_ip">'Value Reference Tables'!$L$352</definedName>
    <definedName name="vcf_automation_noded_ip">'Value Reference Tables'!$L$353</definedName>
    <definedName name="vcf_automation_ou_cert">'Value Reference Tables'!$L$341</definedName>
    <definedName name="vcf_automation_portgroup">'Value Reference Tables'!$L$358</definedName>
    <definedName name="vcf_automation_resource_pool">'Value Reference Tables'!$L$355</definedName>
    <definedName name="vcf_automation_root_password">'Value Reference Tables'!$L$364</definedName>
    <definedName name="vcf_automation_root_password_alias">'Value Reference Tables'!$L$363</definedName>
    <definedName name="vcf_automation_root_password_description">'Value Reference Tables'!$L$365</definedName>
    <definedName name="vcf_automation_root_username">'Value Reference Tables'!$L$366</definedName>
    <definedName name="vcf_automation_runtime_cidr">'Value Reference Tables'!$L$371</definedName>
    <definedName name="vcf_automation_size_chosen">#REF!</definedName>
    <definedName name="vcf_automation_sr_fqdn">'Value Reference Tables'!$L$347</definedName>
    <definedName name="vcf_automation_sr_ip">'Value Reference Tables'!$L$349</definedName>
    <definedName name="vcf_automation_time_sync_mode_chosen">Arkham!$Y$36</definedName>
    <definedName name="vcf_automation_type_chosen">#REF!</definedName>
    <definedName name="vcf_automation_version">'Value Reference Tables'!$L$334</definedName>
    <definedName name="vcf_automation_vip_fqdn">'Value Reference Tables'!$L$346</definedName>
    <definedName name="vcf_automation_vip_ip">'Value Reference Tables'!$L$348</definedName>
    <definedName name="vcf_granular_option_chosen">#REF!</definedName>
    <definedName name="vcf_granular_option_result">#REF!</definedName>
    <definedName name="vcf_installer_fqdn">'Value Reference Tables'!$C$57</definedName>
    <definedName name="vcf_installer_hostname">'Value Reference Tables'!$C$37</definedName>
    <definedName name="vcf_installer_ip">'Value Reference Tables'!$C$14</definedName>
    <definedName name="vcf_instance_name">'Value Reference Tables'!$C$95</definedName>
    <definedName name="vcf_pnp_option_no">'Static Reference Tables'!$E$12</definedName>
    <definedName name="vcf_pnp_option_yes">'Static Reference Tables'!$E$11:$E$12</definedName>
    <definedName name="vcf_pnp_result_exclude">'Static Reference Tables'!$E$8</definedName>
    <definedName name="vcf_pnp_result_excluded">'Static Reference Tables'!$F$8</definedName>
    <definedName name="vcf_pnp_result_include">'Static Reference Tables'!$E$7:$E$8</definedName>
    <definedName name="vcf_pnp_result_included">'Static Reference Tables'!$F$7</definedName>
    <definedName name="vcf_version">#REF!</definedName>
    <definedName name="vcf_version_chosen">#REF!</definedName>
    <definedName name="vcf_version_result">#REF!</definedName>
    <definedName name="vcf_vi_isolated_domain_count">'Value Reference Tables'!$AA$60</definedName>
    <definedName name="vcf_vi_wld_domain_count">'Value Reference Tables'!$AA$59</definedName>
    <definedName name="vi_only_viable">'Value Reference Tables'!$AA$58</definedName>
    <definedName name="VMware_Cloud_Foundation">'Static Reference Tables'!$F$11:$F$12</definedName>
    <definedName name="VMware_vSphere_Foundation">'Static Reference Tables'!$I$11</definedName>
    <definedName name="vrms_appliance_size">'Value Reference Tables'!$U$51</definedName>
    <definedName name="vrslcm_admin_password">'Value Reference Tables'!$C$237</definedName>
    <definedName name="vrslcm_xreg_vm_folder">'Dumping Ground'!$D$104</definedName>
    <definedName name="vs_dr_site_pair">'Site Protection &amp; DR'!$D$235</definedName>
    <definedName name="vsphere_8u1_evc_table">'Static Reference Tables'!$B$346:$B$369</definedName>
    <definedName name="vvf_mgmt_cl01_vds_standard_preconfigured_profiles">'Static Reference Tables'!$D$467:$D$469</definedName>
    <definedName name="vvs_dr_dns1_ip">'Value Reference Tables'!$O$93</definedName>
    <definedName name="vvs_dr_dns2_ip">'Value Reference Tables'!$O$94</definedName>
    <definedName name="vvs_dr_flt_auto_fqdn">'Value Reference Tables'!$O$106</definedName>
    <definedName name="vvs_dr_flt_fleet_manager_fqdn">'Value Reference Tables'!$O$96</definedName>
    <definedName name="vvs_dr_flt_fleet_manager_hostname">'Value Reference Tables'!$O$111</definedName>
    <definedName name="vvs_dr_flt_logs_nodea_fqdn">'Value Reference Tables'!$O$100</definedName>
    <definedName name="vvs_dr_flt_logs_nodea_hostname">'Value Reference Tables'!$O$115</definedName>
    <definedName name="vvs_dr_flt_logs_nodeb_fqdn">'Value Reference Tables'!$O$101</definedName>
    <definedName name="vvs_dr_flt_logs_nodeb_hostname">'Value Reference Tables'!$O$116</definedName>
    <definedName name="vvs_dr_flt_logs_nodec_fqdn">'Value Reference Tables'!$O$102</definedName>
    <definedName name="vvs_dr_flt_logs_nodec_hostname">'Value Reference Tables'!$O$117</definedName>
    <definedName name="vvs_dr_flt_net_nodea_fqdn">'Value Reference Tables'!$O$103</definedName>
    <definedName name="vvs_dr_flt_net_nodea_hostname">'Value Reference Tables'!$O$118</definedName>
    <definedName name="vvs_dr_flt_net_nodeb_fqdn">'Value Reference Tables'!$O$104</definedName>
    <definedName name="vvs_dr_flt_net_nodeb_hostname">'Value Reference Tables'!$O$119</definedName>
    <definedName name="vvs_dr_flt_net_nodec_fqdn">'Value Reference Tables'!$O$105</definedName>
    <definedName name="vvs_dr_flt_net_nodec_hostname">'Value Reference Tables'!$O$120</definedName>
    <definedName name="vvs_dr_flt_ops_nodea_fqdn">'Value Reference Tables'!$O$97</definedName>
    <definedName name="vvs_dr_flt_ops_nodea_hostname">'Value Reference Tables'!$O$112</definedName>
    <definedName name="vvs_dr_flt_ops_nodeb_fqdn">'Value Reference Tables'!$O$98</definedName>
    <definedName name="vvs_dr_flt_ops_nodeb_hostname">'Value Reference Tables'!$O$113</definedName>
    <definedName name="vvs_dr_flt_ops_nodec_fqdn">'Value Reference Tables'!$O$99</definedName>
    <definedName name="vvs_dr_flt_ops_nodec_hostname">'Value Reference Tables'!$O$114</definedName>
    <definedName name="vvs_dr_mgmt_cl01_cluster">'Value Reference Tables'!$O$108</definedName>
    <definedName name="vvs_dr_mgmt_cl01_datastore">'Value Reference Tables'!$O$121</definedName>
    <definedName name="vvs_dr_mgmt_vc_fqdn">'Value Reference Tables'!$O$107</definedName>
    <definedName name="vvs_dr_ntp1_server">'Value Reference Tables'!$O$92</definedName>
    <definedName name="vvs_dr_parent_dns_zone">'Value Reference Tables'!$O$95</definedName>
    <definedName name="vvs_dr_sso_domain">'Value Reference Tables'!$O$110</definedName>
    <definedName name="vvs_dr_vr_password">'Value Reference Tables'!$O$129</definedName>
    <definedName name="vvs_dr_vr_username">'Value Reference Tables'!$O$128</definedName>
    <definedName name="vvs_mgmt_dr_vlr_fqdn">'Value Reference Tables'!$O$109</definedName>
    <definedName name="vvs_mgmt_dr_vlr_hostname">'Value Reference Tables'!$R$113</definedName>
    <definedName name="witness_dns_zone">'Value Reference Tables'!$L$68</definedName>
    <definedName name="witness_dns1_ip">'Value Reference Tables'!$L$55</definedName>
    <definedName name="witness_dns2_ip">'Value Reference Tables'!$L$56</definedName>
    <definedName name="witness_ntp1_server">'Value Reference Tables'!$L$49</definedName>
    <definedName name="witness_ntp2_server">'Value Reference Tables'!$L$50</definedName>
    <definedName name="wld_administrator_vsphere_local_password">'Value Reference Tables'!$C$238</definedName>
    <definedName name="wld_avi_loadbalancer_chosen">#REF!</definedName>
    <definedName name="wld_avi_loadbalancer_result">#REF!</definedName>
    <definedName name="wld_avilb_cluster_name">'Value Reference Tables'!$O$72</definedName>
    <definedName name="wld_avilb_cluster_version">'Value Reference Tables'!$O$73</definedName>
    <definedName name="wld_avilb_fqdn">'Value Reference Tables'!$F$56</definedName>
    <definedName name="wld_avilb_hostname">'Value Reference Tables'!$F$41</definedName>
    <definedName name="wld_avilb_ip">'Value Reference Tables'!$F$23</definedName>
    <definedName name="wld_avilb_mgra_ip">'Value Reference Tables'!$F$24</definedName>
    <definedName name="wld_avilb_mgrb_ip">'Value Reference Tables'!$F$25</definedName>
    <definedName name="wld_avilb_mgrc_ip">'Value Reference Tables'!$F$26</definedName>
    <definedName name="wld_az1_ec01_password_creation_chosen">#REF!</definedName>
    <definedName name="wld_az1_edge_overlay_cidr">'Value Reference Tables - MR'!$I$32</definedName>
    <definedName name="wld_az1_edge_overlay_gateway_ip">'Value Reference Tables - MR'!$I$94</definedName>
    <definedName name="wld_az1_edge_overlay_mask">'Value Reference Tables - MR'!$I$62</definedName>
    <definedName name="wld_az1_edge_overlay_mtu">'Value Reference Tables - MR'!$I$78</definedName>
    <definedName name="wld_az1_edge_overlay_network">'Value Reference Tables - MR'!$I$47</definedName>
    <definedName name="wld_az1_edge_overlay_network_pool_name">'Value Reference Tables - MR'!$I$188</definedName>
    <definedName name="wld_az1_edge_overlay_pg">'Value Reference Tables - MR'!$I$133</definedName>
    <definedName name="wld_az1_edge_overlay_pool_end_ip">'Value Reference Tables - MR'!$I$176</definedName>
    <definedName name="wld_az1_edge_overlay_pool_start_ip">'Value Reference Tables - MR'!$I$175</definedName>
    <definedName name="wld_az1_edge_overlay_vlan">'Value Reference Tables - MR'!$I$17</definedName>
    <definedName name="wld_az1_en1_edge_overlay_interface_ip_1_ip">'Value Reference Tables - MR'!$I$277</definedName>
    <definedName name="wld_az1_en1_edge_overlay_interface_ip_2_ip">'Value Reference Tables - MR'!$I$278</definedName>
    <definedName name="wld_az1_en1_edge_overlay_network_ip_allocation_chosen">#REF!</definedName>
    <definedName name="wld_az1_en1_eth0_uplink0">'Value Reference Tables'!$C$261</definedName>
    <definedName name="wld_az1_en1_eth0_uplink1">'Value Reference Tables'!$C$262</definedName>
    <definedName name="wld_az1_en1_eth1_uplink0">'Value Reference Tables'!$C$263</definedName>
    <definedName name="wld_az1_en1_eth1_uplink1">'Value Reference Tables'!$C$264</definedName>
    <definedName name="wld_az1_en1_fqdn">'Value Reference Tables'!$F$54</definedName>
    <definedName name="wld_az1_en1_hostname">'Value Reference Tables - MR'!$I$271</definedName>
    <definedName name="wld_az1_en1_ip_allocation_chosen">#REF!</definedName>
    <definedName name="wld_az1_en1_mgmt_cidr">'Value Reference Tables - MR'!$I$274</definedName>
    <definedName name="wld_az1_en1_mgmt_ip">'Value Reference Tables - MR'!$I$273</definedName>
    <definedName name="wld_az1_en1_uplink_ip_assignment_chosen">#REF!</definedName>
    <definedName name="wld_az1_en1_uplink01_interface_cidr">'Value Reference Tables - MR'!$I$275</definedName>
    <definedName name="wld_az1_en1_uplink02_interface_cidr">'Value Reference Tables - MR'!$I$276</definedName>
    <definedName name="wld_az1_en2_edge_overlay_interface_ip_1_ip">'Value Reference Tables - MR'!$I$288</definedName>
    <definedName name="wld_az1_en2_edge_overlay_interface_ip_2_ip">'Value Reference Tables - MR'!$I$289</definedName>
    <definedName name="wld_az1_en2_eth0_uplink0">'Value Reference Tables'!$C$265</definedName>
    <definedName name="wld_az1_en2_eth0_uplink1">'Value Reference Tables'!$C$266</definedName>
    <definedName name="wld_az1_en2_eth1_uplink0">'Value Reference Tables'!$C$267</definedName>
    <definedName name="wld_az1_en2_eth1_uplink1">'Value Reference Tables'!$C$268</definedName>
    <definedName name="wld_az1_en2_fqdn">'Value Reference Tables'!$F$55</definedName>
    <definedName name="wld_az1_en2_hostname">'Value Reference Tables - MR'!$I$282</definedName>
    <definedName name="wld_az1_en2_ip_allocation_chosen">#REF!</definedName>
    <definedName name="wld_az1_en2_mgmt_cidr">'Value Reference Tables - MR'!$I$285</definedName>
    <definedName name="wld_az1_en2_mgmt_ip">'Value Reference Tables - MR'!$I$284</definedName>
    <definedName name="wld_az1_en2_uplink01_interface_cidr">'Value Reference Tables - MR'!$I$286</definedName>
    <definedName name="wld_az1_en2_uplink02_interface_cidr">'Value Reference Tables - MR'!$I$287</definedName>
    <definedName name="wld_az1_host_fqdns">'Value Reference Tables - MR'!$I$253:$I$268</definedName>
    <definedName name="wld_az1_host_hostnames">'Value Reference Tables - MR'!$I$234:$I$249</definedName>
    <definedName name="wld_az1_host_mgmt_ips">'Value Reference Tables - MR'!$I$199:$I$214</definedName>
    <definedName name="wld_az1_host_overlay_cidr">'Value Reference Tables - MR'!$I$27</definedName>
    <definedName name="wld_az1_host_overlay_gateway_cidr">'Value Reference Tables - MR'!$I$104</definedName>
    <definedName name="wld_az1_host_overlay_gateway_ip">'Value Reference Tables - MR'!$I$89</definedName>
    <definedName name="wld_az1_host_overlay_mask">'Value Reference Tables - MR'!$I$57</definedName>
    <definedName name="wld_az1_host_overlay_mtu">'Value Reference Tables - MR'!$I$73</definedName>
    <definedName name="wld_az1_host_overlay_network">'Value Reference Tables - MR'!$I$42</definedName>
    <definedName name="wld_az1_host_overlay_network_pool_description">'Value Reference Tables - MR'!$I$184</definedName>
    <definedName name="wld_az1_host_overlay_network_pool_name">'Value Reference Tables - MR'!$I$185</definedName>
    <definedName name="wld_az1_host_overlay_network_profile_name">'Value Reference Tables - MR'!$I$183</definedName>
    <definedName name="wld_az1_host_overlay_new_pool_chosen">#REF!</definedName>
    <definedName name="wld_az1_host_overlay_pg">'Value Reference Tables - MR'!$I$129</definedName>
    <definedName name="wld_az1_host_overlay_pool_end_ip">'Value Reference Tables - MR'!$I$170</definedName>
    <definedName name="wld_az1_host_overlay_pool_start_ip">'Value Reference Tables - MR'!$I$169</definedName>
    <definedName name="wld_az1_host_overlay_transport_zone">'Value Reference Tables - MR'!$I$186</definedName>
    <definedName name="wld_az1_host_overlay_uplink_profile_name">'Value Reference Tables - MR'!$I$187</definedName>
    <definedName name="wld_az1_host_overlay_vlan">'Value Reference Tables - MR'!$I$12</definedName>
    <definedName name="wld_az1_host1_fqdn">'Value Reference Tables - MR'!$I$253</definedName>
    <definedName name="wld_az1_host1_hostname">'Value Reference Tables - MR'!$I$234</definedName>
    <definedName name="wld_az1_host1_mgmt_ip">'Value Reference Tables - MR'!$I$199</definedName>
    <definedName name="wld_az1_host1_vrms_ip">'Value Reference Tables - MR'!$I$215</definedName>
    <definedName name="wld_az1_host10_fqdn">'Value Reference Tables - MR'!$I$262</definedName>
    <definedName name="wld_az1_host10_hostname">'Value Reference Tables - MR'!$I$243</definedName>
    <definedName name="wld_az1_host10_mgmt_ip">'Value Reference Tables - MR'!$I$208</definedName>
    <definedName name="wld_az1_host10_vrms_ip">'Value Reference Tables - MR'!$I$224</definedName>
    <definedName name="wld_az1_host11_fqdn">'Value Reference Tables - MR'!$I$263</definedName>
    <definedName name="wld_az1_host11_hostname">'Value Reference Tables - MR'!$I$244</definedName>
    <definedName name="wld_az1_host11_mgmt_ip">'Value Reference Tables - MR'!$I$209</definedName>
    <definedName name="wld_az1_host11_vrms_ip">'Value Reference Tables - MR'!$I$225</definedName>
    <definedName name="wld_az1_host12_fqdn">'Value Reference Tables - MR'!$I$264</definedName>
    <definedName name="wld_az1_host12_hostname">'Value Reference Tables - MR'!$I$245</definedName>
    <definedName name="wld_az1_host12_mgmt_ip">'Value Reference Tables - MR'!$I$210</definedName>
    <definedName name="wld_az1_host12_vrms_ip">'Value Reference Tables - MR'!$I$226</definedName>
    <definedName name="wld_az1_host13_fqdn">'Value Reference Tables - MR'!$I$265</definedName>
    <definedName name="wld_az1_host13_hostname">'Value Reference Tables - MR'!$I$246</definedName>
    <definedName name="wld_az1_host13_mgmt_ip">'Value Reference Tables - MR'!$I$211</definedName>
    <definedName name="wld_az1_host13_vrms_ip">'Value Reference Tables - MR'!$I$227</definedName>
    <definedName name="wld_az1_host14_fqdn">'Value Reference Tables - MR'!$I$266</definedName>
    <definedName name="wld_az1_host14_hostname">'Value Reference Tables - MR'!$I$247</definedName>
    <definedName name="wld_az1_host14_mgmt_ip">'Value Reference Tables - MR'!$I$212</definedName>
    <definedName name="wld_az1_host14_vrms_ip">'Value Reference Tables - MR'!$I$228</definedName>
    <definedName name="wld_az1_host15_fqdn">'Value Reference Tables - MR'!$I$267</definedName>
    <definedName name="wld_az1_host15_hostname">'Value Reference Tables - MR'!$I$248</definedName>
    <definedName name="wld_az1_host15_mgmt_ip">'Value Reference Tables - MR'!$I$213</definedName>
    <definedName name="wld_az1_host15_vrms_ip">'Value Reference Tables - MR'!$I$229</definedName>
    <definedName name="wld_az1_host16_fqdn">'Value Reference Tables - MR'!$I$268</definedName>
    <definedName name="wld_az1_host16_hostname">'Value Reference Tables - MR'!$I$249</definedName>
    <definedName name="wld_az1_host16_mgmt_ip">'Value Reference Tables - MR'!$I$214</definedName>
    <definedName name="wld_az1_host16_vrms_ip">'Value Reference Tables - MR'!$I$230</definedName>
    <definedName name="wld_az1_host2_fqdn">'Value Reference Tables - MR'!$I$254</definedName>
    <definedName name="wld_az1_host2_hostname">'Value Reference Tables - MR'!$I$235</definedName>
    <definedName name="wld_az1_host2_mgmt_ip">'Value Reference Tables - MR'!$I$200</definedName>
    <definedName name="wld_az1_host2_vrms_ip">'Value Reference Tables - MR'!$I$216</definedName>
    <definedName name="wld_az1_host3_fqdn">'Value Reference Tables - MR'!$I$255</definedName>
    <definedName name="wld_az1_host3_hostname">'Value Reference Tables - MR'!$I$236</definedName>
    <definedName name="wld_az1_host3_mgmt_ip">'Value Reference Tables - MR'!$I$201</definedName>
    <definedName name="wld_az1_host3_vrms_ip">'Value Reference Tables - MR'!$I$217</definedName>
    <definedName name="wld_az1_host4_fqdn">'Value Reference Tables - MR'!$I$256</definedName>
    <definedName name="wld_az1_host4_hostname">'Value Reference Tables - MR'!$I$237</definedName>
    <definedName name="wld_az1_host4_mgmt_ip">'Value Reference Tables - MR'!$I$202</definedName>
    <definedName name="wld_az1_host4_vrms_ip">'Value Reference Tables - MR'!$I$218</definedName>
    <definedName name="wld_az1_host5_fqdn">'Value Reference Tables - MR'!$I$257</definedName>
    <definedName name="wld_az1_host5_hostname">'Value Reference Tables - MR'!$I$238</definedName>
    <definedName name="wld_az1_host5_mgmt_ip">'Value Reference Tables - MR'!$I$203</definedName>
    <definedName name="wld_az1_host5_vrms_ip">'Value Reference Tables - MR'!$I$219</definedName>
    <definedName name="wld_az1_host6_fqdn">'Value Reference Tables - MR'!$I$258</definedName>
    <definedName name="wld_az1_host6_hostname">'Value Reference Tables - MR'!$I$239</definedName>
    <definedName name="wld_az1_host6_mgmt_ip">'Value Reference Tables - MR'!$I$204</definedName>
    <definedName name="wld_az1_host6_vrms_ip">'Value Reference Tables - MR'!$I$220</definedName>
    <definedName name="wld_az1_host7_fqdn">'Value Reference Tables - MR'!$I$259</definedName>
    <definedName name="wld_az1_host7_hostname">'Value Reference Tables - MR'!$I$240</definedName>
    <definedName name="wld_az1_host7_mgmt_ip">'Value Reference Tables - MR'!$I$205</definedName>
    <definedName name="wld_az1_host7_vrms_ip">'Value Reference Tables - MR'!$I$221</definedName>
    <definedName name="wld_az1_host8_fqdn">'Value Reference Tables - MR'!$I$260</definedName>
    <definedName name="wld_az1_host8_hostname">'Value Reference Tables - MR'!$I$241</definedName>
    <definedName name="wld_az1_host8_mgmt_ip">'Value Reference Tables - MR'!$I$206</definedName>
    <definedName name="wld_az1_host8_vrms_ip">'Value Reference Tables - MR'!$I$222</definedName>
    <definedName name="wld_az1_host9_fqdn">'Value Reference Tables - MR'!$I$261</definedName>
    <definedName name="wld_az1_host9_hostname">'Value Reference Tables - MR'!$I$242</definedName>
    <definedName name="wld_az1_host9_mgmt_ip">'Value Reference Tables - MR'!$I$207</definedName>
    <definedName name="wld_az1_host9_vrms_ip">'Value Reference Tables - MR'!$I$223</definedName>
    <definedName name="wld_az1_mgmt_cidr">'Value Reference Tables - MR'!$I$24</definedName>
    <definedName name="wld_az1_mgmt_gateway_cidr">'Value Reference Tables - MR'!$I$101</definedName>
    <definedName name="wld_az1_mgmt_gateway_ip">'Value Reference Tables - MR'!$I$86</definedName>
    <definedName name="wld_az1_mgmt_mask">'Value Reference Tables - MR'!$I$54</definedName>
    <definedName name="wld_az1_mgmt_mtu">'Value Reference Tables - MR'!$I$70</definedName>
    <definedName name="wld_az1_mgmt_network">'Value Reference Tables - MR'!$I$39</definedName>
    <definedName name="wld_az1_mgmt_vlan">'Value Reference Tables - MR'!$I$9</definedName>
    <definedName name="wld_az1_mgmt_vm_cidr">'Value Reference Tables - MR'!$I$23</definedName>
    <definedName name="wld_az1_mgmt_vm_gateway_cidr">'Value Reference Tables - MR'!$I$100</definedName>
    <definedName name="wld_az1_mgmt_vm_gateway_ip">'Value Reference Tables - MR'!$I$85</definedName>
    <definedName name="wld_az1_mgmt_vm_mask">'Value Reference Tables - MR'!$I$53</definedName>
    <definedName name="wld_az1_mgmt_vm_mtu">'Value Reference Tables - MR'!$I$69</definedName>
    <definedName name="wld_az1_mgmt_vm_network">'Value Reference Tables - MR'!$I$38</definedName>
    <definedName name="wld_az1_mgmt_vm_vlan">'Value Reference Tables - MR'!$I$8</definedName>
    <definedName name="wld_az1_nsx_uplink1_active_chosen">#REF!</definedName>
    <definedName name="wld_az1_nsx_uplink2_active_chosen">#REF!</definedName>
    <definedName name="wld_az1_pool_name">'Value Reference Tables - MR'!$I$182</definedName>
    <definedName name="wld_az1_principal_storage_cidr">'Value Reference Tables - MR'!$I$26</definedName>
    <definedName name="wld_az1_principal_storage_gateway_cidr">'Value Reference Tables - MR'!$I$103</definedName>
    <definedName name="wld_az1_principal_storage_gateway_ip">'Value Reference Tables - MR'!$I$88</definedName>
    <definedName name="wld_az1_principal_storage_ip_scheme_chosen">#REF!</definedName>
    <definedName name="wld_az1_principal_storage_mask">'Value Reference Tables - MR'!$I$56</definedName>
    <definedName name="wld_az1_principal_storage_mtu">'Value Reference Tables - MR'!$I$72</definedName>
    <definedName name="wld_az1_principal_storage_network">'Value Reference Tables - MR'!$I$41</definedName>
    <definedName name="wld_az1_principal_storage_pool_end_ip">'Value Reference Tables - MR'!$I$168</definedName>
    <definedName name="wld_az1_principal_storage_pool_start_ip">'Value Reference Tables - MR'!$I$167</definedName>
    <definedName name="wld_az1_principal_storage_vlan">'Value Reference Tables - MR'!$I$11</definedName>
    <definedName name="wld_az1_rack2_edge_overlay_cidr">'Value Reference Tables - MR'!$L$32</definedName>
    <definedName name="wld_az1_rack2_edge_overlay_gateway_ip">'Value Reference Tables - MR'!$L$94</definedName>
    <definedName name="wld_az1_rack2_edge_overlay_mask">'Value Reference Tables - MR'!$L$62</definedName>
    <definedName name="wld_az1_rack2_edge_overlay_mtu">'Value Reference Tables - MR'!$L$78</definedName>
    <definedName name="wld_az1_rack2_edge_overlay_network">'Value Reference Tables - MR'!$L$47</definedName>
    <definedName name="wld_az1_rack2_edge_overlay_network_pool_name">'Value Reference Tables - MR'!$L$188</definedName>
    <definedName name="wld_az1_rack2_edge_overlay_pool_end_ip">'Value Reference Tables - MR'!$L$176</definedName>
    <definedName name="wld_az1_rack2_edge_overlay_pool_start_ip">'Value Reference Tables - MR'!$L$175</definedName>
    <definedName name="wld_az1_rack2_edge_overlay_vlan">'Value Reference Tables - MR'!$L$17</definedName>
    <definedName name="wld_az1_rack2_en1_edge_overlay_interface_ip_1_ip">'Value Reference Tables - MR'!$L$260</definedName>
    <definedName name="wld_az1_rack2_en1_edge_overlay_interface_ip_2_ip">'Value Reference Tables - MR'!$L$261</definedName>
    <definedName name="wld_az1_rack2_en1_fqdn">'Value Reference Tables - MR'!$L$256</definedName>
    <definedName name="wld_az1_rack2_en1_hostname">'Value Reference Tables - MR'!$L$255</definedName>
    <definedName name="wld_az1_rack2_en1_mgmt_ip">'Value Reference Tables - MR'!$L$257</definedName>
    <definedName name="wld_az1_rack2_en1_uplink01_interface_ip">'Value Reference Tables - MR'!$L$258</definedName>
    <definedName name="wld_az1_rack2_en1_uplink02_interface_ip">'Value Reference Tables - MR'!$L$259</definedName>
    <definedName name="wld_az1_rack2_en2_fqdn">'Value Reference Tables - MR'!$L$266</definedName>
    <definedName name="wld_az1_rack2_en2_hostname">'Value Reference Tables - MR'!$L$265</definedName>
    <definedName name="wld_az1_rack2_en2_mgmt_ip">'Value Reference Tables - MR'!$L$267</definedName>
    <definedName name="wld_az1_rack2_en2_uplink01_interface_ip">'Value Reference Tables - MR'!$L$268</definedName>
    <definedName name="wld_az1_rack2_en2_uplink02_interface_ip">'Value Reference Tables - MR'!$L$269</definedName>
    <definedName name="wld_az1_rack2_host_fqdns">'Value Reference Tables - MR'!$L$237:$L$252</definedName>
    <definedName name="wld_az1_rack2_host_hostnames">'Value Reference Tables - MR'!$L$218:$L$233</definedName>
    <definedName name="wld_az1_rack2_host_mgmt_ips">'Value Reference Tables - MR'!$L$199:$L$214</definedName>
    <definedName name="wld_az1_rack2_host_overlay_cidr">'Value Reference Tables - MR'!$L$27</definedName>
    <definedName name="wld_az1_rack2_host_overlay_gateway_ip">'Value Reference Tables - MR'!$L$89</definedName>
    <definedName name="wld_az1_rack2_host_overlay_mask">'Value Reference Tables - MR'!$L$57</definedName>
    <definedName name="wld_az1_rack2_host_overlay_mtu">'Value Reference Tables - MR'!$L$73</definedName>
    <definedName name="wld_az1_rack2_host_overlay_network">'Value Reference Tables - MR'!$L$42</definedName>
    <definedName name="wld_az1_rack2_host_overlay_network_pool_name">'Value Reference Tables - MR'!$L$185</definedName>
    <definedName name="wld_az1_rack2_host_overlay_network_profile_name">'Value Reference Tables - MR'!$L$183</definedName>
    <definedName name="wld_az1_rack2_host_overlay_new_pool_chosen">#REF!</definedName>
    <definedName name="wld_az1_rack2_host_overlay_pool_end_ip">'Value Reference Tables - MR'!$L$170</definedName>
    <definedName name="wld_az1_rack2_host_overlay_pool_start_ip">'Value Reference Tables - MR'!$L$169</definedName>
    <definedName name="wld_az1_rack2_host_overlay_uplink_profile_name">'Value Reference Tables - MR'!$L$187</definedName>
    <definedName name="wld_az1_rack2_host_overlay_vlan">'Value Reference Tables - MR'!$L$12</definedName>
    <definedName name="wld_az1_rack2_host1_fqdn">'Value Reference Tables - MR'!$L$237</definedName>
    <definedName name="wld_az1_rack2_host1_hostname">'Value Reference Tables - MR'!$L$218</definedName>
    <definedName name="wld_az1_rack2_host1_mgmt_ip">'Value Reference Tables - MR'!$L$199</definedName>
    <definedName name="wld_az1_rack2_host10_fqdn">'Value Reference Tables - MR'!$L$246</definedName>
    <definedName name="wld_az1_rack2_host10_hostname">'Value Reference Tables - MR'!$L$227</definedName>
    <definedName name="wld_az1_rack2_host10_mgmt_ip">'Value Reference Tables - MR'!$L$208</definedName>
    <definedName name="wld_az1_rack2_host11_fqdn">'Value Reference Tables - MR'!$L$247</definedName>
    <definedName name="wld_az1_rack2_host11_hostname">'Value Reference Tables - MR'!$L$228</definedName>
    <definedName name="wld_az1_rack2_host11_mgmt_ip">'Value Reference Tables - MR'!$L$209</definedName>
    <definedName name="wld_az1_rack2_host12_fqdn">'Value Reference Tables - MR'!$L$248</definedName>
    <definedName name="wld_az1_rack2_host12_hostname">'Value Reference Tables - MR'!$L$229</definedName>
    <definedName name="wld_az1_rack2_host12_mgmt_ip">'Value Reference Tables - MR'!$L$210</definedName>
    <definedName name="wld_az1_rack2_host13_fqdn">'Value Reference Tables - MR'!$L$249</definedName>
    <definedName name="wld_az1_rack2_host13_hostname">'Value Reference Tables - MR'!$L$230</definedName>
    <definedName name="wld_az1_rack2_host13_mgmt_ip">'Value Reference Tables - MR'!$L$211</definedName>
    <definedName name="wld_az1_rack2_host14_fqdn">'Value Reference Tables - MR'!$L$250</definedName>
    <definedName name="wld_az1_rack2_host14_hostname">'Value Reference Tables - MR'!$L$231</definedName>
    <definedName name="wld_az1_rack2_host14_mgmt_ip">'Value Reference Tables - MR'!$L$212</definedName>
    <definedName name="wld_az1_rack2_host15_fqdn">'Value Reference Tables - MR'!$L$251</definedName>
    <definedName name="wld_az1_rack2_host15_hostname">'Value Reference Tables - MR'!$L$232</definedName>
    <definedName name="wld_az1_rack2_host15_mgmt_ip">'Value Reference Tables - MR'!$L$213</definedName>
    <definedName name="wld_az1_rack2_host16_fqdn">'Value Reference Tables - MR'!$L$252</definedName>
    <definedName name="wld_az1_rack2_host16_hostname">'Value Reference Tables - MR'!$L$233</definedName>
    <definedName name="wld_az1_rack2_host16_mgmt_ip">'Value Reference Tables - MR'!$L$214</definedName>
    <definedName name="wld_az1_rack2_host2_fqdn">'Value Reference Tables - MR'!$L$238</definedName>
    <definedName name="wld_az1_rack2_host2_hostname">'Value Reference Tables - MR'!$L$219</definedName>
    <definedName name="wld_az1_rack2_host2_mgmt_ip">'Value Reference Tables - MR'!$L$200</definedName>
    <definedName name="wld_az1_rack2_host3_fqdn">'Value Reference Tables - MR'!$L$239</definedName>
    <definedName name="wld_az1_rack2_host3_hostname">'Value Reference Tables - MR'!$L$220</definedName>
    <definedName name="wld_az1_rack2_host3_mgmt_ip">'Value Reference Tables - MR'!$L$201</definedName>
    <definedName name="wld_az1_rack2_host4_fqdn">'Value Reference Tables - MR'!$L$240</definedName>
    <definedName name="wld_az1_rack2_host4_hostname">'Value Reference Tables - MR'!$L$221</definedName>
    <definedName name="wld_az1_rack2_host4_mgmt_ip">'Value Reference Tables - MR'!$L$202</definedName>
    <definedName name="wld_az1_rack2_host5_fqdn">'Value Reference Tables - MR'!$L$241</definedName>
    <definedName name="wld_az1_rack2_host5_hostname">'Value Reference Tables - MR'!$L$222</definedName>
    <definedName name="wld_az1_rack2_host5_mgmt_ip">'Value Reference Tables - MR'!$L$203</definedName>
    <definedName name="wld_az1_rack2_host6_fqdn">'Value Reference Tables - MR'!$L$242</definedName>
    <definedName name="wld_az1_rack2_host6_hostname">'Value Reference Tables - MR'!$L$223</definedName>
    <definedName name="wld_az1_rack2_host6_mgmt_ip">'Value Reference Tables - MR'!$L$204</definedName>
    <definedName name="wld_az1_rack2_host7_fqdn">'Value Reference Tables - MR'!$L$243</definedName>
    <definedName name="wld_az1_rack2_host7_hostname">'Value Reference Tables - MR'!$L$224</definedName>
    <definedName name="wld_az1_rack2_host7_mgmt_ip">'Value Reference Tables - MR'!$L$205</definedName>
    <definedName name="wld_az1_rack2_host8_fqdn">'Value Reference Tables - MR'!$L$244</definedName>
    <definedName name="wld_az1_rack2_host8_hostname">'Value Reference Tables - MR'!$L$225</definedName>
    <definedName name="wld_az1_rack2_host8_mgmt_ip">'Value Reference Tables - MR'!$L$206</definedName>
    <definedName name="wld_az1_rack2_host9_fqdn">'Value Reference Tables - MR'!$L$245</definedName>
    <definedName name="wld_az1_rack2_host9_hostname">'Value Reference Tables - MR'!$L$226</definedName>
    <definedName name="wld_az1_rack2_host9_mgmt_ip">'Value Reference Tables - MR'!$L$207</definedName>
    <definedName name="wld_az1_rack2_mgmt_cidr">'Value Reference Tables - MR'!$L$24</definedName>
    <definedName name="wld_az1_rack2_mgmt_gateway_ip">'Value Reference Tables - MR'!$L$86</definedName>
    <definedName name="wld_az1_rack2_mgmt_mask">'Value Reference Tables - MR'!$L$195</definedName>
    <definedName name="wld_az1_rack2_mgmt_mtu">'Value Reference Tables - MR'!$L$70</definedName>
    <definedName name="wld_az1_rack2_mgmt_network">'Value Reference Tables - MR'!$L$39</definedName>
    <definedName name="wld_az1_rack2_mgmt_pg">'Value Reference Tables - MR'!$L$126</definedName>
    <definedName name="wld_az1_rack2_mgmt_vlan">'Value Reference Tables - MR'!$L$9</definedName>
    <definedName name="wld_az1_rack2_mgmt_vm_cidr">'Value Reference Tables - MR'!$L$23</definedName>
    <definedName name="wld_az1_rack2_mgmt_vm_gateway_ip">'Value Reference Tables - MR'!$L$85</definedName>
    <definedName name="wld_az1_rack2_mgmt_vm_mask">'Value Reference Tables - MR'!$L$194</definedName>
    <definedName name="wld_az1_rack2_mgmt_vm_mtu">'Value Reference Tables - MR'!$L$69</definedName>
    <definedName name="wld_az1_rack2_mgmt_vm_pg">'Value Reference Tables - MR'!$L$125</definedName>
    <definedName name="wld_az1_rack2_mgmt_vm_vlan">'Value Reference Tables - MR'!$L$8</definedName>
    <definedName name="wld_az1_rack2_pool_name">'Value Reference Tables - MR'!$L$182</definedName>
    <definedName name="wld_az1_rack2_principal_storage_cidr">'Value Reference Tables - MR'!$L$26</definedName>
    <definedName name="wld_az1_rack2_principal_storage_gateway_ip">'Value Reference Tables - MR'!$L$88</definedName>
    <definedName name="wld_az1_rack2_principal_storage_mask">'Value Reference Tables - MR'!$L$56</definedName>
    <definedName name="wld_az1_rack2_principal_storage_mtu">'Value Reference Tables - MR'!$L$72</definedName>
    <definedName name="wld_az1_rack2_principal_storage_network">'Value Reference Tables - MR'!$L$41</definedName>
    <definedName name="wld_az1_rack2_principal_storage_pg">'Value Reference Tables - MR'!$L$128</definedName>
    <definedName name="wld_az1_rack2_principal_storage_pool_end_ip">'Value Reference Tables - MR'!$L$168</definedName>
    <definedName name="wld_az1_rack2_principal_storage_pool_start_ip">'Value Reference Tables - MR'!$L$167</definedName>
    <definedName name="wld_az1_rack2_principal_storage_vlan">'Value Reference Tables - MR'!$L$11</definedName>
    <definedName name="wld_az1_rack2_reuse_vcf_networkpool_chosen">#REF!</definedName>
    <definedName name="wld_az1_rack2_rtep_ip_pool_name">'Value Reference Tables - MR'!$L$189</definedName>
    <definedName name="wld_az1_rack2_rtep_overlay_cidr">'Value Reference Tables - MR'!$L$33</definedName>
    <definedName name="wld_az1_rack2_rtep_overlay_gateway_ip">'Value Reference Tables - MR'!$L$95</definedName>
    <definedName name="wld_az1_rack2_rtep_overlay_mtu">'Value Reference Tables - MR'!$L$79</definedName>
    <definedName name="wld_az1_rack2_rtep_overlay_pool_end_ip">'Value Reference Tables - MR'!$L$178</definedName>
    <definedName name="wld_az1_rack2_rtep_overlay_pool_start_ip">'Value Reference Tables - MR'!$L$177</definedName>
    <definedName name="wld_az1_rack2_rtep_overlay_vlan">'Value Reference Tables - MR'!$L$18</definedName>
    <definedName name="wld_az1_rack2_secondary_storage_cidr">'Value Reference Tables - MR'!$L$28</definedName>
    <definedName name="wld_az1_rack2_secondary_storage_gateway_ip">'Value Reference Tables - MR'!$L$90</definedName>
    <definedName name="wld_az1_rack2_secondary_storage_mask">'Value Reference Tables - MR'!$L$58</definedName>
    <definedName name="wld_az1_rack2_secondary_storage_mtu">'Value Reference Tables - MR'!$L$74</definedName>
    <definedName name="wld_az1_rack2_secondary_storage_network">'Value Reference Tables - MR'!$L$44</definedName>
    <definedName name="wld_az1_rack2_secondary_storage_pool_end_ip">'Value Reference Tables - MR'!$L$172</definedName>
    <definedName name="wld_az1_rack2_secondary_storage_pool_start_ip">'Value Reference Tables - MR'!$L$171</definedName>
    <definedName name="wld_az1_rack2_secondary_storage_vlan">'Value Reference Tables - MR'!$L$13</definedName>
    <definedName name="wld_az1_rack2_tor1_peer_asn">'Value Reference Tables - MR'!$L$117</definedName>
    <definedName name="wld_az1_rack2_tor1_peer_bgp_password">'Value Reference Tables - MR'!$L$118</definedName>
    <definedName name="wld_az1_rack2_tor1_peer_ip">'Value Reference Tables - MR'!$L$116</definedName>
    <definedName name="wld_az1_rack2_tor2_peer_asn">'Value Reference Tables - MR'!$L$120</definedName>
    <definedName name="wld_az1_rack2_tor2_peer_bgp_password">'Value Reference Tables - MR'!$L$121</definedName>
    <definedName name="wld_az1_rack2_tor2_peer_ip">'Value Reference Tables - MR'!$L$119</definedName>
    <definedName name="wld_az1_rack2_uplink01_cidr">'Value Reference Tables - MR'!$L$30</definedName>
    <definedName name="wld_az1_rack2_uplink01_gateway_ip">'Value Reference Tables - MR'!$L$92</definedName>
    <definedName name="wld_az1_rack2_uplink01_mask">'Value Reference Tables - MR'!$L$60</definedName>
    <definedName name="wld_az1_rack2_uplink01_mtu">'Value Reference Tables - MR'!$L$76</definedName>
    <definedName name="wld_az1_rack2_uplink01_network">'Value Reference Tables - MR'!$L$45</definedName>
    <definedName name="wld_az1_rack2_uplink01_pg">'Value Reference Tables - MR'!$L$129</definedName>
    <definedName name="wld_az1_rack2_uplink01_vlan">'Value Reference Tables - MR'!$L$15</definedName>
    <definedName name="wld_az1_rack2_uplink02_cidr">'Value Reference Tables - MR'!$L$31</definedName>
    <definedName name="wld_az1_rack2_uplink02_gateway_ip">'Value Reference Tables - MR'!$L$93</definedName>
    <definedName name="wld_az1_rack2_uplink02_mask">'Value Reference Tables - MR'!$L$61</definedName>
    <definedName name="wld_az1_rack2_uplink02_mtu">'Value Reference Tables - MR'!$L$77</definedName>
    <definedName name="wld_az1_rack2_uplink02_network">'Value Reference Tables - MR'!$L$46</definedName>
    <definedName name="wld_az1_rack2_uplink02_pg">'Value Reference Tables - MR'!$L$130</definedName>
    <definedName name="wld_az1_rack2_uplink02_vlan">'Value Reference Tables - MR'!$L$16</definedName>
    <definedName name="wld_az1_rack2_vmotion_cidr">'Value Reference Tables - MR'!$L$25</definedName>
    <definedName name="wld_az1_rack2_vmotion_gateway_ip">'Value Reference Tables - MR'!$L$87</definedName>
    <definedName name="wld_az1_rack2_vmotion_mask">'Value Reference Tables - MR'!$L$55</definedName>
    <definedName name="wld_az1_rack2_vmotion_mtu">'Value Reference Tables - MR'!$L$71</definedName>
    <definedName name="wld_az1_rack2_vmotion_network">'Value Reference Tables - MR'!$L$40</definedName>
    <definedName name="wld_az1_rack2_vmotion_pg">'Value Reference Tables - MR'!$L$127</definedName>
    <definedName name="wld_az1_rack2_vmotion_pool_end_ip">'Value Reference Tables - MR'!$L$166</definedName>
    <definedName name="wld_az1_rack2_vmotion_pool_start_ip">'Value Reference Tables - MR'!$L$165</definedName>
    <definedName name="wld_az1_rack2_vmotion_vlan">'Value Reference Tables - MR'!$L$10</definedName>
    <definedName name="wld_az1_rack2_vrms_cidr">'Value Reference Tables - MR'!$L$34</definedName>
    <definedName name="wld_az1_rack2_vrms_gateway_ip">'Value Reference Tables - MR'!$L$96</definedName>
    <definedName name="wld_az1_rack2_vrms_mtu">'Value Reference Tables - MR'!$L$80</definedName>
    <definedName name="wld_az1_rack2_vrms_vlan">'Value Reference Tables - MR'!$L$19</definedName>
    <definedName name="wld_az1_rack2_vsan_fault_domain">'Value Reference Tables - MR'!$L$190</definedName>
    <definedName name="wld_az1_rack3_edge_overlay_cidr">'Value Reference Tables - MR'!$O$32</definedName>
    <definedName name="wld_az1_rack3_edge_overlay_gateway_ip">'Value Reference Tables - MR'!$O$94</definedName>
    <definedName name="wld_az1_rack3_edge_overlay_mask">'Value Reference Tables - MR'!$O$62</definedName>
    <definedName name="wld_az1_rack3_edge_overlay_mtu">'Value Reference Tables - MR'!$O$78</definedName>
    <definedName name="wld_az1_rack3_edge_overlay_network">'Value Reference Tables - MR'!$O$47</definedName>
    <definedName name="wld_az1_rack3_edge_overlay_network_pool_name">'Value Reference Tables - MR'!$O$188</definedName>
    <definedName name="wld_az1_rack3_edge_overlay_pool_end_ip">'Value Reference Tables - MR'!$O$176</definedName>
    <definedName name="wld_az1_rack3_edge_overlay_pool_start_ip">'Value Reference Tables - MR'!$O$175</definedName>
    <definedName name="wld_az1_rack3_edge_overlay_vlan">'Value Reference Tables - MR'!$O$17</definedName>
    <definedName name="wld_az1_rack3_en1_edge_overlay_interface_ip_1_ip">'Value Reference Tables - MR'!$O$260</definedName>
    <definedName name="wld_az1_rack3_en1_edge_overlay_interface_ip_2_ip">'Value Reference Tables - MR'!$O$261</definedName>
    <definedName name="wld_az1_rack3_en1_fqdn">'Value Reference Tables - MR'!$O$256</definedName>
    <definedName name="wld_az1_rack3_en1_hostname">'Value Reference Tables - MR'!$O$255</definedName>
    <definedName name="wld_az1_rack3_en1_mgmt_ip">'Value Reference Tables - MR'!$O$257</definedName>
    <definedName name="wld_az1_rack3_en1_uplink01_interface_ip">'Value Reference Tables - MR'!$O$258</definedName>
    <definedName name="wld_az1_rack3_en1_uplink02_interface_ip">'Value Reference Tables - MR'!$O$259</definedName>
    <definedName name="wld_az1_rack3_en2_fqdn">'Value Reference Tables - MR'!$O$266</definedName>
    <definedName name="wld_az1_rack3_en2_hostname">'Value Reference Tables - MR'!$O$265</definedName>
    <definedName name="wld_az1_rack3_en2_mgmt_ip">'Value Reference Tables - MR'!$O$267</definedName>
    <definedName name="wld_az1_rack3_en2_uplink01_interface_ip">'Value Reference Tables - MR'!$O$268</definedName>
    <definedName name="wld_az1_rack3_en2_uplink02_interface_ip">'Value Reference Tables - MR'!$O$269</definedName>
    <definedName name="wld_az1_rack3_host_fqdns">'Value Reference Tables - MR'!$O$237:$O$252</definedName>
    <definedName name="wld_az1_rack3_host_hostnames">'Value Reference Tables - MR'!$O$218:$O$233</definedName>
    <definedName name="wld_az1_rack3_host_mgmt_ips">'Value Reference Tables - MR'!$O$199:$O$214</definedName>
    <definedName name="wld_az1_rack3_host_overlay_cidr">'Value Reference Tables - MR'!$O$27</definedName>
    <definedName name="wld_az1_rack3_host_overlay_gateway_ip">'Value Reference Tables - MR'!$O$89</definedName>
    <definedName name="wld_az1_rack3_host_overlay_mask">'Value Reference Tables - MR'!$O$57</definedName>
    <definedName name="wld_az1_rack3_host_overlay_mtu">'Value Reference Tables - MR'!$O$73</definedName>
    <definedName name="wld_az1_rack3_host_overlay_network">'Value Reference Tables - MR'!$O$42</definedName>
    <definedName name="wld_az1_rack3_host_overlay_network_pool_name">'Value Reference Tables - MR'!$O$185</definedName>
    <definedName name="wld_az1_rack3_host_overlay_network_profile_name">'Value Reference Tables - MR'!$O$183</definedName>
    <definedName name="wld_az1_rack3_host_overlay_new_pool_chosen">#REF!</definedName>
    <definedName name="wld_az1_rack3_host_overlay_pool_end_ip">'Value Reference Tables - MR'!$O$170</definedName>
    <definedName name="wld_az1_rack3_host_overlay_pool_start_ip">'Value Reference Tables - MR'!$O$169</definedName>
    <definedName name="wld_az1_rack3_host_overlay_uplink_profile_name">'Value Reference Tables - MR'!$O$187</definedName>
    <definedName name="wld_az1_rack3_host_overlay_vlan">'Value Reference Tables - MR'!$O$12</definedName>
    <definedName name="wld_az1_rack3_host1_fqdn">'Value Reference Tables - MR'!$O$237</definedName>
    <definedName name="wld_az1_rack3_host1_hostname">'Value Reference Tables - MR'!$O$218</definedName>
    <definedName name="wld_az1_rack3_host1_mgmt_ip">'Value Reference Tables - MR'!$O$199</definedName>
    <definedName name="wld_az1_rack3_host10_fqdn">'Value Reference Tables - MR'!$O$246</definedName>
    <definedName name="wld_az1_rack3_host10_hostname">'Value Reference Tables - MR'!$O$227</definedName>
    <definedName name="wld_az1_rack3_host10_mgmt_ip">'Value Reference Tables - MR'!$O$208</definedName>
    <definedName name="wld_az1_rack3_host11_fqdn">'Value Reference Tables - MR'!$O$247</definedName>
    <definedName name="wld_az1_rack3_host11_hostname">'Value Reference Tables - MR'!$O$228</definedName>
    <definedName name="wld_az1_rack3_host11_mgmt_ip">'Value Reference Tables - MR'!$O$209</definedName>
    <definedName name="wld_az1_rack3_host12_fqdn">'Value Reference Tables - MR'!$O$248</definedName>
    <definedName name="wld_az1_rack3_host12_hostname">'Value Reference Tables - MR'!$O$229</definedName>
    <definedName name="wld_az1_rack3_host12_mgmt_ip">'Value Reference Tables - MR'!$O$210</definedName>
    <definedName name="wld_az1_rack3_host13_fqdn">'Value Reference Tables - MR'!$O$249</definedName>
    <definedName name="wld_az1_rack3_host13_hostname">'Value Reference Tables - MR'!$O$230</definedName>
    <definedName name="wld_az1_rack3_host13_mgmt_ip">'Value Reference Tables - MR'!$O$211</definedName>
    <definedName name="wld_az1_rack3_host14_fqdn">'Value Reference Tables - MR'!$O$250</definedName>
    <definedName name="wld_az1_rack3_host14_hostname">'Value Reference Tables - MR'!$O$231</definedName>
    <definedName name="wld_az1_rack3_host14_mgmt_ip">'Value Reference Tables - MR'!$O$212</definedName>
    <definedName name="wld_az1_rack3_host15_fqdn">'Value Reference Tables - MR'!$O$251</definedName>
    <definedName name="wld_az1_rack3_host15_hostname">'Value Reference Tables - MR'!$O$232</definedName>
    <definedName name="wld_az1_rack3_host15_mgmt_ip">'Value Reference Tables - MR'!$O$213</definedName>
    <definedName name="wld_az1_rack3_host16_fqdn">'Value Reference Tables - MR'!$O$252</definedName>
    <definedName name="wld_az1_rack3_host16_hostname">'Value Reference Tables - MR'!$O$233</definedName>
    <definedName name="wld_az1_rack3_host16_mgmt_ip">'Value Reference Tables - MR'!$O$214</definedName>
    <definedName name="wld_az1_rack3_host2_fqdn">'Value Reference Tables - MR'!$O$238</definedName>
    <definedName name="wld_az1_rack3_host2_hostname">'Value Reference Tables - MR'!$O$219</definedName>
    <definedName name="wld_az1_rack3_host2_mgmt_ip">'Value Reference Tables - MR'!$O$200</definedName>
    <definedName name="wld_az1_rack3_host3_fqdn">'Value Reference Tables - MR'!$O$239</definedName>
    <definedName name="wld_az1_rack3_host3_hostname">'Value Reference Tables - MR'!$O$220</definedName>
    <definedName name="wld_az1_rack3_host3_mgmt_ip">'Value Reference Tables - MR'!$O$201</definedName>
    <definedName name="wld_az1_rack3_host4_fqdn">'Value Reference Tables - MR'!$O$240</definedName>
    <definedName name="wld_az1_rack3_host4_hostname">'Value Reference Tables - MR'!$O$221</definedName>
    <definedName name="wld_az1_rack3_host4_mgmt_ip">'Value Reference Tables - MR'!$O$202</definedName>
    <definedName name="wld_az1_rack3_host5_fqdn">'Value Reference Tables - MR'!$O$241</definedName>
    <definedName name="wld_az1_rack3_host5_hostname">'Value Reference Tables - MR'!$O$222</definedName>
    <definedName name="wld_az1_rack3_host5_mgmt_ip">'Value Reference Tables - MR'!$O$203</definedName>
    <definedName name="wld_az1_rack3_host6_fqdn">'Value Reference Tables - MR'!$O$242</definedName>
    <definedName name="wld_az1_rack3_host6_hostname">'Value Reference Tables - MR'!$O$223</definedName>
    <definedName name="wld_az1_rack3_host6_mgmt_ip">'Value Reference Tables - MR'!$O$204</definedName>
    <definedName name="wld_az1_rack3_host7_fqdn">'Value Reference Tables - MR'!$O$243</definedName>
    <definedName name="wld_az1_rack3_host7_hostname">'Value Reference Tables - MR'!$O$224</definedName>
    <definedName name="wld_az1_rack3_host7_mgmt_ip">'Value Reference Tables - MR'!$O$205</definedName>
    <definedName name="wld_az1_rack3_host8_fqdn">'Value Reference Tables - MR'!$O$244</definedName>
    <definedName name="wld_az1_rack3_host8_hostname">'Value Reference Tables - MR'!$O$225</definedName>
    <definedName name="wld_az1_rack3_host8_mgmt_ip">'Value Reference Tables - MR'!$O$206</definedName>
    <definedName name="wld_az1_rack3_host9_fqdn">'Value Reference Tables - MR'!$O$245</definedName>
    <definedName name="wld_az1_rack3_host9_hostname">'Value Reference Tables - MR'!$O$226</definedName>
    <definedName name="wld_az1_rack3_host9_mgmt_ip">'Value Reference Tables - MR'!$O$207</definedName>
    <definedName name="wld_az1_rack3_mgmt_cidr">'Value Reference Tables - MR'!$O$24</definedName>
    <definedName name="wld_az1_rack3_mgmt_gateway_ip">'Value Reference Tables - MR'!$O$86</definedName>
    <definedName name="wld_az1_rack3_mgmt_mask">'Value Reference Tables - MR'!$O$195</definedName>
    <definedName name="wld_az1_rack3_mgmt_mtu">'Value Reference Tables - MR'!$O$70</definedName>
    <definedName name="wld_az1_rack3_mgmt_network">'Value Reference Tables - MR'!$O$39</definedName>
    <definedName name="wld_az1_rack3_mgmt_pg">'Value Reference Tables - MR'!$O$126</definedName>
    <definedName name="wld_az1_rack3_mgmt_vlan">'Value Reference Tables - MR'!$O$9</definedName>
    <definedName name="wld_az1_rack3_mgmt_vm_cidr">'Value Reference Tables - MR'!$O$23</definedName>
    <definedName name="wld_az1_rack3_mgmt_vm_gateway_ip">'Value Reference Tables - MR'!$O$85</definedName>
    <definedName name="wld_az1_rack3_mgmt_vm_mask">'Value Reference Tables - MR'!$O$194</definedName>
    <definedName name="wld_az1_rack3_mgmt_vm_mtu">'Value Reference Tables - MR'!$O$69</definedName>
    <definedName name="wld_az1_rack3_mgmt_vm_pg">'Value Reference Tables - MR'!$O$125</definedName>
    <definedName name="wld_az1_rack3_mgmt_vm_vlan">'Value Reference Tables - MR'!$O$8</definedName>
    <definedName name="wld_az1_rack3_pool_name">'Value Reference Tables - MR'!$O$182</definedName>
    <definedName name="wld_az1_rack3_principal_storage_cidr">'Value Reference Tables - MR'!$O$26</definedName>
    <definedName name="wld_az1_rack3_principal_storage_gateway_ip">'Value Reference Tables - MR'!$O$88</definedName>
    <definedName name="wld_az1_rack3_principal_storage_mask">'Value Reference Tables - MR'!$O$56</definedName>
    <definedName name="wld_az1_rack3_principal_storage_mtu">'Value Reference Tables - MR'!$O$72</definedName>
    <definedName name="wld_az1_rack3_principal_storage_network">'Value Reference Tables - MR'!$O$41</definedName>
    <definedName name="wld_az1_rack3_principal_storage_pool_end_ip">'Value Reference Tables - MR'!$O$168</definedName>
    <definedName name="wld_az1_rack3_principal_storage_pool_start_ip">'Value Reference Tables - MR'!$O$167</definedName>
    <definedName name="wld_az1_rack3_principal_storage_vlan">'Value Reference Tables - MR'!$O$11</definedName>
    <definedName name="wld_az1_rack3_reuse_vcf_networkpool_chosen">#REF!</definedName>
    <definedName name="wld_az1_rack3_rtep_ip_pool_name">'Value Reference Tables - MR'!$O$189</definedName>
    <definedName name="wld_az1_rack3_rtep_overlay_cidr">'Value Reference Tables - MR'!$O$33</definedName>
    <definedName name="wld_az1_rack3_rtep_overlay_gateway_ip">'Value Reference Tables - MR'!$O$95</definedName>
    <definedName name="wld_az1_rack3_rtep_overlay_mtu">'Value Reference Tables - MR'!$O$79</definedName>
    <definedName name="wld_az1_rack3_rtep_overlay_pool_end_ip">'Value Reference Tables - MR'!$O$178</definedName>
    <definedName name="wld_az1_rack3_rtep_overlay_pool_start_ip">'Value Reference Tables - MR'!$O$177</definedName>
    <definedName name="wld_az1_rack3_rtep_overlay_vlan">'Value Reference Tables - MR'!$O$18</definedName>
    <definedName name="wld_az1_rack3_secondary_storage_cidr">'Value Reference Tables - MR'!$O$28</definedName>
    <definedName name="wld_az1_rack3_secondary_storage_gateway_ip">'Value Reference Tables - MR'!$O$90</definedName>
    <definedName name="wld_az1_rack3_secondary_storage_mask">'Value Reference Tables - MR'!$O$58</definedName>
    <definedName name="wld_az1_rack3_secondary_storage_mtu">'Value Reference Tables - MR'!$O$74</definedName>
    <definedName name="wld_az1_rack3_secondary_storage_network">'Value Reference Tables - MR'!$O$44</definedName>
    <definedName name="wld_az1_rack3_secondary_storage_pool_end_ip">'Value Reference Tables - MR'!$O$172</definedName>
    <definedName name="wld_az1_rack3_secondary_storage_pool_start_ip">'Value Reference Tables - MR'!$O$171</definedName>
    <definedName name="wld_az1_rack3_secondary_storage_vlan">'Value Reference Tables - MR'!$O$13</definedName>
    <definedName name="wld_az1_rack3_tor1_peer_asn">'Value Reference Tables - MR'!$O$117</definedName>
    <definedName name="wld_az1_rack3_tor1_peer_bgp_password">'Value Reference Tables - MR'!$O$118</definedName>
    <definedName name="wld_az1_rack3_tor1_peer_ip">'Value Reference Tables - MR'!$O$116</definedName>
    <definedName name="wld_az1_rack3_tor2_peer_asn">'Value Reference Tables - MR'!$O$120</definedName>
    <definedName name="wld_az1_rack3_tor2_peer_bgp_password">'Value Reference Tables - MR'!$O$121</definedName>
    <definedName name="wld_az1_rack3_tor2_peer_ip">'Value Reference Tables - MR'!$O$119</definedName>
    <definedName name="wld_az1_rack3_uplink01_cidr">'Value Reference Tables - MR'!$O$30</definedName>
    <definedName name="wld_az1_rack3_uplink01_gateway_ip">'Value Reference Tables - MR'!$O$92</definedName>
    <definedName name="wld_az1_rack3_uplink01_mask">'Value Reference Tables - MR'!$O$60</definedName>
    <definedName name="wld_az1_rack3_uplink01_mtu">'Value Reference Tables - MR'!$O$76</definedName>
    <definedName name="wld_az1_rack3_uplink01_network">'Value Reference Tables - MR'!$O$45</definedName>
    <definedName name="wld_az1_rack3_uplink01_pg">'Value Reference Tables - MR'!$O$129</definedName>
    <definedName name="wld_az1_rack3_uplink01_vlan">'Value Reference Tables - MR'!$O$15</definedName>
    <definedName name="wld_az1_rack3_uplink02_cidr">'Value Reference Tables - MR'!$O$31</definedName>
    <definedName name="wld_az1_rack3_uplink02_gateway_ip">'Value Reference Tables - MR'!$O$93</definedName>
    <definedName name="wld_az1_rack3_uplink02_mask">'Value Reference Tables - MR'!$O$61</definedName>
    <definedName name="wld_az1_rack3_uplink02_mtu">'Value Reference Tables - MR'!$O$77</definedName>
    <definedName name="wld_az1_rack3_uplink02_network">'Value Reference Tables - MR'!$O$46</definedName>
    <definedName name="wld_az1_rack3_uplink02_pg">'Value Reference Tables - MR'!$O$130</definedName>
    <definedName name="wld_az1_rack3_uplink02_vlan">'Value Reference Tables - MR'!$O$16</definedName>
    <definedName name="wld_az1_rack3_vmotion_cidr">'Value Reference Tables - MR'!$O$25</definedName>
    <definedName name="wld_az1_rack3_vmotion_gateway_ip">'Value Reference Tables - MR'!$O$87</definedName>
    <definedName name="wld_az1_rack3_vmotion_mask">'Value Reference Tables - MR'!$O$55</definedName>
    <definedName name="wld_az1_rack3_vmotion_mtu">'Value Reference Tables - MR'!$O$71</definedName>
    <definedName name="wld_az1_rack3_vmotion_network">'Value Reference Tables - MR'!$O$40</definedName>
    <definedName name="wld_az1_rack3_vmotion_pg">'Value Reference Tables - MR'!$O$127</definedName>
    <definedName name="wld_az1_rack3_vmotion_pool_end_ip">'Value Reference Tables - MR'!$O$166</definedName>
    <definedName name="wld_az1_rack3_vmotion_pool_start_ip">'Value Reference Tables - MR'!$O$165</definedName>
    <definedName name="wld_az1_rack3_vmotion_vlan">'Value Reference Tables - MR'!$O$10</definedName>
    <definedName name="wld_az1_rack3_vrms_cidr">'Value Reference Tables - MR'!$O$34</definedName>
    <definedName name="wld_az1_rack3_vrms_gateway_ip">'Value Reference Tables - MR'!$O$96</definedName>
    <definedName name="wld_az1_rack3_vrms_mtu">'Value Reference Tables - MR'!$O$80</definedName>
    <definedName name="wld_az1_rack3_vrms_vlan">'Value Reference Tables - MR'!$O$19</definedName>
    <definedName name="wld_az1_rack3_vsan_fault_domain">'Value Reference Tables - MR'!$O$190</definedName>
    <definedName name="wld_az1_rack4_edge_overlay_cidr">'Value Reference Tables - MR'!$R$32</definedName>
    <definedName name="wld_az1_rack4_edge_overlay_gateway_ip">'Value Reference Tables - MR'!$R$94</definedName>
    <definedName name="wld_az1_rack4_edge_overlay_mask">'Value Reference Tables - MR'!$R$62</definedName>
    <definedName name="wld_az1_rack4_edge_overlay_mtu">'Value Reference Tables - MR'!$R$78</definedName>
    <definedName name="wld_az1_rack4_edge_overlay_network">'Value Reference Tables - MR'!$R$47</definedName>
    <definedName name="wld_az1_rack4_edge_overlay_network_pool_name">'Value Reference Tables - MR'!$R$188</definedName>
    <definedName name="wld_az1_rack4_edge_overlay_pool_end_ip">'Value Reference Tables - MR'!$R$176</definedName>
    <definedName name="wld_az1_rack4_edge_overlay_pool_start_ip">'Value Reference Tables - MR'!$R$175</definedName>
    <definedName name="wld_az1_rack4_edge_overlay_vlan">'Value Reference Tables - MR'!$R$17</definedName>
    <definedName name="wld_az1_rack4_en1_edge_overlay_interface_ip_1_ip">'Value Reference Tables - MR'!$R$260</definedName>
    <definedName name="wld_az1_rack4_en1_edge_overlay_interface_ip_2_ip">'Value Reference Tables - MR'!$R$261</definedName>
    <definedName name="wld_az1_rack4_en1_fqdn">'Value Reference Tables - MR'!$R$256</definedName>
    <definedName name="wld_az1_rack4_en1_hostname">'Value Reference Tables - MR'!$R$255</definedName>
    <definedName name="wld_az1_rack4_en1_mgmt_ip">'Value Reference Tables - MR'!$R$257</definedName>
    <definedName name="wld_az1_rack4_en1_uplink01_interface_ip">'Value Reference Tables - MR'!$R$258</definedName>
    <definedName name="wld_az1_rack4_en1_uplink02_interface_ip">'Value Reference Tables - MR'!$R$259</definedName>
    <definedName name="wld_az1_rack4_en2_fqdn">'Value Reference Tables - MR'!$R$266</definedName>
    <definedName name="wld_az1_rack4_en2_hostname">'Value Reference Tables - MR'!$R$265</definedName>
    <definedName name="wld_az1_rack4_en2_mgmt_ip">'Value Reference Tables - MR'!$R$267</definedName>
    <definedName name="wld_az1_rack4_en2_uplink01_interface_ip">'Value Reference Tables - MR'!$R$268</definedName>
    <definedName name="wld_az1_rack4_en2_uplink02_interface_ip">'Value Reference Tables - MR'!$R$269</definedName>
    <definedName name="wld_az1_rack4_host_fqdns">'Value Reference Tables - MR'!$R$237:$R$252</definedName>
    <definedName name="wld_az1_rack4_host_hostnames">'Value Reference Tables - MR'!$R$218:$R$233</definedName>
    <definedName name="wld_az1_rack4_host_mgmt_ips">'Value Reference Tables - MR'!$R$199:$R$214</definedName>
    <definedName name="wld_az1_rack4_host_overlay_cidr">'Value Reference Tables - MR'!$R$27</definedName>
    <definedName name="wld_az1_rack4_host_overlay_gateway_ip">'Value Reference Tables - MR'!$R$89</definedName>
    <definedName name="wld_az1_rack4_host_overlay_mask">'Value Reference Tables - MR'!$R$57</definedName>
    <definedName name="wld_az1_rack4_host_overlay_mtu">'Value Reference Tables - MR'!$R$73</definedName>
    <definedName name="wld_az1_rack4_host_overlay_network">'Value Reference Tables - MR'!$R$42</definedName>
    <definedName name="wld_az1_rack4_host_overlay_network_pool_name">'Value Reference Tables - MR'!$R$185</definedName>
    <definedName name="wld_az1_rack4_host_overlay_network_profile_name">'Value Reference Tables - MR'!$R$183</definedName>
    <definedName name="wld_az1_rack4_host_overlay_new_pool_chosen">#REF!</definedName>
    <definedName name="wld_az1_rack4_host_overlay_pool_end_ip">'Value Reference Tables - MR'!$R$170</definedName>
    <definedName name="wld_az1_rack4_host_overlay_pool_start_ip">'Value Reference Tables - MR'!$R$169</definedName>
    <definedName name="wld_az1_rack4_host_overlay_uplink_profile_name">'Value Reference Tables - MR'!$R$187</definedName>
    <definedName name="wld_az1_rack4_host_overlay_vlan">'Value Reference Tables - MR'!$R$12</definedName>
    <definedName name="wld_az1_rack4_host1_fqdn">'Value Reference Tables - MR'!$R$237</definedName>
    <definedName name="wld_az1_rack4_host1_hostname">'Value Reference Tables - MR'!$R$218</definedName>
    <definedName name="wld_az1_rack4_host1_mgmt_ip">'Value Reference Tables - MR'!$R$199</definedName>
    <definedName name="wld_az1_rack4_host10_fqdn">'Value Reference Tables - MR'!$R$246</definedName>
    <definedName name="wld_az1_rack4_host10_hostname">'Value Reference Tables - MR'!$R$227</definedName>
    <definedName name="wld_az1_rack4_host10_mgmt_ip">'Value Reference Tables - MR'!$R$208</definedName>
    <definedName name="wld_az1_rack4_host11_fqdn">'Value Reference Tables - MR'!$R$247</definedName>
    <definedName name="wld_az1_rack4_host11_hostname">'Value Reference Tables - MR'!$R$228</definedName>
    <definedName name="wld_az1_rack4_host11_mgmt_ip">'Value Reference Tables - MR'!$R$209</definedName>
    <definedName name="wld_az1_rack4_host12_fqdn">'Value Reference Tables - MR'!$R$248</definedName>
    <definedName name="wld_az1_rack4_host12_hostname">'Value Reference Tables - MR'!$R$229</definedName>
    <definedName name="wld_az1_rack4_host12_mgmt_ip">'Value Reference Tables - MR'!$R$210</definedName>
    <definedName name="wld_az1_rack4_host13_fqdn">'Value Reference Tables - MR'!$R$249</definedName>
    <definedName name="wld_az1_rack4_host13_hostname">'Value Reference Tables - MR'!$R$230</definedName>
    <definedName name="wld_az1_rack4_host13_mgmt_ip">'Value Reference Tables - MR'!$R$211</definedName>
    <definedName name="wld_az1_rack4_host14_fqdn">'Value Reference Tables - MR'!$R$250</definedName>
    <definedName name="wld_az1_rack4_host14_hostname">'Value Reference Tables - MR'!$R$231</definedName>
    <definedName name="wld_az1_rack4_host14_mgmt_ip">'Value Reference Tables - MR'!$R$212</definedName>
    <definedName name="wld_az1_rack4_host15_fqdn">'Value Reference Tables - MR'!$R$251</definedName>
    <definedName name="wld_az1_rack4_host15_hostname">'Value Reference Tables - MR'!$R$232</definedName>
    <definedName name="wld_az1_rack4_host15_mgmt_ip">'Value Reference Tables - MR'!$R$213</definedName>
    <definedName name="wld_az1_rack4_host16_fqdn">'Value Reference Tables - MR'!$R$252</definedName>
    <definedName name="wld_az1_rack4_host16_hostname">'Value Reference Tables - MR'!$R$233</definedName>
    <definedName name="wld_az1_rack4_host16_mgmt_ip">'Value Reference Tables - MR'!$R$214</definedName>
    <definedName name="wld_az1_rack4_host2_fqdn">'Value Reference Tables - MR'!$R$238</definedName>
    <definedName name="wld_az1_rack4_host2_hostname">'Value Reference Tables - MR'!$R$219</definedName>
    <definedName name="wld_az1_rack4_host2_mgmt_ip">'Value Reference Tables - MR'!$R$200</definedName>
    <definedName name="wld_az1_rack4_host3_fqdn">'Value Reference Tables - MR'!$R$239</definedName>
    <definedName name="wld_az1_rack4_host3_hostname">'Value Reference Tables - MR'!$R$220</definedName>
    <definedName name="wld_az1_rack4_host3_mgmt_ip">'Value Reference Tables - MR'!$R$201</definedName>
    <definedName name="wld_az1_rack4_host4_fqdn">'Value Reference Tables - MR'!$R$240</definedName>
    <definedName name="wld_az1_rack4_host4_hostname">'Value Reference Tables - MR'!$R$221</definedName>
    <definedName name="wld_az1_rack4_host4_mgmt_ip">'Value Reference Tables - MR'!$R$202</definedName>
    <definedName name="wld_az1_rack4_host5_fqdn">'Value Reference Tables - MR'!$R$241</definedName>
    <definedName name="wld_az1_rack4_host5_hostname">'Value Reference Tables - MR'!$R$222</definedName>
    <definedName name="wld_az1_rack4_host5_mgmt_ip">'Value Reference Tables - MR'!$R$203</definedName>
    <definedName name="wld_az1_rack4_host6_fqdn">'Value Reference Tables - MR'!$R$242</definedName>
    <definedName name="wld_az1_rack4_host6_hostname">'Value Reference Tables - MR'!$R$223</definedName>
    <definedName name="wld_az1_rack4_host6_mgmt_ip">'Value Reference Tables - MR'!$R$204</definedName>
    <definedName name="wld_az1_rack4_host7_fqdn">'Value Reference Tables - MR'!$R$243</definedName>
    <definedName name="wld_az1_rack4_host7_hostname">'Value Reference Tables - MR'!$R$224</definedName>
    <definedName name="wld_az1_rack4_host7_mgmt_ip">'Value Reference Tables - MR'!$R$205</definedName>
    <definedName name="wld_az1_rack4_host8_fqdn">'Value Reference Tables - MR'!$R$244</definedName>
    <definedName name="wld_az1_rack4_host8_hostname">'Value Reference Tables - MR'!$R$225</definedName>
    <definedName name="wld_az1_rack4_host8_mgmt_ip">'Value Reference Tables - MR'!$R$206</definedName>
    <definedName name="wld_az1_rack4_host9_fqdn">'Value Reference Tables - MR'!$R$245</definedName>
    <definedName name="wld_az1_rack4_host9_hostname">'Value Reference Tables - MR'!$R$226</definedName>
    <definedName name="wld_az1_rack4_host9_mgmt_ip">'Value Reference Tables - MR'!$R$207</definedName>
    <definedName name="wld_az1_rack4_mgmt_cidr">'Value Reference Tables - MR'!$R$24</definedName>
    <definedName name="wld_az1_rack4_mgmt_gateway_ip">'Value Reference Tables - MR'!$R$86</definedName>
    <definedName name="wld_az1_rack4_mgmt_mask">'Value Reference Tables - MR'!$R$195</definedName>
    <definedName name="wld_az1_rack4_mgmt_mtu">'Value Reference Tables - MR'!$R$70</definedName>
    <definedName name="wld_az1_rack4_mgmt_network">'Value Reference Tables - MR'!$R$39</definedName>
    <definedName name="wld_az1_rack4_mgmt_pg">'Value Reference Tables - MR'!$R$126</definedName>
    <definedName name="wld_az1_rack4_mgmt_vlan">'Value Reference Tables - MR'!$R$9</definedName>
    <definedName name="wld_az1_rack4_mgmt_vm_cidr">'Value Reference Tables - MR'!$R$23</definedName>
    <definedName name="wld_az1_rack4_mgmt_vm_gateway_ip">'Value Reference Tables - MR'!$R$85</definedName>
    <definedName name="wld_az1_rack4_mgmt_vm_mask">'Value Reference Tables - MR'!$R$194</definedName>
    <definedName name="wld_az1_rack4_mgmt_vm_mtu">'Value Reference Tables - MR'!$R$69</definedName>
    <definedName name="wld_az1_rack4_mgmt_vm_pg">'Value Reference Tables - MR'!$R$125</definedName>
    <definedName name="wld_az1_rack4_mgmt_vm_vlan">'Value Reference Tables - MR'!$R$8</definedName>
    <definedName name="wld_az1_rack4_pool_name">'Value Reference Tables - MR'!$R$182</definedName>
    <definedName name="wld_az1_rack4_principal_storage_cidr">'Value Reference Tables - MR'!$R$26</definedName>
    <definedName name="wld_az1_rack4_principal_storage_gateway_ip">'Value Reference Tables - MR'!$R$88</definedName>
    <definedName name="wld_az1_rack4_principal_storage_mask">'Value Reference Tables - MR'!$R$56</definedName>
    <definedName name="wld_az1_rack4_principal_storage_mtu">'Value Reference Tables - MR'!$R$72</definedName>
    <definedName name="wld_az1_rack4_principal_storage_network">'Value Reference Tables - MR'!$R$41</definedName>
    <definedName name="wld_az1_rack4_principal_storage_pg">'Value Reference Tables - MR'!$R$128</definedName>
    <definedName name="wld_az1_rack4_principal_storage_pool_end_ip">'Value Reference Tables - MR'!$R$168</definedName>
    <definedName name="wld_az1_rack4_principal_storage_pool_start_ip">'Value Reference Tables - MR'!$R$167</definedName>
    <definedName name="wld_az1_rack4_principal_storage_vlan">'Value Reference Tables - MR'!$R$11</definedName>
    <definedName name="wld_az1_rack4_reuse_vcf_networkpool_chosen">#REF!</definedName>
    <definedName name="wld_az1_rack4_rtep_ip_pool_name">'Value Reference Tables - MR'!$R$189</definedName>
    <definedName name="wld_az1_rack4_rtep_overlay_cidr">'Value Reference Tables - MR'!$R$33</definedName>
    <definedName name="wld_az1_rack4_rtep_overlay_gateway_ip">'Value Reference Tables - MR'!$R$95</definedName>
    <definedName name="wld_az1_rack4_rtep_overlay_mtu">'Value Reference Tables - MR'!$R$79</definedName>
    <definedName name="wld_az1_rack4_rtep_overlay_pool_end_ip">'Value Reference Tables - MR'!$R$178</definedName>
    <definedName name="wld_az1_rack4_rtep_overlay_pool_start_ip">'Value Reference Tables - MR'!$R$177</definedName>
    <definedName name="wld_az1_rack4_rtep_overlay_vlan">'Value Reference Tables - MR'!$R$18</definedName>
    <definedName name="wld_az1_rack4_secondary_storage_cidr">'Value Reference Tables - MR'!$R$28</definedName>
    <definedName name="wld_az1_rack4_secondary_storage_gateway_ip">'Value Reference Tables - MR'!$R$90</definedName>
    <definedName name="wld_az1_rack4_secondary_storage_mask">'Value Reference Tables - MR'!$R$58</definedName>
    <definedName name="wld_az1_rack4_secondary_storage_mtu">'Value Reference Tables - MR'!$R$74</definedName>
    <definedName name="wld_az1_rack4_secondary_storage_network">'Value Reference Tables - MR'!$R$44</definedName>
    <definedName name="wld_az1_rack4_secondary_storage_pool_end_ip">'Value Reference Tables - MR'!$R$172</definedName>
    <definedName name="wld_az1_rack4_secondary_storage_pool_start_ip">'Value Reference Tables - MR'!$R$171</definedName>
    <definedName name="wld_az1_rack4_secondary_storage_vlan">'Value Reference Tables - MR'!$R$13</definedName>
    <definedName name="wld_az1_rack4_tor1_peer_asn">'Value Reference Tables - MR'!$R$117</definedName>
    <definedName name="wld_az1_rack4_tor1_peer_bgp_password">'Value Reference Tables - MR'!$R$118</definedName>
    <definedName name="wld_az1_rack4_tor1_peer_ip">'Value Reference Tables - MR'!$R$116</definedName>
    <definedName name="wld_az1_rack4_tor2_peer_asn">'Value Reference Tables - MR'!$R$120</definedName>
    <definedName name="wld_az1_rack4_tor2_peer_bgp_password">'Value Reference Tables - MR'!$R$121</definedName>
    <definedName name="wld_az1_rack4_tor2_peer_ip">'Value Reference Tables - MR'!$R$119</definedName>
    <definedName name="wld_az1_rack4_uplink01_cidr">'Value Reference Tables - MR'!$R$30</definedName>
    <definedName name="wld_az1_rack4_uplink01_gateway_ip">'Value Reference Tables - MR'!$R$92</definedName>
    <definedName name="wld_az1_rack4_uplink01_mask">'Value Reference Tables - MR'!$R$60</definedName>
    <definedName name="wld_az1_rack4_uplink01_mtu">'Value Reference Tables - MR'!$R$76</definedName>
    <definedName name="wld_az1_rack4_uplink01_network">'Value Reference Tables - MR'!$R$45</definedName>
    <definedName name="wld_az1_rack4_uplink01_pg">'Value Reference Tables - MR'!$R$129</definedName>
    <definedName name="wld_az1_rack4_uplink01_vlan">'Value Reference Tables - MR'!$R$15</definedName>
    <definedName name="wld_az1_rack4_uplink02_cidr">'Value Reference Tables - MR'!$R$31</definedName>
    <definedName name="wld_az1_rack4_uplink02_gateway_ip">'Value Reference Tables - MR'!$R$93</definedName>
    <definedName name="wld_az1_rack4_uplink02_mask">'Value Reference Tables - MR'!$R$61</definedName>
    <definedName name="wld_az1_rack4_uplink02_mtu">'Value Reference Tables - MR'!$R$77</definedName>
    <definedName name="wld_az1_rack4_uplink02_network">'Value Reference Tables - MR'!$R$46</definedName>
    <definedName name="wld_az1_rack4_uplink02_pg">'Value Reference Tables - MR'!$R$130</definedName>
    <definedName name="wld_az1_rack4_uplink02_vlan">'Value Reference Tables - MR'!$R$16</definedName>
    <definedName name="wld_az1_rack4_vmotion_cidr">'Value Reference Tables - MR'!$R$25</definedName>
    <definedName name="wld_az1_rack4_vmotion_gateway_ip">'Value Reference Tables - MR'!$R$87</definedName>
    <definedName name="wld_az1_rack4_vmotion_mask">'Value Reference Tables - MR'!$R$55</definedName>
    <definedName name="wld_az1_rack4_vmotion_mtu">'Value Reference Tables - MR'!$R$71</definedName>
    <definedName name="wld_az1_rack4_vmotion_network">'Value Reference Tables - MR'!$R$40</definedName>
    <definedName name="wld_az1_rack4_vmotion_pg">'Value Reference Tables - MR'!$R$127</definedName>
    <definedName name="wld_az1_rack4_vmotion_pool_end_ip">'Value Reference Tables - MR'!$R$166</definedName>
    <definedName name="wld_az1_rack4_vmotion_pool_start_ip">'Value Reference Tables - MR'!$R$165</definedName>
    <definedName name="wld_az1_rack4_vmotion_vlan">'Value Reference Tables - MR'!$R$10</definedName>
    <definedName name="wld_az1_rack4_vrms_cidr">'Value Reference Tables - MR'!$R$34</definedName>
    <definedName name="wld_az1_rack4_vrms_gateway_ip">'Value Reference Tables - MR'!$R$96</definedName>
    <definedName name="wld_az1_rack4_vrms_mtu">'Value Reference Tables - MR'!$R$80</definedName>
    <definedName name="wld_az1_rack4_vrms_vlan">'Value Reference Tables - MR'!$R$19</definedName>
    <definedName name="wld_az1_rack4_vsan_fault_domain">'Value Reference Tables - MR'!$R$190</definedName>
    <definedName name="wld_az1_rack5_edge_overlay_cidr">'Value Reference Tables - MR'!$U$32</definedName>
    <definedName name="wld_az1_rack5_edge_overlay_gateway_ip">'Value Reference Tables - MR'!$U$94</definedName>
    <definedName name="wld_az1_rack5_edge_overlay_mask">'Value Reference Tables - MR'!$U$62</definedName>
    <definedName name="wld_az1_rack5_edge_overlay_mtu">'Value Reference Tables - MR'!$U$78</definedName>
    <definedName name="wld_az1_rack5_edge_overlay_network">'Value Reference Tables - MR'!$U$47</definedName>
    <definedName name="wld_az1_rack5_edge_overlay_network_pool_name">'Value Reference Tables - MR'!$U$188</definedName>
    <definedName name="wld_az1_rack5_edge_overlay_pool_end_ip">'Value Reference Tables - MR'!$U$176</definedName>
    <definedName name="wld_az1_rack5_edge_overlay_pool_start_ip">'Value Reference Tables - MR'!$U$175</definedName>
    <definedName name="wld_az1_rack5_edge_overlay_vlan">'Value Reference Tables - MR'!$U$17</definedName>
    <definedName name="wld_az1_rack5_en1_edge_overlay_interface_ip_1_ip">'Value Reference Tables - MR'!$U$260</definedName>
    <definedName name="wld_az1_rack5_en1_edge_overlay_interface_ip_2_ip">'Value Reference Tables - MR'!$U$261</definedName>
    <definedName name="wld_az1_rack5_en1_fqdn">'Value Reference Tables - MR'!$U$256</definedName>
    <definedName name="wld_az1_rack5_en1_hostname">'Value Reference Tables - MR'!$U$255</definedName>
    <definedName name="wld_az1_rack5_en1_mgmt_ip">'Value Reference Tables - MR'!$U$257</definedName>
    <definedName name="wld_az1_rack5_en1_uplink01_interface_ip">'Value Reference Tables - MR'!$U$258</definedName>
    <definedName name="wld_az1_rack5_en1_uplink02_interface_ip">'Value Reference Tables - MR'!$U$259</definedName>
    <definedName name="wld_az1_rack5_en2_fqdn">'Value Reference Tables - MR'!$U$266</definedName>
    <definedName name="wld_az1_rack5_en2_hostname">'Value Reference Tables - MR'!$U$265</definedName>
    <definedName name="wld_az1_rack5_en2_mgmt_ip">'Value Reference Tables - MR'!$U$267</definedName>
    <definedName name="wld_az1_rack5_en2_uplink01_interface_ip">'Value Reference Tables - MR'!$U$268</definedName>
    <definedName name="wld_az1_rack5_en2_uplink02_interface_ip">'Value Reference Tables - MR'!$U$269</definedName>
    <definedName name="wld_az1_rack5_host_fqdns">'Value Reference Tables - MR'!$U$237:$U$252</definedName>
    <definedName name="wld_az1_rack5_host_hostnames">'Value Reference Tables - MR'!$U$218:$U$233</definedName>
    <definedName name="wld_az1_rack5_host_mgmt_ips">'Value Reference Tables - MR'!$U$199:$U$214</definedName>
    <definedName name="wld_az1_rack5_host_overlay_cidr">'Value Reference Tables - MR'!$U$27</definedName>
    <definedName name="wld_az1_rack5_host_overlay_gateway_ip">'Value Reference Tables - MR'!$U$89</definedName>
    <definedName name="wld_az1_rack5_host_overlay_mask">'Value Reference Tables - MR'!$U$57</definedName>
    <definedName name="wld_az1_rack5_host_overlay_mtu">'Value Reference Tables - MR'!$U$73</definedName>
    <definedName name="wld_az1_rack5_host_overlay_network">'Value Reference Tables - MR'!$U$42</definedName>
    <definedName name="wld_az1_rack5_host_overlay_network_pool_name">'Value Reference Tables - MR'!$U$185</definedName>
    <definedName name="wld_az1_rack5_host_overlay_network_profile_name">'Value Reference Tables - MR'!$U$183</definedName>
    <definedName name="wld_az1_rack5_host_overlay_new_pool_chosen">#REF!</definedName>
    <definedName name="wld_az1_rack5_host_overlay_pool_end_ip">'Value Reference Tables - MR'!$U$170</definedName>
    <definedName name="wld_az1_rack5_host_overlay_pool_start_ip">'Value Reference Tables - MR'!$U$169</definedName>
    <definedName name="wld_az1_rack5_host_overlay_uplink_profile_name">'Value Reference Tables - MR'!$U$187</definedName>
    <definedName name="wld_az1_rack5_host_overlay_vlan">'Value Reference Tables - MR'!$U$12</definedName>
    <definedName name="wld_az1_rack5_host1_fqdn">'Value Reference Tables - MR'!$U$237</definedName>
    <definedName name="wld_az1_rack5_host1_hostname">'Value Reference Tables - MR'!$U$218</definedName>
    <definedName name="wld_az1_rack5_host1_mgmt_ip">'Value Reference Tables - MR'!$U$199</definedName>
    <definedName name="wld_az1_rack5_host10_fqdn">'Value Reference Tables - MR'!$U$246</definedName>
    <definedName name="wld_az1_rack5_host10_hostname">'Value Reference Tables - MR'!$U$227</definedName>
    <definedName name="wld_az1_rack5_host10_mgmt_ip">'Value Reference Tables - MR'!$U$208</definedName>
    <definedName name="wld_az1_rack5_host11_fqdn">'Value Reference Tables - MR'!$U$247</definedName>
    <definedName name="wld_az1_rack5_host11_hostname">'Value Reference Tables - MR'!$U$228</definedName>
    <definedName name="wld_az1_rack5_host11_mgmt_ip">'Value Reference Tables - MR'!$U$209</definedName>
    <definedName name="wld_az1_rack5_host12_fqdn">'Value Reference Tables - MR'!$U$248</definedName>
    <definedName name="wld_az1_rack5_host12_hostname">'Value Reference Tables - MR'!$U$229</definedName>
    <definedName name="wld_az1_rack5_host12_mgmt_ip">'Value Reference Tables - MR'!$U$210</definedName>
    <definedName name="wld_az1_rack5_host13_fqdn">'Value Reference Tables - MR'!$U$249</definedName>
    <definedName name="wld_az1_rack5_host13_hostname">'Value Reference Tables - MR'!$U$230</definedName>
    <definedName name="wld_az1_rack5_host13_mgmt_ip">'Value Reference Tables - MR'!$U$211</definedName>
    <definedName name="wld_az1_rack5_host14_fqdn">'Value Reference Tables - MR'!$U$250</definedName>
    <definedName name="wld_az1_rack5_host14_hostname">'Value Reference Tables - MR'!$U$231</definedName>
    <definedName name="wld_az1_rack5_host14_mgmt_ip">'Value Reference Tables - MR'!$U$212</definedName>
    <definedName name="wld_az1_rack5_host15_fqdn">'Value Reference Tables - MR'!$U$251</definedName>
    <definedName name="wld_az1_rack5_host15_hostname">'Value Reference Tables - MR'!$U$232</definedName>
    <definedName name="wld_az1_rack5_host15_mgmt_ip">'Value Reference Tables - MR'!$U$213</definedName>
    <definedName name="wld_az1_rack5_host16_fqdn">'Value Reference Tables - MR'!$U$252</definedName>
    <definedName name="wld_az1_rack5_host16_hostname">'Value Reference Tables - MR'!$U$233</definedName>
    <definedName name="wld_az1_rack5_host16_mgmt_ip">'Value Reference Tables - MR'!$U$214</definedName>
    <definedName name="wld_az1_rack5_host2_fqdn">'Value Reference Tables - MR'!$U$238</definedName>
    <definedName name="wld_az1_rack5_host2_hostname">'Value Reference Tables - MR'!$U$219</definedName>
    <definedName name="wld_az1_rack5_host2_mgmt_ip">'Value Reference Tables - MR'!$U$200</definedName>
    <definedName name="wld_az1_rack5_host3_fqdn">'Value Reference Tables - MR'!$U$239</definedName>
    <definedName name="wld_az1_rack5_host3_hostname">'Value Reference Tables - MR'!$U$220</definedName>
    <definedName name="wld_az1_rack5_host3_mgmt_ip">'Value Reference Tables - MR'!$U$201</definedName>
    <definedName name="wld_az1_rack5_host4_fqdn">'Value Reference Tables - MR'!$U$240</definedName>
    <definedName name="wld_az1_rack5_host4_hostname">'Value Reference Tables - MR'!$U$221</definedName>
    <definedName name="wld_az1_rack5_host4_mgmt_ip">'Value Reference Tables - MR'!$U$202</definedName>
    <definedName name="wld_az1_rack5_host5_fqdn">'Value Reference Tables - MR'!$U$241</definedName>
    <definedName name="wld_az1_rack5_host5_hostname">'Value Reference Tables - MR'!$U$222</definedName>
    <definedName name="wld_az1_rack5_host5_mgmt_ip">'Value Reference Tables - MR'!$U$203</definedName>
    <definedName name="wld_az1_rack5_host6_fqdn">'Value Reference Tables - MR'!$U$242</definedName>
    <definedName name="wld_az1_rack5_host6_hostname">'Value Reference Tables - MR'!$U$223</definedName>
    <definedName name="wld_az1_rack5_host6_mgmt_ip">'Value Reference Tables - MR'!$U$204</definedName>
    <definedName name="wld_az1_rack5_host7_fqdn">'Value Reference Tables - MR'!$U$243</definedName>
    <definedName name="wld_az1_rack5_host7_hostname">'Value Reference Tables - MR'!$U$224</definedName>
    <definedName name="wld_az1_rack5_host7_mgmt_ip">'Value Reference Tables - MR'!$U$205</definedName>
    <definedName name="wld_az1_rack5_host8_fqdn">'Value Reference Tables - MR'!$U$244</definedName>
    <definedName name="wld_az1_rack5_host8_hostname">'Value Reference Tables - MR'!$U$225</definedName>
    <definedName name="wld_az1_rack5_host8_mgmt_ip">'Value Reference Tables - MR'!$U$206</definedName>
    <definedName name="wld_az1_rack5_host9_fqdn">'Value Reference Tables - MR'!$U$245</definedName>
    <definedName name="wld_az1_rack5_host9_hostname">'Value Reference Tables - MR'!$U$226</definedName>
    <definedName name="wld_az1_rack5_host9_mgmt_ip">'Value Reference Tables - MR'!$U$207</definedName>
    <definedName name="wld_az1_rack5_mgmt_cidr">'Value Reference Tables - MR'!$U$24</definedName>
    <definedName name="wld_az1_rack5_mgmt_gateway_ip">'Value Reference Tables - MR'!$U$86</definedName>
    <definedName name="wld_az1_rack5_mgmt_mask">'Value Reference Tables - MR'!$U$195</definedName>
    <definedName name="wld_az1_rack5_mgmt_mtu">'Value Reference Tables - MR'!$U$70</definedName>
    <definedName name="wld_az1_rack5_mgmt_network">'Value Reference Tables - MR'!$U$39</definedName>
    <definedName name="wld_az1_rack5_mgmt_pg">'Value Reference Tables - MR'!$U$126</definedName>
    <definedName name="wld_az1_rack5_mgmt_vlan">'Value Reference Tables - MR'!$U$9</definedName>
    <definedName name="wld_az1_rack5_mgmt_vm_cidr">'Value Reference Tables - MR'!$U$23</definedName>
    <definedName name="wld_az1_rack5_mgmt_vm_gateway_ip">'Value Reference Tables - MR'!$U$85</definedName>
    <definedName name="wld_az1_rack5_mgmt_vm_mask">'Value Reference Tables - MR'!$U$194</definedName>
    <definedName name="wld_az1_rack5_mgmt_vm_mtu">'Value Reference Tables - MR'!$U$69</definedName>
    <definedName name="wld_az1_rack5_mgmt_vm_pg">'Value Reference Tables - MR'!$U$125</definedName>
    <definedName name="wld_az1_rack5_mgmt_vm_vlan">'Value Reference Tables - MR'!$U$8</definedName>
    <definedName name="wld_az1_rack5_pool_name">'Value Reference Tables - MR'!$U$182</definedName>
    <definedName name="wld_az1_rack5_principal_storage_cidr">'Value Reference Tables - MR'!$U$26</definedName>
    <definedName name="wld_az1_rack5_principal_storage_gateway_ip">'Value Reference Tables - MR'!$U$88</definedName>
    <definedName name="wld_az1_rack5_principal_storage_mask">'Value Reference Tables - MR'!$U$56</definedName>
    <definedName name="wld_az1_rack5_principal_storage_mtu">'Value Reference Tables - MR'!$U$72</definedName>
    <definedName name="wld_az1_rack5_principal_storage_network">'Value Reference Tables - MR'!$U$41</definedName>
    <definedName name="wld_az1_rack5_principal_storage_pg">'Value Reference Tables - MR'!$U$128</definedName>
    <definedName name="wld_az1_rack5_principal_storage_pool_end_ip">'Value Reference Tables - MR'!$U$168</definedName>
    <definedName name="wld_az1_rack5_principal_storage_pool_start_ip">'Value Reference Tables - MR'!$U$167</definedName>
    <definedName name="wld_az1_rack5_principal_storage_vlan">'Value Reference Tables - MR'!$U$11</definedName>
    <definedName name="wld_az1_rack5_reuse_vcf_networkpool_chosen">#REF!</definedName>
    <definedName name="wld_az1_rack5_rtep_ip_pool_name">'Value Reference Tables - MR'!$U$189</definedName>
    <definedName name="wld_az1_rack5_rtep_overlay_cidr">'Value Reference Tables - MR'!$U$33</definedName>
    <definedName name="wld_az1_rack5_rtep_overlay_gateway_ip">'Value Reference Tables - MR'!$U$95</definedName>
    <definedName name="wld_az1_rack5_rtep_overlay_mtu">'Value Reference Tables - MR'!$U$79</definedName>
    <definedName name="wld_az1_rack5_rtep_overlay_pool_end_ip">'Value Reference Tables - MR'!$U$178</definedName>
    <definedName name="wld_az1_rack5_rtep_overlay_pool_start_ip">'Value Reference Tables - MR'!$U$177</definedName>
    <definedName name="wld_az1_rack5_rtep_overlay_vlan">'Value Reference Tables - MR'!$U$18</definedName>
    <definedName name="wld_az1_rack5_secondary_storage_cidr">'Value Reference Tables - MR'!$U$28</definedName>
    <definedName name="wld_az1_rack5_secondary_storage_gateway_ip">'Value Reference Tables - MR'!$U$90</definedName>
    <definedName name="wld_az1_rack5_secondary_storage_mask">'Value Reference Tables - MR'!$U$58</definedName>
    <definedName name="wld_az1_rack5_secondary_storage_mtu">'Value Reference Tables - MR'!$U$74</definedName>
    <definedName name="wld_az1_rack5_secondary_storage_network">'Value Reference Tables - MR'!$U$44</definedName>
    <definedName name="wld_az1_rack5_secondary_storage_pool_end_ip">'Value Reference Tables - MR'!$U$172</definedName>
    <definedName name="wld_az1_rack5_secondary_storage_pool_start_ip">'Value Reference Tables - MR'!$U$171</definedName>
    <definedName name="wld_az1_rack5_secondary_storage_vlan">'Value Reference Tables - MR'!$U$13</definedName>
    <definedName name="wld_az1_rack5_tor1_peer_asn">'Value Reference Tables - MR'!$U$117</definedName>
    <definedName name="wld_az1_rack5_tor1_peer_bgp_password">'Value Reference Tables - MR'!$U$118</definedName>
    <definedName name="wld_az1_rack5_tor1_peer_ip">'Value Reference Tables - MR'!$U$116</definedName>
    <definedName name="wld_az1_rack5_tor2_peer_asn">'Value Reference Tables - MR'!$U$120</definedName>
    <definedName name="wld_az1_rack5_tor2_peer_bgp_password">'Value Reference Tables - MR'!$U$121</definedName>
    <definedName name="wld_az1_rack5_tor2_peer_ip">'Value Reference Tables - MR'!$U$119</definedName>
    <definedName name="wld_az1_rack5_uplink01_cidr">'Value Reference Tables - MR'!$U$30</definedName>
    <definedName name="wld_az1_rack5_uplink01_gateway_ip">'Value Reference Tables - MR'!$U$92</definedName>
    <definedName name="wld_az1_rack5_uplink01_mask">'Value Reference Tables - MR'!$U$60</definedName>
    <definedName name="wld_az1_rack5_uplink01_mtu">'Value Reference Tables - MR'!$U$76</definedName>
    <definedName name="wld_az1_rack5_uplink01_network">'Value Reference Tables - MR'!$U$45</definedName>
    <definedName name="wld_az1_rack5_uplink01_pg">'Value Reference Tables - MR'!$U$129</definedName>
    <definedName name="wld_az1_rack5_uplink01_vlan">'Value Reference Tables - MR'!$U$15</definedName>
    <definedName name="wld_az1_rack5_uplink02_cidr">'Value Reference Tables - MR'!$U$31</definedName>
    <definedName name="wld_az1_rack5_uplink02_gateway_ip">'Value Reference Tables - MR'!$U$93</definedName>
    <definedName name="wld_az1_rack5_uplink02_mask">'Value Reference Tables - MR'!$U$61</definedName>
    <definedName name="wld_az1_rack5_uplink02_mtu">'Value Reference Tables - MR'!$U$77</definedName>
    <definedName name="wld_az1_rack5_uplink02_network">'Value Reference Tables - MR'!$U$46</definedName>
    <definedName name="wld_az1_rack5_uplink02_pg">'Value Reference Tables - MR'!$U$130</definedName>
    <definedName name="wld_az1_rack5_uplink02_vlan">'Value Reference Tables - MR'!$U$16</definedName>
    <definedName name="wld_az1_rack5_vmotion_cidr">'Value Reference Tables - MR'!$U$25</definedName>
    <definedName name="wld_az1_rack5_vmotion_gateway_ip">'Value Reference Tables - MR'!$U$87</definedName>
    <definedName name="wld_az1_rack5_vmotion_mask">'Value Reference Tables - MR'!$U$55</definedName>
    <definedName name="wld_az1_rack5_vmotion_mtu">'Value Reference Tables - MR'!$U$71</definedName>
    <definedName name="wld_az1_rack5_vmotion_network">'Value Reference Tables - MR'!$U$40</definedName>
    <definedName name="wld_az1_rack5_vmotion_pg">'Value Reference Tables - MR'!$U$127</definedName>
    <definedName name="wld_az1_rack5_vmotion_pool_end_ip">'Value Reference Tables - MR'!$U$166</definedName>
    <definedName name="wld_az1_rack5_vmotion_pool_start_ip">'Value Reference Tables - MR'!$U$165</definedName>
    <definedName name="wld_az1_rack5_vmotion_vlan">'Value Reference Tables - MR'!$U$10</definedName>
    <definedName name="wld_az1_rack5_vrms_cidr">'Value Reference Tables - MR'!$U$34</definedName>
    <definedName name="wld_az1_rack5_vrms_gateway_ip">'Value Reference Tables - MR'!$U$96</definedName>
    <definedName name="wld_az1_rack5_vrms_mtu">'Value Reference Tables - MR'!$U$80</definedName>
    <definedName name="wld_az1_rack5_vrms_vlan">'Value Reference Tables - MR'!$U$19</definedName>
    <definedName name="wld_az1_rack5_vsan_fault_domain">'Value Reference Tables - MR'!$U$190</definedName>
    <definedName name="wld_az1_rack6_edge_overlay_cidr">'Value Reference Tables - MR'!$X$32</definedName>
    <definedName name="wld_az1_rack6_edge_overlay_gateway_ip">'Value Reference Tables - MR'!$X$94</definedName>
    <definedName name="wld_az1_rack6_edge_overlay_mask">'Value Reference Tables - MR'!$X$62</definedName>
    <definedName name="wld_az1_rack6_edge_overlay_mtu">'Value Reference Tables - MR'!$X$78</definedName>
    <definedName name="wld_az1_rack6_edge_overlay_network">'Value Reference Tables - MR'!$X$47</definedName>
    <definedName name="wld_az1_rack6_edge_overlay_network_pool_name">'Value Reference Tables - MR'!$X$188</definedName>
    <definedName name="wld_az1_rack6_edge_overlay_pool_end_ip">'Value Reference Tables - MR'!$X$176</definedName>
    <definedName name="wld_az1_rack6_edge_overlay_pool_start_ip">'Value Reference Tables - MR'!$X$175</definedName>
    <definedName name="wld_az1_rack6_edge_overlay_vlan">'Value Reference Tables - MR'!$X$17</definedName>
    <definedName name="wld_az1_rack6_en1_edge_overlay_interface_ip_1_ip">'Value Reference Tables - MR'!$X$260</definedName>
    <definedName name="wld_az1_rack6_en1_edge_overlay_interface_ip_2_ip">'Value Reference Tables - MR'!$X$261</definedName>
    <definedName name="wld_az1_rack6_en1_fqdn">'Value Reference Tables - MR'!$X$256</definedName>
    <definedName name="wld_az1_rack6_en1_hostname">'Value Reference Tables - MR'!$X$255</definedName>
    <definedName name="wld_az1_rack6_en1_mgmt_ip">'Value Reference Tables - MR'!$X$257</definedName>
    <definedName name="wld_az1_rack6_en1_uplink01_interface_ip">'Value Reference Tables - MR'!$X$258</definedName>
    <definedName name="wld_az1_rack6_en1_uplink02_interface_ip">'Value Reference Tables - MR'!$X$259</definedName>
    <definedName name="wld_az1_rack6_en2_fqdn">'Value Reference Tables - MR'!$X$266</definedName>
    <definedName name="wld_az1_rack6_en2_hostname">'Value Reference Tables - MR'!$X$265</definedName>
    <definedName name="wld_az1_rack6_en2_mgmt_ip">'Value Reference Tables - MR'!$X$267</definedName>
    <definedName name="wld_az1_rack6_en2_uplink01_interface_ip">'Value Reference Tables - MR'!$X$268</definedName>
    <definedName name="wld_az1_rack6_en2_uplink02_interface_ip">'Value Reference Tables - MR'!$X$269</definedName>
    <definedName name="wld_az1_rack6_host_fqdns">'Value Reference Tables - MR'!$X$237:$X$252</definedName>
    <definedName name="wld_az1_rack6_host_hostnames">'Value Reference Tables - MR'!$X$218:$X$233</definedName>
    <definedName name="wld_az1_rack6_host_mgmt_ips">'Value Reference Tables - MR'!$X$199:$X$214</definedName>
    <definedName name="wld_az1_rack6_host_overlay_cidr">'Value Reference Tables - MR'!$X$27</definedName>
    <definedName name="wld_az1_rack6_host_overlay_gateway_ip">'Value Reference Tables - MR'!$X$89</definedName>
    <definedName name="wld_az1_rack6_host_overlay_mask">'Value Reference Tables - MR'!$X$57</definedName>
    <definedName name="wld_az1_rack6_host_overlay_mtu">'Value Reference Tables - MR'!$X$73</definedName>
    <definedName name="wld_az1_rack6_host_overlay_network">'Value Reference Tables - MR'!$X$42</definedName>
    <definedName name="wld_az1_rack6_host_overlay_network_pool_name">'Value Reference Tables - MR'!$X$185</definedName>
    <definedName name="wld_az1_rack6_host_overlay_network_profile_name">'Value Reference Tables - MR'!$X$183</definedName>
    <definedName name="wld_az1_rack6_host_overlay_new_pool_chosen">#REF!</definedName>
    <definedName name="wld_az1_rack6_host_overlay_pool_end_ip">'Value Reference Tables - MR'!$X$170</definedName>
    <definedName name="wld_az1_rack6_host_overlay_pool_start_ip">'Value Reference Tables - MR'!$X$169</definedName>
    <definedName name="wld_az1_rack6_host_overlay_uplink_profile_name">'Value Reference Tables - MR'!$X$187</definedName>
    <definedName name="wld_az1_rack6_host_overlay_vlan">'Value Reference Tables - MR'!$X$12</definedName>
    <definedName name="wld_az1_rack6_host1_fqdn">'Value Reference Tables - MR'!$X$237</definedName>
    <definedName name="wld_az1_rack6_host1_hostname">'Value Reference Tables - MR'!$X$218</definedName>
    <definedName name="wld_az1_rack6_host1_mgmt_ip">'Value Reference Tables - MR'!$X$199</definedName>
    <definedName name="wld_az1_rack6_host10_fqdn">'Value Reference Tables - MR'!$X$246</definedName>
    <definedName name="wld_az1_rack6_host10_hostname">'Value Reference Tables - MR'!$X$227</definedName>
    <definedName name="wld_az1_rack6_host10_mgmt_ip">'Value Reference Tables - MR'!$X$208</definedName>
    <definedName name="wld_az1_rack6_host11_fqdn">'Value Reference Tables - MR'!$X$247</definedName>
    <definedName name="wld_az1_rack6_host11_hostname">'Value Reference Tables - MR'!$X$228</definedName>
    <definedName name="wld_az1_rack6_host11_mgmt_ip">'Value Reference Tables - MR'!$X$209</definedName>
    <definedName name="wld_az1_rack6_host12_fqdn">'Value Reference Tables - MR'!$X$248</definedName>
    <definedName name="wld_az1_rack6_host12_hostname">'Value Reference Tables - MR'!$X$229</definedName>
    <definedName name="wld_az1_rack6_host12_mgmt_ip">'Value Reference Tables - MR'!$X$210</definedName>
    <definedName name="wld_az1_rack6_host13_fqdn">'Value Reference Tables - MR'!$X$249</definedName>
    <definedName name="wld_az1_rack6_host13_hostname">'Value Reference Tables - MR'!$X$230</definedName>
    <definedName name="wld_az1_rack6_host13_mgmt_ip">'Value Reference Tables - MR'!$X$211</definedName>
    <definedName name="wld_az1_rack6_host14_fqdn">'Value Reference Tables - MR'!$X$250</definedName>
    <definedName name="wld_az1_rack6_host14_hostname">'Value Reference Tables - MR'!$X$231</definedName>
    <definedName name="wld_az1_rack6_host14_mgmt_ip">'Value Reference Tables - MR'!$X$212</definedName>
    <definedName name="wld_az1_rack6_host15_fqdn">'Value Reference Tables - MR'!$X$251</definedName>
    <definedName name="wld_az1_rack6_host15_hostname">'Value Reference Tables - MR'!$X$232</definedName>
    <definedName name="wld_az1_rack6_host15_mgmt_ip">'Value Reference Tables - MR'!$X$213</definedName>
    <definedName name="wld_az1_rack6_host16_fqdn">'Value Reference Tables - MR'!$X$252</definedName>
    <definedName name="wld_az1_rack6_host16_hostname">'Value Reference Tables - MR'!$X$233</definedName>
    <definedName name="wld_az1_rack6_host16_mgmt_ip">'Value Reference Tables - MR'!$X$214</definedName>
    <definedName name="wld_az1_rack6_host2_fqdn">'Value Reference Tables - MR'!$X$238</definedName>
    <definedName name="wld_az1_rack6_host2_hostname">'Value Reference Tables - MR'!$X$219</definedName>
    <definedName name="wld_az1_rack6_host2_mgmt_ip">'Value Reference Tables - MR'!$X$200</definedName>
    <definedName name="wld_az1_rack6_host3_fqdn">'Value Reference Tables - MR'!$X$239</definedName>
    <definedName name="wld_az1_rack6_host3_hostname">'Value Reference Tables - MR'!$X$220</definedName>
    <definedName name="wld_az1_rack6_host3_mgmt_ip">'Value Reference Tables - MR'!$X$201</definedName>
    <definedName name="wld_az1_rack6_host4_fqdn">'Value Reference Tables - MR'!$X$240</definedName>
    <definedName name="wld_az1_rack6_host4_hostname">'Value Reference Tables - MR'!$X$221</definedName>
    <definedName name="wld_az1_rack6_host4_mgmt_ip">'Value Reference Tables - MR'!$X$202</definedName>
    <definedName name="wld_az1_rack6_host5_fqdn">'Value Reference Tables - MR'!$X$241</definedName>
    <definedName name="wld_az1_rack6_host5_hostname">'Value Reference Tables - MR'!$X$222</definedName>
    <definedName name="wld_az1_rack6_host5_mgmt_ip">'Value Reference Tables - MR'!$X$203</definedName>
    <definedName name="wld_az1_rack6_host6_fqdn">'Value Reference Tables - MR'!$X$242</definedName>
    <definedName name="wld_az1_rack6_host6_hostname">'Value Reference Tables - MR'!$X$223</definedName>
    <definedName name="wld_az1_rack6_host6_mgmt_ip">'Value Reference Tables - MR'!$X$204</definedName>
    <definedName name="wld_az1_rack6_host7_fqdn">'Value Reference Tables - MR'!$X$243</definedName>
    <definedName name="wld_az1_rack6_host7_hostname">'Value Reference Tables - MR'!$X$224</definedName>
    <definedName name="wld_az1_rack6_host7_mgmt_ip">'Value Reference Tables - MR'!$X$205</definedName>
    <definedName name="wld_az1_rack6_host8_fqdn">'Value Reference Tables - MR'!$X$244</definedName>
    <definedName name="wld_az1_rack6_host8_hostname">'Value Reference Tables - MR'!$X$225</definedName>
    <definedName name="wld_az1_rack6_host8_mgmt_ip">'Value Reference Tables - MR'!$X$206</definedName>
    <definedName name="wld_az1_rack6_host9_fqdn">'Value Reference Tables - MR'!$X$245</definedName>
    <definedName name="wld_az1_rack6_host9_hostname">'Value Reference Tables - MR'!$X$226</definedName>
    <definedName name="wld_az1_rack6_host9_mgmt_ip">'Value Reference Tables - MR'!$X$207</definedName>
    <definedName name="wld_az1_rack6_mgmt_cidr">'Value Reference Tables - MR'!$X$24</definedName>
    <definedName name="wld_az1_rack6_mgmt_gateway_ip">'Value Reference Tables - MR'!$X$86</definedName>
    <definedName name="wld_az1_rack6_mgmt_mask">'Value Reference Tables - MR'!$X$195</definedName>
    <definedName name="wld_az1_rack6_mgmt_mtu">'Value Reference Tables - MR'!$X$70</definedName>
    <definedName name="wld_az1_rack6_mgmt_network">'Value Reference Tables - MR'!$X$39</definedName>
    <definedName name="wld_az1_rack6_mgmt_pg">'Value Reference Tables - MR'!$X$126</definedName>
    <definedName name="wld_az1_rack6_mgmt_vlan">'Value Reference Tables - MR'!$X$9</definedName>
    <definedName name="wld_az1_rack6_mgmt_vm_cidr">'Value Reference Tables - MR'!$X$23</definedName>
    <definedName name="wld_az1_rack6_mgmt_vm_gateway_ip">'Value Reference Tables - MR'!$X$85</definedName>
    <definedName name="wld_az1_rack6_mgmt_vm_mask">'Value Reference Tables - MR'!$X$194</definedName>
    <definedName name="wld_az1_rack6_mgmt_vm_mtu">'Value Reference Tables - MR'!$X$69</definedName>
    <definedName name="wld_az1_rack6_mgmt_vm_pg">'Value Reference Tables - MR'!$X$125</definedName>
    <definedName name="wld_az1_rack6_mgmt_vm_vlan">'Value Reference Tables - MR'!$X$8</definedName>
    <definedName name="wld_az1_rack6_pool_name">'Value Reference Tables - MR'!$X$182</definedName>
    <definedName name="wld_az1_rack6_principal_storage_cidr">'Value Reference Tables - MR'!$X$26</definedName>
    <definedName name="wld_az1_rack6_principal_storage_gateway_ip">'Value Reference Tables - MR'!$X$88</definedName>
    <definedName name="wld_az1_rack6_principal_storage_mask">'Value Reference Tables - MR'!$X$56</definedName>
    <definedName name="wld_az1_rack6_principal_storage_mtu">'Value Reference Tables - MR'!$X$72</definedName>
    <definedName name="wld_az1_rack6_principal_storage_network">'Value Reference Tables - MR'!$X$41</definedName>
    <definedName name="wld_az1_rack6_principal_storage_pg">'Value Reference Tables - MR'!$X$128</definedName>
    <definedName name="wld_az1_rack6_principal_storage_pool_end_ip">'Value Reference Tables - MR'!$X$168</definedName>
    <definedName name="wld_az1_rack6_principal_storage_pool_start_ip">'Value Reference Tables - MR'!$X$167</definedName>
    <definedName name="wld_az1_rack6_principal_storage_vlan">'Value Reference Tables - MR'!$X$11</definedName>
    <definedName name="wld_az1_rack6_reuse_vcf_networkpool_chosen">#REF!</definedName>
    <definedName name="wld_az1_rack6_rtep_ip_pool_name">'Value Reference Tables - MR'!$X$189</definedName>
    <definedName name="wld_az1_rack6_rtep_overlay_cidr">'Value Reference Tables - MR'!$X$33</definedName>
    <definedName name="wld_az1_rack6_rtep_overlay_gateway_ip">'Value Reference Tables - MR'!$X$95</definedName>
    <definedName name="wld_az1_rack6_rtep_overlay_mtu">'Value Reference Tables - MR'!$X$79</definedName>
    <definedName name="wld_az1_rack6_rtep_overlay_pool_end_ip">'Value Reference Tables - MR'!$X$178</definedName>
    <definedName name="wld_az1_rack6_rtep_overlay_pool_start_ip">'Value Reference Tables - MR'!$X$177</definedName>
    <definedName name="wld_az1_rack6_rtep_overlay_vlan">'Value Reference Tables - MR'!$X$18</definedName>
    <definedName name="wld_az1_rack6_secondary_storage_cidr">'Value Reference Tables - MR'!$X$28</definedName>
    <definedName name="wld_az1_rack6_secondary_storage_gateway_ip">'Value Reference Tables - MR'!$X$90</definedName>
    <definedName name="wld_az1_rack6_secondary_storage_mask">'Value Reference Tables - MR'!$X$58</definedName>
    <definedName name="wld_az1_rack6_secondary_storage_mtu">'Value Reference Tables - MR'!$X$74</definedName>
    <definedName name="wld_az1_rack6_secondary_storage_network">'Value Reference Tables - MR'!$X$44</definedName>
    <definedName name="wld_az1_rack6_secondary_storage_pool_end_ip">'Value Reference Tables - MR'!$X$172</definedName>
    <definedName name="wld_az1_rack6_secondary_storage_pool_start_ip">'Value Reference Tables - MR'!$X$171</definedName>
    <definedName name="wld_az1_rack6_secondary_storage_vlan">'Value Reference Tables - MR'!$X$13</definedName>
    <definedName name="wld_az1_rack6_tor1_peer_asn">'Value Reference Tables - MR'!$X$117</definedName>
    <definedName name="wld_az1_rack6_tor1_peer_bgp_password">'Value Reference Tables - MR'!$X$118</definedName>
    <definedName name="wld_az1_rack6_tor1_peer_ip">'Value Reference Tables - MR'!$X$116</definedName>
    <definedName name="wld_az1_rack6_tor2_peer_asn">'Value Reference Tables - MR'!$X$120</definedName>
    <definedName name="wld_az1_rack6_tor2_peer_bgp_password">'Value Reference Tables - MR'!$X$121</definedName>
    <definedName name="wld_az1_rack6_tor2_peer_ip">'Value Reference Tables - MR'!$X$119</definedName>
    <definedName name="wld_az1_rack6_uplink01_cidr">'Value Reference Tables - MR'!$X$30</definedName>
    <definedName name="wld_az1_rack6_uplink01_gateway_ip">'Value Reference Tables - MR'!$X$92</definedName>
    <definedName name="wld_az1_rack6_uplink01_mask">'Value Reference Tables - MR'!$X$60</definedName>
    <definedName name="wld_az1_rack6_uplink01_mtu">'Value Reference Tables - MR'!$X$76</definedName>
    <definedName name="wld_az1_rack6_uplink01_network">'Value Reference Tables - MR'!$X$45</definedName>
    <definedName name="wld_az1_rack6_uplink01_pg">'Value Reference Tables - MR'!$X$129</definedName>
    <definedName name="wld_az1_rack6_uplink01_vlan">'Value Reference Tables - MR'!$X$15</definedName>
    <definedName name="wld_az1_rack6_uplink02_cidr">'Value Reference Tables - MR'!$X$31</definedName>
    <definedName name="wld_az1_rack6_uplink02_gateway_ip">'Value Reference Tables - MR'!$X$93</definedName>
    <definedName name="wld_az1_rack6_uplink02_mask">'Value Reference Tables - MR'!$X$61</definedName>
    <definedName name="wld_az1_rack6_uplink02_mtu">'Value Reference Tables - MR'!$X$77</definedName>
    <definedName name="wld_az1_rack6_uplink02_network">'Value Reference Tables - MR'!$X$46</definedName>
    <definedName name="wld_az1_rack6_uplink02_pg">'Value Reference Tables - MR'!$X$130</definedName>
    <definedName name="wld_az1_rack6_uplink02_vlan">'Value Reference Tables - MR'!$X$16</definedName>
    <definedName name="wld_az1_rack6_vmotion_cidr">'Value Reference Tables - MR'!$X$25</definedName>
    <definedName name="wld_az1_rack6_vmotion_gateway_ip">'Value Reference Tables - MR'!$X$87</definedName>
    <definedName name="wld_az1_rack6_vmotion_mask">'Value Reference Tables - MR'!$X$55</definedName>
    <definedName name="wld_az1_rack6_vmotion_mtu">'Value Reference Tables - MR'!$X$71</definedName>
    <definedName name="wld_az1_rack6_vmotion_network">'Value Reference Tables - MR'!$X$40</definedName>
    <definedName name="wld_az1_rack6_vmotion_pg">'Value Reference Tables - MR'!$X$127</definedName>
    <definedName name="wld_az1_rack6_vmotion_pool_end_ip">'Value Reference Tables - MR'!$X$166</definedName>
    <definedName name="wld_az1_rack6_vmotion_pool_start_ip">'Value Reference Tables - MR'!$X$165</definedName>
    <definedName name="wld_az1_rack6_vmotion_vlan">'Value Reference Tables - MR'!$X$10</definedName>
    <definedName name="wld_az1_rack6_vrms_cidr">'Value Reference Tables - MR'!$X$34</definedName>
    <definedName name="wld_az1_rack6_vrms_gateway_ip">'Value Reference Tables - MR'!$X$96</definedName>
    <definedName name="wld_az1_rack6_vrms_mtu">'Value Reference Tables - MR'!$X$80</definedName>
    <definedName name="wld_az1_rack6_vrms_vlan">'Value Reference Tables - MR'!$X$19</definedName>
    <definedName name="wld_az1_rack6_vsan_fault_domain">'Value Reference Tables - MR'!$X$190</definedName>
    <definedName name="wld_az1_rack7_edge_overlay_cidr">'Value Reference Tables - MR'!$AA$32</definedName>
    <definedName name="wld_az1_rack7_edge_overlay_gateway_ip">'Value Reference Tables - MR'!$AA$94</definedName>
    <definedName name="wld_az1_rack7_edge_overlay_mask">'Value Reference Tables - MR'!$AA$62</definedName>
    <definedName name="wld_az1_rack7_edge_overlay_mtu">'Value Reference Tables - MR'!$AA$78</definedName>
    <definedName name="wld_az1_rack7_edge_overlay_network">'Value Reference Tables - MR'!$AA$47</definedName>
    <definedName name="wld_az1_rack7_edge_overlay_network_pool_name">'Value Reference Tables - MR'!$AA$188</definedName>
    <definedName name="wld_az1_rack7_edge_overlay_pool_end_ip">'Value Reference Tables - MR'!$AA$176</definedName>
    <definedName name="wld_az1_rack7_edge_overlay_pool_start_ip">'Value Reference Tables - MR'!$AA$175</definedName>
    <definedName name="wld_az1_rack7_edge_overlay_vlan">'Value Reference Tables - MR'!$AA$17</definedName>
    <definedName name="wld_az1_rack7_en1_edge_overlay_interface_ip_1_ip">'Value Reference Tables - MR'!$AA$260</definedName>
    <definedName name="wld_az1_rack7_en1_edge_overlay_interface_ip_2_ip">'Value Reference Tables - MR'!$AA$261</definedName>
    <definedName name="wld_az1_rack7_en1_fqdn">'Value Reference Tables - MR'!$AA$256</definedName>
    <definedName name="wld_az1_rack7_en1_hostname">'Value Reference Tables - MR'!$AA$255</definedName>
    <definedName name="wld_az1_rack7_en1_mgmt_ip">'Value Reference Tables - MR'!$AA$257</definedName>
    <definedName name="wld_az1_rack7_en1_uplink01_interface_ip">'Value Reference Tables - MR'!$AA$258</definedName>
    <definedName name="wld_az1_rack7_en1_uplink02_interface_ip">'Value Reference Tables - MR'!$AA$259</definedName>
    <definedName name="wld_az1_rack7_en2_fqdn">'Value Reference Tables - MR'!$AA$266</definedName>
    <definedName name="wld_az1_rack7_en2_hostname">'Value Reference Tables - MR'!$AA$265</definedName>
    <definedName name="wld_az1_rack7_en2_mgmt_ip">'Value Reference Tables - MR'!$AA$267</definedName>
    <definedName name="wld_az1_rack7_en2_uplink01_interface_ip">'Value Reference Tables - MR'!$AA$268</definedName>
    <definedName name="wld_az1_rack7_en2_uplink02_interface_ip">'Value Reference Tables - MR'!$AA$269</definedName>
    <definedName name="wld_az1_rack7_host_fqdns">'Value Reference Tables - MR'!$AA$237:$AA$252</definedName>
    <definedName name="wld_az1_rack7_host_hostnames">'Value Reference Tables - MR'!$AA$218:$AA$233</definedName>
    <definedName name="wld_az1_rack7_host_mgmt_ips">'Value Reference Tables - MR'!$AA$199:$AA$214</definedName>
    <definedName name="wld_az1_rack7_host_overlay_cidr">'Value Reference Tables - MR'!$AA$27</definedName>
    <definedName name="wld_az1_rack7_host_overlay_gateway_ip">'Value Reference Tables - MR'!$AA$89</definedName>
    <definedName name="wld_az1_rack7_host_overlay_mask">'Value Reference Tables - MR'!$AA$57</definedName>
    <definedName name="wld_az1_rack7_host_overlay_mtu">'Value Reference Tables - MR'!$AA$73</definedName>
    <definedName name="wld_az1_rack7_host_overlay_network">'Value Reference Tables - MR'!$AA$42</definedName>
    <definedName name="wld_az1_rack7_host_overlay_network_pool_name">'Value Reference Tables - MR'!$AA$185</definedName>
    <definedName name="wld_az1_rack7_host_overlay_network_profile_name">'Value Reference Tables - MR'!$AA$183</definedName>
    <definedName name="wld_az1_rack7_host_overlay_new_pool_chosen">#REF!</definedName>
    <definedName name="wld_az1_rack7_host_overlay_pool_end_ip">'Value Reference Tables - MR'!$AA$170</definedName>
    <definedName name="wld_az1_rack7_host_overlay_pool_start_ip">'Value Reference Tables - MR'!$AA$169</definedName>
    <definedName name="wld_az1_rack7_host_overlay_uplink_profile_name">'Value Reference Tables - MR'!$AA$187</definedName>
    <definedName name="wld_az1_rack7_host_overlay_vlan">'Value Reference Tables - MR'!$AA$12</definedName>
    <definedName name="wld_az1_rack7_host1_fqdn">'Value Reference Tables - MR'!$AA$237</definedName>
    <definedName name="wld_az1_rack7_host1_hostname">'Value Reference Tables - MR'!$AA$218</definedName>
    <definedName name="wld_az1_rack7_host1_mgmt_ip">'Value Reference Tables - MR'!$AA$199</definedName>
    <definedName name="wld_az1_rack7_host10_fqdn">'Value Reference Tables - MR'!$AA$246</definedName>
    <definedName name="wld_az1_rack7_host10_hostname">'Value Reference Tables - MR'!$AA$227</definedName>
    <definedName name="wld_az1_rack7_host10_mgmt_ip">'Value Reference Tables - MR'!$AA$208</definedName>
    <definedName name="wld_az1_rack7_host11_fqdn">'Value Reference Tables - MR'!$AA$247</definedName>
    <definedName name="wld_az1_rack7_host11_hostname">'Value Reference Tables - MR'!$AA$228</definedName>
    <definedName name="wld_az1_rack7_host11_mgmt_ip">'Value Reference Tables - MR'!$AA$209</definedName>
    <definedName name="wld_az1_rack7_host12_fqdn">'Value Reference Tables - MR'!$AA$248</definedName>
    <definedName name="wld_az1_rack7_host12_hostname">'Value Reference Tables - MR'!$AA$229</definedName>
    <definedName name="wld_az1_rack7_host12_mgmt_ip">'Value Reference Tables - MR'!$AA$210</definedName>
    <definedName name="wld_az1_rack7_host13_fqdn">'Value Reference Tables - MR'!$AA$249</definedName>
    <definedName name="wld_az1_rack7_host13_hostname">'Value Reference Tables - MR'!$AA$230</definedName>
    <definedName name="wld_az1_rack7_host13_mgmt_ip">'Value Reference Tables - MR'!$AA$211</definedName>
    <definedName name="wld_az1_rack7_host14_fqdn">'Value Reference Tables - MR'!$AA$250</definedName>
    <definedName name="wld_az1_rack7_host14_hostname">'Value Reference Tables - MR'!$AA$231</definedName>
    <definedName name="wld_az1_rack7_host14_mgmt_ip">'Value Reference Tables - MR'!$AA$212</definedName>
    <definedName name="wld_az1_rack7_host15_fqdn">'Value Reference Tables - MR'!$AA$251</definedName>
    <definedName name="wld_az1_rack7_host15_hostname">'Value Reference Tables - MR'!$AA$232</definedName>
    <definedName name="wld_az1_rack7_host15_mgmt_ip">'Value Reference Tables - MR'!$AA$213</definedName>
    <definedName name="wld_az1_rack7_host16_fqdn">'Value Reference Tables - MR'!$AA$252</definedName>
    <definedName name="wld_az1_rack7_host16_hostname">'Value Reference Tables - MR'!$AA$233</definedName>
    <definedName name="wld_az1_rack7_host16_mgmt_ip">'Value Reference Tables - MR'!$AA$214</definedName>
    <definedName name="wld_az1_rack7_host2_fqdn">'Value Reference Tables - MR'!$AA$238</definedName>
    <definedName name="wld_az1_rack7_host2_hostname">'Value Reference Tables - MR'!$AA$219</definedName>
    <definedName name="wld_az1_rack7_host2_mgmt_ip">'Value Reference Tables - MR'!$AA$200</definedName>
    <definedName name="wld_az1_rack7_host3_fqdn">'Value Reference Tables - MR'!$AA$239</definedName>
    <definedName name="wld_az1_rack7_host3_hostname">'Value Reference Tables - MR'!$AA$220</definedName>
    <definedName name="wld_az1_rack7_host3_mgmt_ip">'Value Reference Tables - MR'!$AA$201</definedName>
    <definedName name="wld_az1_rack7_host4_fqdn">'Value Reference Tables - MR'!$AA$240</definedName>
    <definedName name="wld_az1_rack7_host4_hostname">'Value Reference Tables - MR'!$AA$221</definedName>
    <definedName name="wld_az1_rack7_host4_mgmt_ip">'Value Reference Tables - MR'!$AA$202</definedName>
    <definedName name="wld_az1_rack7_host5_fqdn">'Value Reference Tables - MR'!$AA$241</definedName>
    <definedName name="wld_az1_rack7_host5_hostname">'Value Reference Tables - MR'!$AA$222</definedName>
    <definedName name="wld_az1_rack7_host5_mgmt_ip">'Value Reference Tables - MR'!$AA$203</definedName>
    <definedName name="wld_az1_rack7_host6_fqdn">'Value Reference Tables - MR'!$AA$242</definedName>
    <definedName name="wld_az1_rack7_host6_hostname">'Value Reference Tables - MR'!$AA$223</definedName>
    <definedName name="wld_az1_rack7_host6_mgmt_ip">'Value Reference Tables - MR'!$AA$204</definedName>
    <definedName name="wld_az1_rack7_host7_fqdn">'Value Reference Tables - MR'!$AA$243</definedName>
    <definedName name="wld_az1_rack7_host7_hostname">'Value Reference Tables - MR'!$AA$224</definedName>
    <definedName name="wld_az1_rack7_host7_mgmt_ip">'Value Reference Tables - MR'!$AA$205</definedName>
    <definedName name="wld_az1_rack7_host8_fqdn">'Value Reference Tables - MR'!$AA$244</definedName>
    <definedName name="wld_az1_rack7_host8_hostname">'Value Reference Tables - MR'!$AA$225</definedName>
    <definedName name="wld_az1_rack7_host8_mgmt_ip">'Value Reference Tables - MR'!$AA$206</definedName>
    <definedName name="wld_az1_rack7_host9_fqdn">'Value Reference Tables - MR'!$AA$245</definedName>
    <definedName name="wld_az1_rack7_host9_hostname">'Value Reference Tables - MR'!$AA$226</definedName>
    <definedName name="wld_az1_rack7_host9_mgmt_ip">'Value Reference Tables - MR'!$AA$207</definedName>
    <definedName name="wld_az1_rack7_mgmt_cidr">'Value Reference Tables - MR'!$AA$24</definedName>
    <definedName name="wld_az1_rack7_mgmt_gateway_ip">'Value Reference Tables - MR'!$AA$86</definedName>
    <definedName name="wld_az1_rack7_mgmt_mask">'Value Reference Tables - MR'!$AA$195</definedName>
    <definedName name="wld_az1_rack7_mgmt_mtu">'Value Reference Tables - MR'!$AA$70</definedName>
    <definedName name="wld_az1_rack7_mgmt_network">'Value Reference Tables - MR'!$AA$39</definedName>
    <definedName name="wld_az1_rack7_mgmt_pg">'Value Reference Tables - MR'!$AA$126</definedName>
    <definedName name="wld_az1_rack7_mgmt_vlan">'Value Reference Tables - MR'!$AA$9</definedName>
    <definedName name="wld_az1_rack7_mgmt_vm_cidr">'Value Reference Tables - MR'!$AA$23</definedName>
    <definedName name="wld_az1_rack7_mgmt_vm_gateway_ip">'Value Reference Tables - MR'!$AA$85</definedName>
    <definedName name="wld_az1_rack7_mgmt_vm_mask">'Value Reference Tables - MR'!$AA$194</definedName>
    <definedName name="wld_az1_rack7_mgmt_vm_mtu">'Value Reference Tables - MR'!$AA$69</definedName>
    <definedName name="wld_az1_rack7_mgmt_vm_pg">'Value Reference Tables - MR'!$AA$125</definedName>
    <definedName name="wld_az1_rack7_mgmt_vm_vlan">'Value Reference Tables - MR'!$AA$8</definedName>
    <definedName name="wld_az1_rack7_pool_name">'Value Reference Tables - MR'!$AA$182</definedName>
    <definedName name="wld_az1_rack7_principal_storage_cidr">'Value Reference Tables - MR'!$AA$26</definedName>
    <definedName name="wld_az1_rack7_principal_storage_gateway_ip">'Value Reference Tables - MR'!$AA$88</definedName>
    <definedName name="wld_az1_rack7_principal_storage_mask">'Value Reference Tables - MR'!$AA$56</definedName>
    <definedName name="wld_az1_rack7_principal_storage_mtu">'Value Reference Tables - MR'!$AA$72</definedName>
    <definedName name="wld_az1_rack7_principal_storage_network">'Value Reference Tables - MR'!$AA$41</definedName>
    <definedName name="wld_az1_rack7_principal_storage_pg">'Value Reference Tables - MR'!$AA$128</definedName>
    <definedName name="wld_az1_rack7_principal_storage_pool_end_ip">'Value Reference Tables - MR'!$AA$168</definedName>
    <definedName name="wld_az1_rack7_principal_storage_pool_start_ip">'Value Reference Tables - MR'!$AA$167</definedName>
    <definedName name="wld_az1_rack7_principal_storage_vlan">'Value Reference Tables - MR'!$AA$11</definedName>
    <definedName name="wld_az1_rack7_reuse_vcf_networkpool_chosen">#REF!</definedName>
    <definedName name="wld_az1_rack7_rtep_ip_pool_name">'Value Reference Tables - MR'!$AA$189</definedName>
    <definedName name="wld_az1_rack7_rtep_overlay_cidr">'Value Reference Tables - MR'!$AA$33</definedName>
    <definedName name="wld_az1_rack7_rtep_overlay_gateway_ip">'Value Reference Tables - MR'!$AA$95</definedName>
    <definedName name="wld_az1_rack7_rtep_overlay_mtu">'Value Reference Tables - MR'!$AA$79</definedName>
    <definedName name="wld_az1_rack7_rtep_overlay_pool_end_ip">'Value Reference Tables - MR'!$AA$178</definedName>
    <definedName name="wld_az1_rack7_rtep_overlay_pool_start_ip">'Value Reference Tables - MR'!$AA$177</definedName>
    <definedName name="wld_az1_rack7_rtep_overlay_vlan">'Value Reference Tables - MR'!$AA$18</definedName>
    <definedName name="wld_az1_rack7_secondary_storage_cidr">'Value Reference Tables - MR'!$AA$28</definedName>
    <definedName name="wld_az1_rack7_secondary_storage_gateway_ip">'Value Reference Tables - MR'!$AA$90</definedName>
    <definedName name="wld_az1_rack7_secondary_storage_mask">'Value Reference Tables - MR'!$AA$58</definedName>
    <definedName name="wld_az1_rack7_secondary_storage_mtu">'Value Reference Tables - MR'!$AA$74</definedName>
    <definedName name="wld_az1_rack7_secondary_storage_network">'Value Reference Tables - MR'!$AA$44</definedName>
    <definedName name="wld_az1_rack7_secondary_storage_pool_end_ip">'Value Reference Tables - MR'!$AA$172</definedName>
    <definedName name="wld_az1_rack7_secondary_storage_pool_start_ip">'Value Reference Tables - MR'!$AA$171</definedName>
    <definedName name="wld_az1_rack7_secondary_storage_vlan">'Value Reference Tables - MR'!$AA$13</definedName>
    <definedName name="wld_az1_rack7_tor1_peer_asn">'Value Reference Tables - MR'!$AA$117</definedName>
    <definedName name="wld_az1_rack7_tor1_peer_bgp_password">'Value Reference Tables - MR'!$AA$118</definedName>
    <definedName name="wld_az1_rack7_tor1_peer_ip">'Value Reference Tables - MR'!$AA$116</definedName>
    <definedName name="wld_az1_rack7_tor2_peer_asn">'Value Reference Tables - MR'!$AA$120</definedName>
    <definedName name="wld_az1_rack7_tor2_peer_bgp_password">'Value Reference Tables - MR'!$AA$121</definedName>
    <definedName name="wld_az1_rack7_tor2_peer_ip">'Value Reference Tables - MR'!$AA$119</definedName>
    <definedName name="wld_az1_rack7_uplink01_cidr">'Value Reference Tables - MR'!$AA$30</definedName>
    <definedName name="wld_az1_rack7_uplink01_gateway_ip">'Value Reference Tables - MR'!$AA$92</definedName>
    <definedName name="wld_az1_rack7_uplink01_mask">'Value Reference Tables - MR'!$AA$60</definedName>
    <definedName name="wld_az1_rack7_uplink01_mtu">'Value Reference Tables - MR'!$AA$76</definedName>
    <definedName name="wld_az1_rack7_uplink01_network">'Value Reference Tables - MR'!$AA$45</definedName>
    <definedName name="wld_az1_rack7_uplink01_pg">'Value Reference Tables - MR'!$AA$129</definedName>
    <definedName name="wld_az1_rack7_uplink01_vlan">'Value Reference Tables - MR'!$AA$15</definedName>
    <definedName name="wld_az1_rack7_uplink02_cidr">'Value Reference Tables - MR'!$AA$31</definedName>
    <definedName name="wld_az1_rack7_uplink02_gateway_ip">'Value Reference Tables - MR'!$AA$93</definedName>
    <definedName name="wld_az1_rack7_uplink02_mask">'Value Reference Tables - MR'!$AA$61</definedName>
    <definedName name="wld_az1_rack7_uplink02_mtu">'Value Reference Tables - MR'!$AA$77</definedName>
    <definedName name="wld_az1_rack7_uplink02_network">'Value Reference Tables - MR'!$AA$46</definedName>
    <definedName name="wld_az1_rack7_uplink02_pg">'Value Reference Tables - MR'!$AA$130</definedName>
    <definedName name="wld_az1_rack7_uplink02_vlan">'Value Reference Tables - MR'!$AA$16</definedName>
    <definedName name="wld_az1_rack7_vmotion_cidr">'Value Reference Tables - MR'!$AA$25</definedName>
    <definedName name="wld_az1_rack7_vmotion_gateway_ip">'Value Reference Tables - MR'!$AA$87</definedName>
    <definedName name="wld_az1_rack7_vmotion_mask">'Value Reference Tables - MR'!$AA$55</definedName>
    <definedName name="wld_az1_rack7_vmotion_mtu">'Value Reference Tables - MR'!$AA$71</definedName>
    <definedName name="wld_az1_rack7_vmotion_network">'Value Reference Tables - MR'!$AA$40</definedName>
    <definedName name="wld_az1_rack7_vmotion_pg">'Value Reference Tables - MR'!$AA$127</definedName>
    <definedName name="wld_az1_rack7_vmotion_pool_end_ip">'Value Reference Tables - MR'!$AA$166</definedName>
    <definedName name="wld_az1_rack7_vmotion_pool_start_ip">'Value Reference Tables - MR'!$AA$165</definedName>
    <definedName name="wld_az1_rack7_vmotion_vlan">'Value Reference Tables - MR'!$AA$10</definedName>
    <definedName name="wld_az1_rack7_vrms_cidr">'Value Reference Tables - MR'!$AA$34</definedName>
    <definedName name="wld_az1_rack7_vrms_gateway_ip">'Value Reference Tables - MR'!$AA$96</definedName>
    <definedName name="wld_az1_rack7_vrms_mtu">'Value Reference Tables - MR'!$AA$80</definedName>
    <definedName name="wld_az1_rack7_vrms_vlan">'Value Reference Tables - MR'!$AA$19</definedName>
    <definedName name="wld_az1_rack7_vsan_fault_domain">'Value Reference Tables - MR'!$AA$190</definedName>
    <definedName name="wld_az1_rack8_edge_overlay_cidr">'Value Reference Tables - MR'!$AD$32</definedName>
    <definedName name="wld_az1_rack8_edge_overlay_gateway_ip">'Value Reference Tables - MR'!$AD$94</definedName>
    <definedName name="wld_az1_rack8_edge_overlay_mask">'Value Reference Tables - MR'!$AD$62</definedName>
    <definedName name="wld_az1_rack8_edge_overlay_mtu">'Value Reference Tables - MR'!$AD$78</definedName>
    <definedName name="wld_az1_rack8_edge_overlay_network">'Value Reference Tables - MR'!$AD$47</definedName>
    <definedName name="wld_az1_rack8_edge_overlay_network_pool_name">'Value Reference Tables - MR'!$AD$188</definedName>
    <definedName name="wld_az1_rack8_edge_overlay_pool_end_ip">'Value Reference Tables - MR'!$AD$176</definedName>
    <definedName name="wld_az1_rack8_edge_overlay_pool_start_ip">'Value Reference Tables - MR'!$AD$175</definedName>
    <definedName name="wld_az1_rack8_edge_overlay_vlan">'Value Reference Tables - MR'!$AD$17</definedName>
    <definedName name="wld_az1_rack8_en1_edge_overlay_interface_ip_1_ip">'Value Reference Tables - MR'!$AD$260</definedName>
    <definedName name="wld_az1_rack8_en1_edge_overlay_interface_ip_2_ip">'Value Reference Tables - MR'!$AD$261</definedName>
    <definedName name="wld_az1_rack8_en1_fqdn">'Value Reference Tables - MR'!$AD$256</definedName>
    <definedName name="wld_az1_rack8_en1_hostname">'Value Reference Tables - MR'!$AD$255</definedName>
    <definedName name="wld_az1_rack8_en1_mgmt_ip">'Value Reference Tables - MR'!$AD$257</definedName>
    <definedName name="wld_az1_rack8_en1_uplink01_interface_ip">'Value Reference Tables - MR'!$AD$258</definedName>
    <definedName name="wld_az1_rack8_en1_uplink02_interface_ip">'Value Reference Tables - MR'!$AD$259</definedName>
    <definedName name="wld_az1_rack8_en2_fqdn">'Value Reference Tables - MR'!$AD$266</definedName>
    <definedName name="wld_az1_rack8_en2_hostname">'Value Reference Tables - MR'!$AD$265</definedName>
    <definedName name="wld_az1_rack8_en2_mgmt_ip">'Value Reference Tables - MR'!$AD$267</definedName>
    <definedName name="wld_az1_rack8_en2_uplink01_interface_ip">'Value Reference Tables - MR'!$AD$268</definedName>
    <definedName name="wld_az1_rack8_en2_uplink02_interface_ip">'Value Reference Tables - MR'!$AD$269</definedName>
    <definedName name="wld_az1_rack8_host_fqdns">'Value Reference Tables - MR'!$AD$237:$AD$252</definedName>
    <definedName name="wld_az1_rack8_host_hostnames">'Value Reference Tables - MR'!$AD$218:$AD$233</definedName>
    <definedName name="wld_az1_rack8_host_mgmt_ips">'Value Reference Tables - MR'!$AD$199:$AD$214</definedName>
    <definedName name="wld_az1_rack8_host_overlay_cidr">'Value Reference Tables - MR'!$AD$27</definedName>
    <definedName name="wld_az1_rack8_host_overlay_gateway_ip">'Value Reference Tables - MR'!$AD$89</definedName>
    <definedName name="wld_az1_rack8_host_overlay_mask">'Value Reference Tables - MR'!$AD$57</definedName>
    <definedName name="wld_az1_rack8_host_overlay_mtu">'Value Reference Tables - MR'!$AD$73</definedName>
    <definedName name="wld_az1_rack8_host_overlay_network">'Value Reference Tables - MR'!$AD$42</definedName>
    <definedName name="wld_az1_rack8_host_overlay_network_pool_name">'Value Reference Tables - MR'!$AD$185</definedName>
    <definedName name="wld_az1_rack8_host_overlay_network_profile_name">'Value Reference Tables - MR'!$AD$183</definedName>
    <definedName name="wld_az1_rack8_host_overlay_new_pool_chosen">#REF!</definedName>
    <definedName name="wld_az1_rack8_host_overlay_pool_end_ip">'Value Reference Tables - MR'!$AD$170</definedName>
    <definedName name="wld_az1_rack8_host_overlay_pool_start_ip">'Value Reference Tables - MR'!$AD$169</definedName>
    <definedName name="wld_az1_rack8_host_overlay_uplink_profile_name">'Value Reference Tables - MR'!$AD$187</definedName>
    <definedName name="wld_az1_rack8_host_overlay_vlan">'Value Reference Tables - MR'!$AD$12</definedName>
    <definedName name="wld_az1_rack8_host1_fqdn">'Value Reference Tables - MR'!$AD$237</definedName>
    <definedName name="wld_az1_rack8_host1_hostname">'Value Reference Tables - MR'!$AD$218</definedName>
    <definedName name="wld_az1_rack8_host1_mgmt_ip">'Value Reference Tables - MR'!$AD$199</definedName>
    <definedName name="wld_az1_rack8_host10_fqdn">'Value Reference Tables - MR'!$AD$246</definedName>
    <definedName name="wld_az1_rack8_host10_hostname">'Value Reference Tables - MR'!$AD$227</definedName>
    <definedName name="wld_az1_rack8_host10_mgmt_ip">'Value Reference Tables - MR'!$AD$208</definedName>
    <definedName name="wld_az1_rack8_host11_fqdn">'Value Reference Tables - MR'!$AD$247</definedName>
    <definedName name="wld_az1_rack8_host11_hostname">'Value Reference Tables - MR'!$AD$228</definedName>
    <definedName name="wld_az1_rack8_host11_mgmt_ip">'Value Reference Tables - MR'!$AD$209</definedName>
    <definedName name="wld_az1_rack8_host12_fqdn">'Value Reference Tables - MR'!$AD$248</definedName>
    <definedName name="wld_az1_rack8_host12_hostname">'Value Reference Tables - MR'!$AD$229</definedName>
    <definedName name="wld_az1_rack8_host12_mgmt_ip">'Value Reference Tables - MR'!$AD$210</definedName>
    <definedName name="wld_az1_rack8_host13_fqdn">'Value Reference Tables - MR'!$AD$249</definedName>
    <definedName name="wld_az1_rack8_host13_hostname">'Value Reference Tables - MR'!$AD$230</definedName>
    <definedName name="wld_az1_rack8_host13_mgmt_ip">'Value Reference Tables - MR'!$AD$211</definedName>
    <definedName name="wld_az1_rack8_host14_fqdn">'Value Reference Tables - MR'!$AD$250</definedName>
    <definedName name="wld_az1_rack8_host14_hostname">'Value Reference Tables - MR'!$AD$231</definedName>
    <definedName name="wld_az1_rack8_host14_mgmt_ip">'Value Reference Tables - MR'!$AD$212</definedName>
    <definedName name="wld_az1_rack8_host15_fqdn">'Value Reference Tables - MR'!$AD$251</definedName>
    <definedName name="wld_az1_rack8_host15_hostname">'Value Reference Tables - MR'!$AD$232</definedName>
    <definedName name="wld_az1_rack8_host15_mgmt_ip">'Value Reference Tables - MR'!$AD$213</definedName>
    <definedName name="wld_az1_rack8_host16_fqdn">'Value Reference Tables - MR'!$AD$252</definedName>
    <definedName name="wld_az1_rack8_host16_hostname">'Value Reference Tables - MR'!$AD$233</definedName>
    <definedName name="wld_az1_rack8_host16_mgmt_ip">'Value Reference Tables - MR'!$AD$214</definedName>
    <definedName name="wld_az1_rack8_host2_fqdn">'Value Reference Tables - MR'!$AD$238</definedName>
    <definedName name="wld_az1_rack8_host2_hostname">'Value Reference Tables - MR'!$AD$219</definedName>
    <definedName name="wld_az1_rack8_host2_mgmt_ip">'Value Reference Tables - MR'!$AD$200</definedName>
    <definedName name="wld_az1_rack8_host3_fqdn">'Value Reference Tables - MR'!$AD$239</definedName>
    <definedName name="wld_az1_rack8_host3_hostname">'Value Reference Tables - MR'!$AD$220</definedName>
    <definedName name="wld_az1_rack8_host3_mgmt_ip">'Value Reference Tables - MR'!$AD$201</definedName>
    <definedName name="wld_az1_rack8_host4_fqdn">'Value Reference Tables - MR'!$AD$240</definedName>
    <definedName name="wld_az1_rack8_host4_hostname">'Value Reference Tables - MR'!$AD$221</definedName>
    <definedName name="wld_az1_rack8_host4_mgmt_ip">'Value Reference Tables - MR'!$AD$202</definedName>
    <definedName name="wld_az1_rack8_host5_fqdn">'Value Reference Tables - MR'!$AD$241</definedName>
    <definedName name="wld_az1_rack8_host5_hostname">'Value Reference Tables - MR'!$AD$222</definedName>
    <definedName name="wld_az1_rack8_host5_mgmt_ip">'Value Reference Tables - MR'!$AD$203</definedName>
    <definedName name="wld_az1_rack8_host6_fqdn">'Value Reference Tables - MR'!$AD$242</definedName>
    <definedName name="wld_az1_rack8_host6_hostname">'Value Reference Tables - MR'!$AD$223</definedName>
    <definedName name="wld_az1_rack8_host6_mgmt_ip">'Value Reference Tables - MR'!$AD$204</definedName>
    <definedName name="wld_az1_rack8_host7_fqdn">'Value Reference Tables - MR'!$AD$243</definedName>
    <definedName name="wld_az1_rack8_host7_hostname">'Value Reference Tables - MR'!$AD$224</definedName>
    <definedName name="wld_az1_rack8_host7_mgmt_ip">'Value Reference Tables - MR'!$AD$205</definedName>
    <definedName name="wld_az1_rack8_host8_fqdn">'Value Reference Tables - MR'!$AD$244</definedName>
    <definedName name="wld_az1_rack8_host8_hostname">'Value Reference Tables - MR'!$AD$225</definedName>
    <definedName name="wld_az1_rack8_host8_mgmt_ip">'Value Reference Tables - MR'!$AD$206</definedName>
    <definedName name="wld_az1_rack8_host9_fqdn">'Value Reference Tables - MR'!$AD$245</definedName>
    <definedName name="wld_az1_rack8_host9_hostname">'Value Reference Tables - MR'!$AD$226</definedName>
    <definedName name="wld_az1_rack8_host9_mgmt_ip">'Value Reference Tables - MR'!$AD$207</definedName>
    <definedName name="wld_az1_rack8_mgmt_cidr">'Value Reference Tables - MR'!$AD$24</definedName>
    <definedName name="wld_az1_rack8_mgmt_gateway_ip">'Value Reference Tables - MR'!$AD$86</definedName>
    <definedName name="wld_az1_rack8_mgmt_mask">'Value Reference Tables - MR'!$AD$195</definedName>
    <definedName name="wld_az1_rack8_mgmt_mtu">'Value Reference Tables - MR'!$AD$70</definedName>
    <definedName name="wld_az1_rack8_mgmt_network">'Value Reference Tables - MR'!$AD$39</definedName>
    <definedName name="wld_az1_rack8_mgmt_pg">'Value Reference Tables - MR'!$AD$126</definedName>
    <definedName name="wld_az1_rack8_mgmt_vlan">'Value Reference Tables - MR'!$AD$9</definedName>
    <definedName name="wld_az1_rack8_mgmt_vm_cidr">'Value Reference Tables - MR'!$AD$23</definedName>
    <definedName name="wld_az1_rack8_mgmt_vm_gateway_ip">'Value Reference Tables - MR'!$AD$85</definedName>
    <definedName name="wld_az1_rack8_mgmt_vm_mask">'Value Reference Tables - MR'!$AD$194</definedName>
    <definedName name="wld_az1_rack8_mgmt_vm_mtu">'Value Reference Tables - MR'!$AD$69</definedName>
    <definedName name="wld_az1_rack8_mgmt_vm_pg">'Value Reference Tables - MR'!$AD$125</definedName>
    <definedName name="wld_az1_rack8_mgmt_vm_vlan">'Value Reference Tables - MR'!$AD$8</definedName>
    <definedName name="wld_az1_rack8_pool_name">'Value Reference Tables - MR'!$AD$182</definedName>
    <definedName name="wld_az1_rack8_principal_storage_cidr">'Value Reference Tables - MR'!$AD$26</definedName>
    <definedName name="wld_az1_rack8_principal_storage_gateway_ip">'Value Reference Tables - MR'!$AD$88</definedName>
    <definedName name="wld_az1_rack8_principal_storage_mask">'Value Reference Tables - MR'!$AD$56</definedName>
    <definedName name="wld_az1_rack8_principal_storage_mtu">'Value Reference Tables - MR'!$AD$72</definedName>
    <definedName name="wld_az1_rack8_principal_storage_network">'Value Reference Tables - MR'!$AD$41</definedName>
    <definedName name="wld_az1_rack8_principal_storage_pg">'Value Reference Tables - MR'!$AD$128</definedName>
    <definedName name="wld_az1_rack8_principal_storage_pool_end_ip">'Value Reference Tables - MR'!$AD$168</definedName>
    <definedName name="wld_az1_rack8_principal_storage_pool_start_ip">'Value Reference Tables - MR'!$AD$167</definedName>
    <definedName name="wld_az1_rack8_principal_storage_vlan">'Value Reference Tables - MR'!$AD$11</definedName>
    <definedName name="wld_az1_rack8_reuse_vcf_networkpool_chosen">#REF!</definedName>
    <definedName name="wld_az1_rack8_rtep_ip_pool_name">'Value Reference Tables - MR'!$AD$189</definedName>
    <definedName name="wld_az1_rack8_rtep_overlay_cidr">'Value Reference Tables - MR'!$AD$33</definedName>
    <definedName name="wld_az1_rack8_rtep_overlay_gateway_ip">'Value Reference Tables - MR'!$AD$95</definedName>
    <definedName name="wld_az1_rack8_rtep_overlay_mtu">'Value Reference Tables - MR'!$AD$79</definedName>
    <definedName name="wld_az1_rack8_rtep_overlay_pool_end_ip">'Value Reference Tables - MR'!$AD$178</definedName>
    <definedName name="wld_az1_rack8_rtep_overlay_pool_start_ip">'Value Reference Tables - MR'!$AD$177</definedName>
    <definedName name="wld_az1_rack8_rtep_overlay_vlan">'Value Reference Tables - MR'!$AD$18</definedName>
    <definedName name="wld_az1_rack8_secondary_storage_cidr">'Value Reference Tables - MR'!$AD$28</definedName>
    <definedName name="wld_az1_rack8_secondary_storage_gateway_ip">'Value Reference Tables - MR'!$AD$90</definedName>
    <definedName name="wld_az1_rack8_secondary_storage_mask">'Value Reference Tables - MR'!$AD$58</definedName>
    <definedName name="wld_az1_rack8_secondary_storage_mtu">'Value Reference Tables - MR'!$AD$74</definedName>
    <definedName name="wld_az1_rack8_secondary_storage_network">'Value Reference Tables - MR'!$AD$44</definedName>
    <definedName name="wld_az1_rack8_secondary_storage_pool_end_ip">'Value Reference Tables - MR'!$AD$172</definedName>
    <definedName name="wld_az1_rack8_secondary_storage_pool_start_ip">'Value Reference Tables - MR'!$AD$171</definedName>
    <definedName name="wld_az1_rack8_secondary_storage_vlan">'Value Reference Tables - MR'!$AD$13</definedName>
    <definedName name="wld_az1_rack8_tor1_peer_asn">'Value Reference Tables - MR'!$AD$117</definedName>
    <definedName name="wld_az1_rack8_tor1_peer_bgp_password">'Value Reference Tables - MR'!$AD$118</definedName>
    <definedName name="wld_az1_rack8_tor1_peer_ip">'Value Reference Tables - MR'!$AD$116</definedName>
    <definedName name="wld_az1_rack8_tor2_peer_asn">'Value Reference Tables - MR'!$AD$120</definedName>
    <definedName name="wld_az1_rack8_tor2_peer_bgp_password">'Value Reference Tables - MR'!$AD$121</definedName>
    <definedName name="wld_az1_rack8_tor2_peer_ip">'Value Reference Tables - MR'!$AD$119</definedName>
    <definedName name="wld_az1_rack8_uplink01_cidr">'Value Reference Tables - MR'!$AD$30</definedName>
    <definedName name="wld_az1_rack8_uplink01_gateway_ip">'Value Reference Tables - MR'!$AD$92</definedName>
    <definedName name="wld_az1_rack8_uplink01_mask">'Value Reference Tables - MR'!$AD$60</definedName>
    <definedName name="wld_az1_rack8_uplink01_mtu">'Value Reference Tables - MR'!$AD$76</definedName>
    <definedName name="wld_az1_rack8_uplink01_network">'Value Reference Tables - MR'!$AD$45</definedName>
    <definedName name="wld_az1_rack8_uplink01_pg">'Value Reference Tables - MR'!$AD$129</definedName>
    <definedName name="wld_az1_rack8_uplink01_vlan">'Value Reference Tables - MR'!$AD$15</definedName>
    <definedName name="wld_az1_rack8_uplink02_cidr">'Value Reference Tables - MR'!$AD$31</definedName>
    <definedName name="wld_az1_rack8_uplink02_gateway_ip">'Value Reference Tables - MR'!$AD$93</definedName>
    <definedName name="wld_az1_rack8_uplink02_mask">'Value Reference Tables - MR'!$AD$61</definedName>
    <definedName name="wld_az1_rack8_uplink02_mtu">'Value Reference Tables - MR'!$AD$77</definedName>
    <definedName name="wld_az1_rack8_uplink02_network">'Value Reference Tables - MR'!$AD$46</definedName>
    <definedName name="wld_az1_rack8_uplink02_pg">'Value Reference Tables - MR'!$AD$130</definedName>
    <definedName name="wld_az1_rack8_uplink02_vlan">'Value Reference Tables - MR'!$AD$16</definedName>
    <definedName name="wld_az1_rack8_vmotion_cidr">'Value Reference Tables - MR'!$AD$25</definedName>
    <definedName name="wld_az1_rack8_vmotion_gateway_ip">'Value Reference Tables - MR'!$AD$87</definedName>
    <definedName name="wld_az1_rack8_vmotion_mask">'Value Reference Tables - MR'!$AD$55</definedName>
    <definedName name="wld_az1_rack8_vmotion_mtu">'Value Reference Tables - MR'!$AD$71</definedName>
    <definedName name="wld_az1_rack8_vmotion_network">'Value Reference Tables - MR'!$AD$40</definedName>
    <definedName name="wld_az1_rack8_vmotion_pg">'Value Reference Tables - MR'!$AD$127</definedName>
    <definedName name="wld_az1_rack8_vmotion_pool_end_ip">'Value Reference Tables - MR'!$AD$166</definedName>
    <definedName name="wld_az1_rack8_vmotion_pool_start_ip">'Value Reference Tables - MR'!$AD$165</definedName>
    <definedName name="wld_az1_rack8_vmotion_vlan">'Value Reference Tables - MR'!$AD$10</definedName>
    <definedName name="wld_az1_rack8_vrms_cidr">'Value Reference Tables - MR'!$AD$34</definedName>
    <definedName name="wld_az1_rack8_vrms_gateway_ip">'Value Reference Tables - MR'!$AD$96</definedName>
    <definedName name="wld_az1_rack8_vrms_mtu">'Value Reference Tables - MR'!$AD$80</definedName>
    <definedName name="wld_az1_rack8_vrms_vlan">'Value Reference Tables - MR'!$AD$19</definedName>
    <definedName name="wld_az1_rack8_vsan_fault_domain">'Value Reference Tables - MR'!$AD$190</definedName>
    <definedName name="wld_az1_reuse_vcf_networkpool_chosen">#REF!</definedName>
    <definedName name="wld_az1_reuse_vcf_networkpool_result">#REF!</definedName>
    <definedName name="wld_az1_rtep_ip_pool_name">'Value Reference Tables - MR'!$I$189</definedName>
    <definedName name="wld_az1_rtep_overlay_cidr">'Value Reference Tables - MR'!$I$33</definedName>
    <definedName name="wld_az1_rtep_overlay_gateway_ip">'Value Reference Tables - MR'!$I$95</definedName>
    <definedName name="wld_az1_rtep_overlay_mtu">'Value Reference Tables - MR'!$I$79</definedName>
    <definedName name="wld_az1_rtep_overlay_network">'Value Reference Tables - MR'!$I$48</definedName>
    <definedName name="wld_az1_rtep_overlay_pg">'Value Reference Tables - MR'!$I$134</definedName>
    <definedName name="wld_az1_rtep_overlay_vlan">'Value Reference Tables - MR'!$I$18</definedName>
    <definedName name="wld_az1_secondary_storage_cidr">'Value Reference Tables - MR'!$I$28</definedName>
    <definedName name="wld_az1_secondary_storage_gateway_cidr">'Value Reference Tables - MR'!$I$105</definedName>
    <definedName name="wld_az1_secondary_storage_gateway_ip">'Value Reference Tables - MR'!$I$90</definedName>
    <definedName name="wld_az1_secondary_storage_ip_assignment_chosen">#REF!</definedName>
    <definedName name="wld_az1_secondary_storage_ip_scheme_chosen">#REF!</definedName>
    <definedName name="wld_az1_secondary_storage_mask">'Value Reference Tables - MR'!$I$58</definedName>
    <definedName name="wld_az1_secondary_storage_mtu">'Value Reference Tables - MR'!$I$74</definedName>
    <definedName name="wld_az1_secondary_storage_network">'Value Reference Tables - MR'!$I$43</definedName>
    <definedName name="wld_az1_secondary_storage_pool_end_ip">'Value Reference Tables - MR'!$I$172</definedName>
    <definedName name="wld_az1_secondary_storage_pool_start_ip">'Value Reference Tables - MR'!$I$171</definedName>
    <definedName name="wld_az1_secondary_storage_vlan">'Value Reference Tables - MR'!$I$13</definedName>
    <definedName name="wld_az1_storage_cluster_cidr">'Value Reference Tables - MR'!$I$29</definedName>
    <definedName name="wld_az1_storage_cluster_gateway_cidr">'Value Reference Tables - MR'!$I$106</definedName>
    <definedName name="wld_az1_storage_cluster_gateway_ip">'Value Reference Tables - MR'!$I$91</definedName>
    <definedName name="wld_az1_storage_cluster_ip_assignment_chosen">#REF!</definedName>
    <definedName name="wld_az1_storage_cluster_ip_scheme_chosen">#REF!</definedName>
    <definedName name="wld_az1_storage_cluster_mask">'Value Reference Tables - MR'!$I$59</definedName>
    <definedName name="wld_az1_storage_cluster_mtu">'Value Reference Tables - MR'!$I$75</definedName>
    <definedName name="wld_az1_storage_cluster_network">'Value Reference Tables - MR'!$I$44</definedName>
    <definedName name="wld_az1_storage_cluster_pool_end_ip">'Value Reference Tables - MR'!$I$174</definedName>
    <definedName name="wld_az1_storage_cluster_pool_start_ip">'Value Reference Tables - MR'!$I$173</definedName>
    <definedName name="wld_az1_storage_cluster_vlan">'Value Reference Tables - MR'!$I$14</definedName>
    <definedName name="wld_az1_tor1_peer_asn">'Value Reference Tables - MR'!$I$117</definedName>
    <definedName name="wld_az1_tor1_peer_bgp_password">'Value Reference Tables - MR'!$I$118</definedName>
    <definedName name="wld_az1_tor1_peer_ip">'Value Reference Tables - MR'!$I$116</definedName>
    <definedName name="wld_az1_tor2_peer_asn">'Value Reference Tables - MR'!$I$120</definedName>
    <definedName name="wld_az1_tor2_peer_bgp_password">'Value Reference Tables - MR'!$I$121</definedName>
    <definedName name="wld_az1_tor2_peer_ip">'Value Reference Tables - MR'!$I$119</definedName>
    <definedName name="wld_az1_uplink01_cidr">'Value Reference Tables - MR'!$I$30</definedName>
    <definedName name="wld_az1_uplink01_gateway_ip">'Value Reference Tables - MR'!$I$92</definedName>
    <definedName name="wld_az1_uplink01_mask">'Value Reference Tables - MR'!$I$60</definedName>
    <definedName name="wld_az1_uplink01_mtu">'Value Reference Tables - MR'!$I$76</definedName>
    <definedName name="wld_az1_uplink01_network">'Value Reference Tables - MR'!$I$45</definedName>
    <definedName name="wld_az1_uplink01_vlan">'Value Reference Tables - MR'!$I$15</definedName>
    <definedName name="wld_az1_uplink02_cidr">'Value Reference Tables - MR'!$I$31</definedName>
    <definedName name="wld_az1_uplink02_gateway_ip">'Value Reference Tables - MR'!$I$93</definedName>
    <definedName name="wld_az1_uplink02_mask">'Value Reference Tables - MR'!$I$61</definedName>
    <definedName name="wld_az1_uplink02_mtu">'Value Reference Tables - MR'!$I$77</definedName>
    <definedName name="wld_az1_uplink02_network">'Value Reference Tables - MR'!$I$46</definedName>
    <definedName name="wld_az1_uplink02_vlan">'Value Reference Tables - MR'!$I$16</definedName>
    <definedName name="wld_az1_vm_cidr">'Value Reference Tables'!$AD$35</definedName>
    <definedName name="wld_az1_vm_gateway_ip">'Value Reference Tables'!$AD$39</definedName>
    <definedName name="wld_az1_vm_mtu">'Value Reference Tables'!$AD$44</definedName>
    <definedName name="wld_az1_vm_vlan">'Value Reference Tables'!$AD$27</definedName>
    <definedName name="wld_az1_vmotion_cidr">'Value Reference Tables - MR'!$I$25</definedName>
    <definedName name="wld_az1_vmotion_gateway_cidr">'Value Reference Tables - MR'!$I$102</definedName>
    <definedName name="wld_az1_vmotion_gateway_ip">'Value Reference Tables - MR'!$I$87</definedName>
    <definedName name="wld_az1_vmotion_ip_assignment_chosen">#REF!</definedName>
    <definedName name="wld_az1_vmotion_ip_scheme_chosen">#REF!</definedName>
    <definedName name="wld_az1_vmotion_mask">'Value Reference Tables - MR'!$I$55</definedName>
    <definedName name="wld_az1_vmotion_mtu">'Value Reference Tables - MR'!$I$71</definedName>
    <definedName name="wld_az1_vmotion_network">'Value Reference Tables - MR'!$I$40</definedName>
    <definedName name="wld_az1_vmotion_pool_end_ip">'Value Reference Tables - MR'!$I$166</definedName>
    <definedName name="wld_az1_vmotion_pool_start_ip">'Value Reference Tables - MR'!$I$165</definedName>
    <definedName name="wld_az1_vmotion_vlan">'Value Reference Tables - MR'!$I$10</definedName>
    <definedName name="wld_az1_vrms_cidr">'Value Reference Tables - MR'!$I$34</definedName>
    <definedName name="wld_az1_vrms_gateway_ip">'Value Reference Tables - MR'!$I$96</definedName>
    <definedName name="wld_az1_vrms_mtu">'Value Reference Tables - MR'!$I$80</definedName>
    <definedName name="wld_az1_vrms_network">'Value Reference Tables - MR'!$I$49</definedName>
    <definedName name="wld_az1_vrms_vlan">'Value Reference Tables - MR'!$I$19</definedName>
    <definedName name="wld_az2_edge_overlay_cidr">'Value Reference Tables - MR'!$I$318</definedName>
    <definedName name="wld_az2_edge_overlay_gateway_ip">'Value Reference Tables - MR'!$I$363</definedName>
    <definedName name="wld_az2_edge_overlay_mask">'Value Reference Tables - MR'!$I$348</definedName>
    <definedName name="wld_az2_edge_overlay_mtu">'Value Reference Tables - MR'!$I$378</definedName>
    <definedName name="wld_az2_edge_overlay_network">'Value Reference Tables - MR'!$I$333</definedName>
    <definedName name="wld_az2_edge_overlay_pg">'Value Reference Tables - MR'!$I$402</definedName>
    <definedName name="wld_az2_edge_overlay_vlan">'Value Reference Tables - MR'!$I$303</definedName>
    <definedName name="wld_az2_host_fqdns">'Value Reference Tables - MR'!$I$493:$I$508</definedName>
    <definedName name="wld_az2_host_hostnames">'Value Reference Tables - MR'!$I$474:$I$489</definedName>
    <definedName name="wld_az2_host_mgmt_ips">'Value Reference Tables - MR'!$I$439:$I$454</definedName>
    <definedName name="wld_az2_host_overlay_cidr">'Value Reference Tables - MR'!$I$313</definedName>
    <definedName name="wld_az2_host_overlay_gateway_ip">'Value Reference Tables - MR'!$I$358</definedName>
    <definedName name="wld_az2_host_overlay_mask">'Value Reference Tables - MR'!$I$343</definedName>
    <definedName name="wld_az2_host_overlay_mtu">'Value Reference Tables - MR'!$I$373</definedName>
    <definedName name="wld_az2_host_overlay_network">'Value Reference Tables - MR'!$I$328</definedName>
    <definedName name="wld_az2_host_overlay_network_pool_name">'Value Reference Tables - MR'!$I$424</definedName>
    <definedName name="wld_az2_host_overlay_network_profile_name">'Value Reference Tables - MR'!$I$423</definedName>
    <definedName name="wld_az2_host_overlay_new_pool_chosen">#REF!</definedName>
    <definedName name="wld_az2_host_overlay_pg">'Value Reference Tables - MR'!$I$398</definedName>
    <definedName name="wld_az2_host_overlay_pool_end_ip">'Value Reference Tables - MR'!$I$412</definedName>
    <definedName name="wld_az2_host_overlay_pool_name">'Value Reference Tables'!$F$120</definedName>
    <definedName name="wld_az2_host_overlay_pool_start_ip">'Value Reference Tables - MR'!$I$411</definedName>
    <definedName name="wld_az2_host_overlay_uplink_profile_name">'Value Reference Tables - MR'!$I$425</definedName>
    <definedName name="wld_az2_host_overlay_vlan">'Value Reference Tables - MR'!$I$298</definedName>
    <definedName name="wld_az2_host_vrms_ips">'Value Reference Tables - MR'!$I$455:$I$470</definedName>
    <definedName name="wld_az2_host1_fqdn">'Value Reference Tables - MR'!$I$493</definedName>
    <definedName name="wld_az2_host1_hostname">'Value Reference Tables - MR'!$I$474</definedName>
    <definedName name="wld_az2_host1_mgmt_ip">'Value Reference Tables - MR'!$I$439</definedName>
    <definedName name="wld_az2_host1_sddc_id">'Value Reference Tables'!$F$115</definedName>
    <definedName name="wld_az2_host1_vrms_ip">'Value Reference Tables - MR'!$I$455</definedName>
    <definedName name="wld_az2_host10_fqdn">'Value Reference Tables - MR'!$I$502</definedName>
    <definedName name="wld_az2_host10_hostname">'Value Reference Tables - MR'!$I$483</definedName>
    <definedName name="wld_az2_host10_mgmt_ip">'Value Reference Tables - MR'!$I$448</definedName>
    <definedName name="wld_az2_host10_vrms_ip">'Value Reference Tables - MR'!$I$464</definedName>
    <definedName name="wld_az2_host11_fqdn">'Value Reference Tables - MR'!$I$503</definedName>
    <definedName name="wld_az2_host11_hostname">'Value Reference Tables - MR'!$I$484</definedName>
    <definedName name="wld_az2_host11_mgmt_ip">'Value Reference Tables - MR'!$I$449</definedName>
    <definedName name="wld_az2_host11_vrms_ip">'Value Reference Tables - MR'!$I$465</definedName>
    <definedName name="wld_az2_host12_fqdn">'Value Reference Tables - MR'!$I$504</definedName>
    <definedName name="wld_az2_host12_hostname">'Value Reference Tables - MR'!$I$485</definedName>
    <definedName name="wld_az2_host12_mgmt_ip">'Value Reference Tables - MR'!$I$450</definedName>
    <definedName name="wld_az2_host12_vrms_ip">'Value Reference Tables - MR'!$I$466</definedName>
    <definedName name="wld_az2_host13_fqdn">'Value Reference Tables - MR'!$I$505</definedName>
    <definedName name="wld_az2_host13_hostname">'Value Reference Tables - MR'!$I$486</definedName>
    <definedName name="wld_az2_host13_mgmt_ip">'Value Reference Tables - MR'!$I$451</definedName>
    <definedName name="wld_az2_host13_vrms_ip">'Value Reference Tables - MR'!$I$467</definedName>
    <definedName name="wld_az2_host14_fqdn">'Value Reference Tables - MR'!$I$506</definedName>
    <definedName name="wld_az2_host14_hostname">'Value Reference Tables - MR'!$I$487</definedName>
    <definedName name="wld_az2_host14_mgmt_ip">'Value Reference Tables - MR'!$I$452</definedName>
    <definedName name="wld_az2_host14_vrms_ip">'Value Reference Tables - MR'!$I$468</definedName>
    <definedName name="wld_az2_host15_fqdn">'Value Reference Tables - MR'!$I$507</definedName>
    <definedName name="wld_az2_host15_hostname">'Value Reference Tables - MR'!$I$488</definedName>
    <definedName name="wld_az2_host15_mgmt_ip">'Value Reference Tables - MR'!$I$453</definedName>
    <definedName name="wld_az2_host15_vrms_ip">'Value Reference Tables - MR'!$I$469</definedName>
    <definedName name="wld_az2_host16_fqdn">'Value Reference Tables - MR'!$I$508</definedName>
    <definedName name="wld_az2_host16_hostname">'Value Reference Tables - MR'!$I$489</definedName>
    <definedName name="wld_az2_host16_mgmt_ip">'Value Reference Tables - MR'!$I$454</definedName>
    <definedName name="wld_az2_host16_vrms_ip">'Value Reference Tables - MR'!$I$470</definedName>
    <definedName name="wld_az2_host2_fqdn">'Value Reference Tables - MR'!$I$494</definedName>
    <definedName name="wld_az2_host2_hostname">'Value Reference Tables - MR'!$I$475</definedName>
    <definedName name="wld_az2_host2_mgmt_ip">'Value Reference Tables - MR'!$I$440</definedName>
    <definedName name="wld_az2_host2_sddc_id">'Value Reference Tables'!$F$116</definedName>
    <definedName name="wld_az2_host2_vrms_ip">'Value Reference Tables - MR'!$I$456</definedName>
    <definedName name="wld_az2_host3_fqdn">'Value Reference Tables - MR'!$I$495</definedName>
    <definedName name="wld_az2_host3_hostname">'Value Reference Tables - MR'!$I$476</definedName>
    <definedName name="wld_az2_host3_mgmt_ip">'Value Reference Tables - MR'!$I$441</definedName>
    <definedName name="wld_az2_host3_sddc_id">'Value Reference Tables'!$F$117</definedName>
    <definedName name="wld_az2_host3_vrms_ip">'Value Reference Tables - MR'!$I$457</definedName>
    <definedName name="wld_az2_host4_fqdn">'Value Reference Tables - MR'!$I$496</definedName>
    <definedName name="wld_az2_host4_hostname">'Value Reference Tables - MR'!$I$477</definedName>
    <definedName name="wld_az2_host4_mgmt_ip">'Value Reference Tables - MR'!$I$442</definedName>
    <definedName name="wld_az2_host4_sddc_id">'Value Reference Tables'!$F$118</definedName>
    <definedName name="wld_az2_host4_vrms_ip">'Value Reference Tables - MR'!$I$458</definedName>
    <definedName name="wld_az2_host5_fqdn">'Value Reference Tables - MR'!$I$497</definedName>
    <definedName name="wld_az2_host5_hostname">'Value Reference Tables - MR'!$I$478</definedName>
    <definedName name="wld_az2_host5_mgmt_ip">'Value Reference Tables - MR'!$I$443</definedName>
    <definedName name="wld_az2_host5_vrms_ip">'Value Reference Tables - MR'!$I$459</definedName>
    <definedName name="wld_az2_host6_fqdn">'Value Reference Tables - MR'!$I$498</definedName>
    <definedName name="wld_az2_host6_hostname">'Value Reference Tables - MR'!$I$479</definedName>
    <definedName name="wld_az2_host6_mgmt_ip">'Value Reference Tables - MR'!$I$444</definedName>
    <definedName name="wld_az2_host6_vrms_ip">'Value Reference Tables - MR'!$I$460</definedName>
    <definedName name="wld_az2_host7_fqdn">'Value Reference Tables - MR'!$I$499</definedName>
    <definedName name="wld_az2_host7_hostname">'Value Reference Tables - MR'!$I$480</definedName>
    <definedName name="wld_az2_host7_mgmt_ip">'Value Reference Tables - MR'!$I$445</definedName>
    <definedName name="wld_az2_host7_vrms_ip">'Value Reference Tables - MR'!$I$461</definedName>
    <definedName name="wld_az2_host8_fqdn">'Value Reference Tables - MR'!$I$500</definedName>
    <definedName name="wld_az2_host8_hostname">'Value Reference Tables - MR'!$I$481</definedName>
    <definedName name="wld_az2_host8_mgmt_ip">'Value Reference Tables - MR'!$I$446</definedName>
    <definedName name="wld_az2_host8_vrms_ip">'Value Reference Tables - MR'!$I$462</definedName>
    <definedName name="wld_az2_host9_fqdn">'Value Reference Tables - MR'!$I$501</definedName>
    <definedName name="wld_az2_host9_hostname">'Value Reference Tables - MR'!$I$482</definedName>
    <definedName name="wld_az2_host9_mgmt_ip">'Value Reference Tables - MR'!$I$447</definedName>
    <definedName name="wld_az2_host9_vrms_ip">'Value Reference Tables - MR'!$I$463</definedName>
    <definedName name="wld_az2_mgmt_cidr">'Value Reference Tables - MR'!$I$310</definedName>
    <definedName name="wld_az2_mgmt_gateway_ip">'Value Reference Tables - MR'!$I$355</definedName>
    <definedName name="wld_az2_mgmt_mask">'Value Reference Tables - MR'!$I$340</definedName>
    <definedName name="wld_az2_mgmt_mtu">'Value Reference Tables - MR'!$I$370</definedName>
    <definedName name="wld_az2_mgmt_network">'Value Reference Tables - MR'!$I$325</definedName>
    <definedName name="wld_az2_mgmt_vlan">'Value Reference Tables - MR'!$I$295</definedName>
    <definedName name="wld_az2_pool_name">'Value Reference Tables - MR'!$I$422</definedName>
    <definedName name="wld_az2_principal_storage_cidr">'Value Reference Tables - MR'!$I$312</definedName>
    <definedName name="wld_az2_principal_storage_gateway_ip">'Value Reference Tables - MR'!$I$357</definedName>
    <definedName name="wld_az2_principal_storage_mask">'Value Reference Tables - MR'!$I$342</definedName>
    <definedName name="wld_az2_principal_storage_mtu">'Value Reference Tables - MR'!$I$372</definedName>
    <definedName name="wld_az2_principal_storage_network">'Value Reference Tables - MR'!$I$327</definedName>
    <definedName name="wld_az2_principal_storage_pool_end_ip">'Value Reference Tables - MR'!$I$410</definedName>
    <definedName name="wld_az2_principal_storage_pool_start_ip">'Value Reference Tables - MR'!$I$409</definedName>
    <definedName name="wld_az2_principal_storage_vlan">'Value Reference Tables - MR'!$I$297</definedName>
    <definedName name="wld_az2_reuse_vcf_networkpool_chosen">#REF!</definedName>
    <definedName name="wld_az2_rtep_overlay_cidr">'Value Reference Tables - MR'!$I$319</definedName>
    <definedName name="wld_az2_rtep_overlay_gateway_ip">'Value Reference Tables - MR'!$I$364</definedName>
    <definedName name="wld_az2_rtep_overlay_mask">'Value Reference Tables - MR'!$I$349</definedName>
    <definedName name="wld_az2_rtep_overlay_mtu">'Value Reference Tables - MR'!$I$379</definedName>
    <definedName name="wld_az2_rtep_overlay_network">'Value Reference Tables - MR'!$I$334</definedName>
    <definedName name="wld_az2_rtep_overlay_pg">'Value Reference Tables - MR'!$I$403</definedName>
    <definedName name="wld_az2_rtep_overlay_vlan">'Value Reference Tables - MR'!$I$304</definedName>
    <definedName name="wld_az2_secondary_storage_cidr">'Value Reference Tables - MR'!$I$314</definedName>
    <definedName name="wld_az2_secondary_storage_gateway_ip">'Value Reference Tables'!$AE$40</definedName>
    <definedName name="wld_az2_secondary_storage_mask">'Value Reference Tables - MR'!$I$344</definedName>
    <definedName name="wld_az2_secondary_storage_mtu">'Value Reference Tables - MR'!$I$374</definedName>
    <definedName name="wld_az2_secondary_storage_network">'Value Reference Tables - MR'!$I$329</definedName>
    <definedName name="wld_az2_secondary_storage_pool_end_ip">'Value Reference Tables - MR'!$I$414</definedName>
    <definedName name="wld_az2_secondary_storage_pool_start_ip">'Value Reference Tables - MR'!$I$413</definedName>
    <definedName name="wld_az2_secondary_storage_vlan">'Value Reference Tables - MR'!$I$299</definedName>
    <definedName name="wld_az2_storage_cluster_gateway_ip">'Value Reference Tables - MR'!$I$360</definedName>
    <definedName name="wld_az2_storage_cluster_mask">'Value Reference Tables - MR'!$I$345</definedName>
    <definedName name="wld_az2_storage_cluster_mtu">'Value Reference Tables - MR'!$I$375</definedName>
    <definedName name="wld_az2_storage_cluster_network">'Value Reference Tables - MR'!$I$330</definedName>
    <definedName name="wld_az2_storage_cluster_pool_end_ip">'Value Reference Tables - MR'!$I$416</definedName>
    <definedName name="wld_az2_storage_cluster_pool_start_ip">'Value Reference Tables - MR'!$I$415</definedName>
    <definedName name="wld_az2_storage_cluster_vlan">'Value Reference Tables - MR'!$I$300</definedName>
    <definedName name="wld_az2_tor1_peer_asn">'Value Reference Tables - MR'!$I$386</definedName>
    <definedName name="wld_az2_tor1_peer_bgp_password">'Value Reference Tables - MR'!$I$387</definedName>
    <definedName name="wld_az2_tor1_peer_ip">'Value Reference Tables - MR'!$I$385</definedName>
    <definedName name="wld_az2_tor2_peer_asn">'Value Reference Tables - MR'!$I$389</definedName>
    <definedName name="wld_az2_tor2_peer_bgp_password">'Value Reference Tables - MR'!$I$390</definedName>
    <definedName name="wld_az2_tor2_peer_ip">'Value Reference Tables - MR'!$I$388</definedName>
    <definedName name="wld_az2_uplink01_cidr">'Value Reference Tables - MR'!$I$316</definedName>
    <definedName name="wld_az2_uplink01_gateway_ip">'Value Reference Tables - MR'!$I$361</definedName>
    <definedName name="wld_az2_uplink01_mask">'Value Reference Tables - MR'!$I$346</definedName>
    <definedName name="wld_az2_uplink01_mtu">'Value Reference Tables - MR'!$I$376</definedName>
    <definedName name="wld_az2_uplink01_network">'Value Reference Tables - MR'!$I$331</definedName>
    <definedName name="wld_az2_uplink01_vlan">'Value Reference Tables - MR'!$I$301</definedName>
    <definedName name="wld_az2_uplink02_cidr">'Value Reference Tables - MR'!$I$317</definedName>
    <definedName name="wld_az2_uplink02_gateway_ip">'Value Reference Tables - MR'!$I$362</definedName>
    <definedName name="wld_az2_uplink02_mask">'Value Reference Tables - MR'!$I$347</definedName>
    <definedName name="wld_az2_uplink02_mtu">'Value Reference Tables - MR'!$I$377</definedName>
    <definedName name="wld_az2_uplink02_network">'Value Reference Tables - MR'!$I$332</definedName>
    <definedName name="wld_az2_uplink02_vlan">'Value Reference Tables - MR'!$I$302</definedName>
    <definedName name="wld_az2_vm_cidr">'Value Reference Tables'!$AE$35</definedName>
    <definedName name="wld_az2_vm_gateway_ip">'Value Reference Tables'!$AE$39</definedName>
    <definedName name="wld_az2_vm_mtu">'Value Reference Tables'!$AE$44</definedName>
    <definedName name="wld_az2_vm_vlan">'Value Reference Tables'!$AE$27</definedName>
    <definedName name="wld_az2_vmotion_cidr">'Value Reference Tables - MR'!$I$311</definedName>
    <definedName name="wld_az2_vmotion_gateway_ip">'Value Reference Tables - MR'!$I$356</definedName>
    <definedName name="wld_az2_vmotion_mask">'Value Reference Tables - MR'!$I$341</definedName>
    <definedName name="wld_az2_vmotion_mtu">'Value Reference Tables - MR'!$I$371</definedName>
    <definedName name="wld_az2_vmotion_network">'Value Reference Tables - MR'!$I$326</definedName>
    <definedName name="wld_az2_vmotion_pool_end_ip">'Value Reference Tables - MR'!$I$408</definedName>
    <definedName name="wld_az2_vmotion_pool_start_ip">'Value Reference Tables - MR'!$I$407</definedName>
    <definedName name="wld_az2_vmotion_vlan">'Value Reference Tables - MR'!$I$296</definedName>
    <definedName name="wld_az2_vrms_cidr">'Value Reference Tables - MR'!$I$320</definedName>
    <definedName name="wld_az2_vrms_gateway_ip">'Value Reference Tables - MR'!$I$365</definedName>
    <definedName name="wld_az2_vrms_mask">'Value Reference Tables - MR'!$I$350</definedName>
    <definedName name="wld_az2_vrms_mtu">'Value Reference Tables - MR'!$I$380</definedName>
    <definedName name="wld_az2_vrms_network">'Value Reference Tables - MR'!$I$335</definedName>
    <definedName name="wld_az2_vrms_vlan">'Value Reference Tables - MR'!$I$305</definedName>
    <definedName name="wld_bf_nsx_appliance_size_chosen">#REF!</definedName>
    <definedName name="wld_bf_nsx_create_passwords_chosen">#REF!</definedName>
    <definedName name="wld_bf_nsx_existing_chosen">#REF!</definedName>
    <definedName name="wld_bf_nsx_ha_mode_chosen">#REF!</definedName>
    <definedName name="wld_bf_nsx_join_manager_chosen">#REF!</definedName>
    <definedName name="wld_bf_nsxt_admin_password">'Value Reference Tables'!$I$191</definedName>
    <definedName name="wld_bf_nsxt_audit_password">'Value Reference Tables'!$I$193</definedName>
    <definedName name="wld_bf_nsxt_configure_overlay_on_mgmt_pg_chosen">#REF!</definedName>
    <definedName name="wld_bf_nsxt_enable_edge_sync_chosen">#REF!</definedName>
    <definedName name="wld_bf_nsxt_mgra_fqdn">'Value Reference Tables'!$I$184</definedName>
    <definedName name="wld_bf_nsxt_mgrb_fqdn">'Value Reference Tables'!$I$185</definedName>
    <definedName name="wld_bf_nsxt_mgrc_fqdn">'Value Reference Tables'!$I$186</definedName>
    <definedName name="wld_bf_nsxt_root_password">'Value Reference Tables'!$I$192</definedName>
    <definedName name="wld_bf_nsxt_vip_fqdn">'Value Reference Tables'!$I$187</definedName>
    <definedName name="wld_bf_sddc_domain">'Value Reference Tables'!$I$194</definedName>
    <definedName name="wld_bf_vc_fqdn">'Value Reference Tables'!$I$176</definedName>
    <definedName name="wld_bf_vc_root_password">'Value Reference Tables'!$I$177</definedName>
    <definedName name="wld_bf_vc_sso_password">'Value Reference Tables'!$I$179</definedName>
    <definedName name="wld_bf_vc_sso_username">'Value Reference Tables'!$I$178</definedName>
    <definedName name="wld_bf_vcenter_type_chosen">#REF!</definedName>
    <definedName name="wld_bgp_chosen">#REF!</definedName>
    <definedName name="wld_bgp_result">#REF!</definedName>
    <definedName name="wld_centralized_connectivity_chosen">#REF!</definedName>
    <definedName name="wld_cl01_az1_mgmt_lbt_chosen">#REF!</definedName>
    <definedName name="wld_cl01_az1_mgmt_pg">'Value Reference Tables - MR'!$I$126</definedName>
    <definedName name="wld_cl01_az1_mgmt_uplink1_chosen">#REF!</definedName>
    <definedName name="wld_cl01_az1_mgmt_uplink2_chosen">#REF!</definedName>
    <definedName name="wld_cl01_az1_mgmt_vm_lbt_chosen">#REF!</definedName>
    <definedName name="wld_cl01_az1_mgmt_vm_pg">'Value Reference Tables - MR'!$I$125</definedName>
    <definedName name="wld_cl01_az1_mgmt_vm_uplink1_chosen">#REF!</definedName>
    <definedName name="wld_cl01_az1_mgmt_vm_uplink2_chosen">#REF!</definedName>
    <definedName name="wld_cl01_az1_nsx_lbt_chosen">#REF!</definedName>
    <definedName name="wld_cl01_az1_nsx_uplink_count">'Value Reference Tables'!$F$176</definedName>
    <definedName name="wld_cl01_az1_nsx_uplink1_chosen">#REF!</definedName>
    <definedName name="wld_cl01_az1_nsx_uplink2_chosen">#REF!</definedName>
    <definedName name="wld_cl01_az1_principal_storage_pg">'Value Reference Tables - MR'!$I$128</definedName>
    <definedName name="wld_cl01_az1_uplink01_pg">'Value Reference Tables - MR'!$I$131</definedName>
    <definedName name="wld_cl01_az1_uplink02_pg">'Value Reference Tables - MR'!$I$132</definedName>
    <definedName name="wld_cl01_az1_vm_pg">'Value Reference Tables'!$AD$31</definedName>
    <definedName name="wld_cl01_az1_vmotion_lbt_chosen">#REF!</definedName>
    <definedName name="wld_cl01_az1_vmotion_pg">'Value Reference Tables - MR'!$I$127</definedName>
    <definedName name="wld_cl01_az1_vmotion_uplink1_chosen">#REF!</definedName>
    <definedName name="wld_cl01_az1_vmotion_uplink2_chosen">#REF!</definedName>
    <definedName name="wld_cl01_az1_vsan_lbt_chosen">#REF!</definedName>
    <definedName name="wld_cl01_az1_vsan_storage_client_lbt_chosen">#REF!</definedName>
    <definedName name="wld_cl01_az1_vsan_storage_client_pg">'Value Reference Tables - MR'!$I$135</definedName>
    <definedName name="wld_cl01_az1_vsan_storage_client_uplink1_chosen">#REF!</definedName>
    <definedName name="wld_cl01_az1_vsan_storage_client_uplink2_chosen">#REF!</definedName>
    <definedName name="wld_cl01_az1_vsan_uplink1_chosen">#REF!</definedName>
    <definedName name="wld_cl01_az1_vsan_uplink2_chosen">#REF!</definedName>
    <definedName name="wld_cl01_az2_mgmt_pg">'Value Reference Tables - MR'!$I$395</definedName>
    <definedName name="wld_cl01_az2_principal_storage_pg">'Value Reference Tables - MR'!$I$397</definedName>
    <definedName name="wld_cl01_az2_uplink01_pg">'Value Reference Tables - MR'!$I$400</definedName>
    <definedName name="wld_cl01_az2_uplink02_pg">'Value Reference Tables - MR'!$I$401</definedName>
    <definedName name="wld_cl01_az2_vm_pg">'Value Reference Tables'!$AE$31</definedName>
    <definedName name="wld_cl01_az2_vmotion_pg">'Value Reference Tables - MR'!$I$396</definedName>
    <definedName name="wld_cl01_cluster">'Value Reference Tables'!$F$67</definedName>
    <definedName name="wld_cl01_cluster_sddc_id">'Value Reference Tables'!$O$64</definedName>
    <definedName name="wld_cl01_cluster_zn_name">'Value Reference Tables'!$F$183</definedName>
    <definedName name="wld_cl01_evc_mode">'Value Reference Tables'!$F$68</definedName>
    <definedName name="wld_cl01_image_name">'Value Reference Tables'!$F$151</definedName>
    <definedName name="wld_cl01_nfs_datastore_name">'Value Reference Tables'!$F$104</definedName>
    <definedName name="wld_cl01_nfs_server_address">'Value Reference Tables'!$F$106</definedName>
    <definedName name="wld_cl01_nfs_share_path">'Value Reference Tables'!$F$105</definedName>
    <definedName name="wld_cl01_nsxt_deployent_type_chosen">#REF!</definedName>
    <definedName name="wld_cl01_supervisor_control_plane_ip_range">'Value Reference Tables'!$F$184</definedName>
    <definedName name="wld_cl01_supervisor_dns">'Value Reference Tables'!$F$185</definedName>
    <definedName name="wld_cl01_supervisor_name">'Value Reference Tables'!$F$186</definedName>
    <definedName name="wld_cl01_supervisor_nsx_project">'Value Reference Tables'!$F$187</definedName>
    <definedName name="wld_cl01_supervisor_ntp">'Value Reference Tables'!$F$188</definedName>
    <definedName name="wld_cl01_supervisor_private_cidr">'Value Reference Tables'!$F$189</definedName>
    <definedName name="wld_cl01_supervisor_private_transit_gateway_cidr">'Value Reference Tables'!$F$190</definedName>
    <definedName name="wld_cl01_supervisor_service_cidr">'Value Reference Tables'!$F$191</definedName>
    <definedName name="wld_cl01_supervisor_use_mgmt_vmk_chosen">#REF!</definedName>
    <definedName name="wld_cl01_supervisor_vpc_profile">'Value Reference Tables'!$F$193</definedName>
    <definedName name="wld_cl01_vds_copy_profile_chosen">#REF!</definedName>
    <definedName name="wld_cl01_vds_name">'Value Reference Tables'!$O$65</definedName>
    <definedName name="wld_cl01_vds_profile_chosen">#REF!</definedName>
    <definedName name="wld_cl01_vds_standard_preconfigured_profiles">'Static Reference Tables'!$C$467:$C$471</definedName>
    <definedName name="wld_cl01_vds_vsanmax_preconfigured_profiles">'Static Reference Tables'!$B$467:$B$468</definedName>
    <definedName name="wld_cl01_vds01_lacp_mode_chosen">#REF!</definedName>
    <definedName name="wld_cl01_vds01_lacp_timeout_chosen">#REF!</definedName>
    <definedName name="wld_cl01_vds01_lag_lbt_chosen">#REF!</definedName>
    <definedName name="wld_cl01_vds01_lag_name">'Value Reference Tables'!$F$80</definedName>
    <definedName name="wld_cl01_vds01_link_type_chosen">#REF!</definedName>
    <definedName name="wld_cl01_vds01_mtu">'Value Reference Tables'!$F$77</definedName>
    <definedName name="wld_cl01_vds01_name">'Value Reference Tables'!$F$74</definedName>
    <definedName name="wld_cl01_vds01_pnics">'Value Reference Tables'!$F$75</definedName>
    <definedName name="wld_cl01_vds01_traffic_type">'Value Reference Tables'!$F$79</definedName>
    <definedName name="wld_cl01_vds01_uplink_count">'Value Reference Tables'!$F$76</definedName>
    <definedName name="wld_cl01_vds02_lacp_mode_chosen">#REF!</definedName>
    <definedName name="wld_cl01_vds02_lacp_timeout_chosen">#REF!</definedName>
    <definedName name="wld_cl01_vds02_lag_lbt_chosen">#REF!</definedName>
    <definedName name="wld_cl01_vds02_lag_name">'Value Reference Tables'!$F$88</definedName>
    <definedName name="wld_cl01_vds02_link_type_chosen">#REF!</definedName>
    <definedName name="wld_cl01_vds02_mtu">'Value Reference Tables'!$F$85</definedName>
    <definedName name="wld_cl01_vds02_name">'Value Reference Tables'!$F$82</definedName>
    <definedName name="wld_cl01_vds02_pnics">'Value Reference Tables'!$F$83</definedName>
    <definedName name="wld_cl01_vds02_traffic_type">'Value Reference Tables'!$F$87</definedName>
    <definedName name="wld_cl01_vds02_uplink_count">'Value Reference Tables'!$F$84</definedName>
    <definedName name="wld_cl01_vds03_lacp_mode_chosen">#REF!</definedName>
    <definedName name="wld_cl01_vds03_lacp_timeout_chosen">#REF!</definedName>
    <definedName name="wld_cl01_vds03_lag_lbt_chosen">#REF!</definedName>
    <definedName name="wld_cl01_vds03_lag_name">'Value Reference Tables'!$F$96</definedName>
    <definedName name="wld_cl01_vds03_link_type_chosen">#REF!</definedName>
    <definedName name="wld_cl01_vds03_mtu">'Value Reference Tables'!$F$91</definedName>
    <definedName name="wld_cl01_vds03_name">'Value Reference Tables'!$F$90</definedName>
    <definedName name="wld_cl01_vds03_pnics">'Value Reference Tables'!$F$92</definedName>
    <definedName name="wld_cl01_vds03_traffic_type">'Value Reference Tables'!$F$95</definedName>
    <definedName name="wld_cl01_vds03_uplink_count">'Value Reference Tables'!$F$93</definedName>
    <definedName name="wld_cl01_vmfs_datastore_name">'Value Reference Tables'!$F$103</definedName>
    <definedName name="wld_cl01_vsan_client_network">#REF!</definedName>
    <definedName name="wld_cl01_vsan_datastore">'Value Reference Tables'!$F$100</definedName>
    <definedName name="wld_cl01_vsan_dedupe_compression_chosen">#REF!</definedName>
    <definedName name="wld_cl01_vsan_dit_chosen">#REF!</definedName>
    <definedName name="wld_cl01_vsan_dit_rekey_type_chosen">#REF!</definedName>
    <definedName name="wld_cl01_vsan_ftt_chosen">#REF!</definedName>
    <definedName name="wld_cluster_compute_edge">'Static Reference Tables'!$B$420:$B$421</definedName>
    <definedName name="wld_cluster_compute_only">'Static Reference Tables'!$B$420</definedName>
    <definedName name="wld_cluster_edge">'Static Reference Tables'!$B$421</definedName>
    <definedName name="wld_compute_hosts_per_rack">'Value Reference Tables'!$F$8</definedName>
    <definedName name="wld_compute_hosts_per_rack_chosen">#REF!</definedName>
    <definedName name="wld_compute_hosts_per_rack_result">#REF!</definedName>
    <definedName name="wld_compute_total_number_hosts">'Value Reference Tables'!$F$9</definedName>
    <definedName name="wld_datacenter">'Value Reference Tables'!$O$87</definedName>
    <definedName name="wld_dedicated_edge_cluster_chosen_exclude">'Static Reference Tables'!$B$425</definedName>
    <definedName name="wld_dedicated_edge_cluster_chosen_include">'Static Reference Tables'!$B$424:$B$425</definedName>
    <definedName name="wld_domain_chosen">#REF!</definedName>
    <definedName name="wld_domain_deployment_type">#REF!</definedName>
    <definedName name="wld_domain_number_chosen">'Value Reference Tables'!$F$7</definedName>
    <definedName name="wld_domain_password_creation_chosen">#REF!</definedName>
    <definedName name="wld_domain_result">#REF!</definedName>
    <definedName name="wld_dpg_separation_chosen">#REF!</definedName>
    <definedName name="wld_dpg_separation_result">#REF!</definedName>
    <definedName name="wld_ec_api_chosen">#REF!</definedName>
    <definedName name="wld_ec_formfactor_chosen">#REF!</definedName>
    <definedName name="wld_ec_gateway_type">'Value Reference Tables'!$F$156</definedName>
    <definedName name="wld_ec_ip_assignment_chosen">#REF!</definedName>
    <definedName name="wld_ec_mtu">'Value Reference Tables'!$F$194</definedName>
    <definedName name="wld_ec_name">'Value Reference Tables'!$O$66</definedName>
    <definedName name="wld_ec_rp_name">'Value Reference Tables'!$F$157</definedName>
    <definedName name="wld_ec01_en01_host_group_affinity_rule_name">'Value Reference Tables'!$F$159</definedName>
    <definedName name="wld_ec01_en02_host_group_affinity_rule_name">'Value Reference Tables'!$F$160</definedName>
    <definedName name="wld_ec01_host_group_affinity_rule_chosen">#REF!</definedName>
    <definedName name="wld_ec01_use_host_overlay_chosen">#REF!</definedName>
    <definedName name="wld_en_asn">'Value Reference Tables - MR'!$I$115</definedName>
    <definedName name="wld_en01_bfd_chosen">#REF!</definedName>
    <definedName name="wld_en02_bfd_chosen">#REF!</definedName>
    <definedName name="wld_esx_root_password">'Value Reference Tables'!$C$232</definedName>
    <definedName name="wld_esx_root_username">'Value Reference Tables'!$L$40</definedName>
    <definedName name="wld_esxi_external_certs_chosen">#REF!</definedName>
    <definedName name="wld_esxi_external_certs_result">#REF!</definedName>
    <definedName name="wld_existing_active_nsx_gm">'Value Reference Tables'!$O$84</definedName>
    <definedName name="wld_existing_cross_instance_t0_name">'Value Reference Tables'!$O$85</definedName>
    <definedName name="wld_gateway_routing_type_chosen">#REF!</definedName>
    <definedName name="wld_host_overlay_addressing_chosen">#REF!</definedName>
    <definedName name="wld_iaas_chosen">#REF!</definedName>
    <definedName name="wld_iaas_result">#REF!</definedName>
    <definedName name="wld_iaas_service_chosen">'Value Reference Tables'!$F$171</definedName>
    <definedName name="wld_multi_rack_count_chosen">#REF!</definedName>
    <definedName name="wld_multi_rack_count_result">#REF!</definedName>
    <definedName name="wld_multirack_calc">'Value Reference Tables'!$E$10</definedName>
    <definedName name="wld_multirack_result">'Value Reference Tables'!$F$10</definedName>
    <definedName name="wld_nsx_default_operation_mode_chosen">#REF!</definedName>
    <definedName name="wld_nsx_ha_mode_chosen">#REF!</definedName>
    <definedName name="wld_nsx_operation_mode_chosen">#REF!</definedName>
    <definedName name="wld_nsx_overlay_transport_zone_chosen">#REF!</definedName>
    <definedName name="wld_nsx_vlan_transport_zone_chosen">#REF!</definedName>
    <definedName name="wld_nsx_vlan_transport_zone_name">'Value Reference Tables'!$F$177</definedName>
    <definedName name="wld_nsxt_appliance_size_chosen">#REF!</definedName>
    <definedName name="wld_nsxt_en_admin_password">'Value Reference Tables'!$F$195</definedName>
    <definedName name="wld_nsxt_en_root_password">'Value Reference Tables'!$F$196</definedName>
    <definedName name="wld_nsxt_federation_chosen">#REF!</definedName>
    <definedName name="wld_nsxt_federation_global_manager_name">'Value Reference Tables'!$O$79</definedName>
    <definedName name="wld_nsxt_federation_location_name">'Value Reference Tables'!$O$80</definedName>
    <definedName name="wld_nsxt_federation_result">#REF!</definedName>
    <definedName name="wld_nsxt_global_mgr_anti_affinity_rule_name">'Value Reference Tables'!$O$76</definedName>
    <definedName name="wld_nsxt_global_mgr_certificate_id">'Value Reference Tables'!$O$77</definedName>
    <definedName name="wld_nsxt_global_mgr_cluster_id">'Value Reference Tables'!$O$75</definedName>
    <definedName name="wld_nsxt_global_mgr_vmca_signed_thumbprint">'Value Reference Tables'!$O$74</definedName>
    <definedName name="wld_nsxt_global_mgra_fqdn">'Value Reference Tables'!$F$51</definedName>
    <definedName name="wld_nsxt_global_mgra_hostname">'Value Reference Tables'!$F$38</definedName>
    <definedName name="wld_nsxt_global_mgra_ip">'Value Reference Tables'!$F$20</definedName>
    <definedName name="wld_nsxt_global_mgrb_fqdn">'Value Reference Tables'!$F$52</definedName>
    <definedName name="wld_nsxt_global_mgrb_hostname">'Value Reference Tables'!$F$39</definedName>
    <definedName name="wld_nsxt_global_mgrb_ip">'Value Reference Tables'!$F$21</definedName>
    <definedName name="wld_nsxt_global_mgrc_fqdn">'Value Reference Tables'!$F$53</definedName>
    <definedName name="wld_nsxt_global_mgrc_hostname">'Value Reference Tables'!$F$40</definedName>
    <definedName name="wld_nsxt_global_mgrc_ip">'Value Reference Tables'!$F$22</definedName>
    <definedName name="wld_nsxt_gm_admin_password">'Value Reference Tables'!$L$25</definedName>
    <definedName name="wld_nsxt_gm_audit_password">'Value Reference Tables'!$L$26</definedName>
    <definedName name="wld_nsxt_gm_fingerprint">'Value Reference Tables'!$O$82</definedName>
    <definedName name="wld_nsxt_gm_hostname">'Value Reference Tables'!$F$37</definedName>
    <definedName name="wld_nsxt_gm_root_password">'Value Reference Tables'!$L$24</definedName>
    <definedName name="wld_nsxt_gm_vip_fqdn">'Value Reference Tables'!$F$50</definedName>
    <definedName name="wld_nsxt_gm_vip_ip">'Value Reference Tables'!$F$19</definedName>
    <definedName name="wld_nsxt_hostname">'Value Reference Tables'!$F$33</definedName>
    <definedName name="wld_nsxt_lm_admin_password">'Value Reference Tables'!$F$154</definedName>
    <definedName name="wld_nsxt_lm_audit_password">'Value Reference Tables'!$F$153</definedName>
    <definedName name="wld_nsxt_lm_fingerprint">'Value Reference Tables'!$O$81</definedName>
    <definedName name="wld_nsxt_mgra_fqdn">'Value Reference Tables'!$F$47</definedName>
    <definedName name="wld_nsxt_mgra_hostname">'Value Reference Tables'!$F$34</definedName>
    <definedName name="wld_nsxt_mgra_ip">'Value Reference Tables'!$F$16</definedName>
    <definedName name="wld_nsxt_mgrb_fqdn">'Value Reference Tables'!$F$48</definedName>
    <definedName name="wld_nsxt_mgrb_hostname">'Value Reference Tables'!$F$35</definedName>
    <definedName name="wld_nsxt_mgrb_ip">'Value Reference Tables'!$F$17</definedName>
    <definedName name="wld_nsxt_mgrc_fqdn">'Value Reference Tables'!$F$49</definedName>
    <definedName name="wld_nsxt_mgrc_hostname">'Value Reference Tables'!$F$36</definedName>
    <definedName name="wld_nsxt_mgrc_ip">'Value Reference Tables'!$F$18</definedName>
    <definedName name="wld_nsxt_vip_fqdn">'Value Reference Tables'!$F$46</definedName>
    <definedName name="wld_nsxt_vip_ip">'Value Reference Tables'!$F$15</definedName>
    <definedName name="wld_nsxt_xreg_t1_name">'Value Reference Tables'!$O$83</definedName>
    <definedName name="wld_principal_storage_chosen">#REF!</definedName>
    <definedName name="wld_principal_storage_result">#REF!</definedName>
    <definedName name="wld_rack2_en_asn">'Value Reference Tables - MR'!$L$115</definedName>
    <definedName name="wld_rack3_en_asn">'Value Reference Tables - MR'!$O$115</definedName>
    <definedName name="wld_rack4_en_asn">'Value Reference Tables - MR'!$R$115</definedName>
    <definedName name="wld_rack5_en_asn">'Value Reference Tables - MR'!$U$115</definedName>
    <definedName name="wld_rack6_en_asn">'Value Reference Tables - MR'!$X$115</definedName>
    <definedName name="wld_rack7_en_asn">'Value Reference Tables - MR'!$AA$115</definedName>
    <definedName name="wld_rack8_en_asn">'Value Reference Tables - MR'!$AD$115</definedName>
    <definedName name="wld_rtep_ip_pool_name">'Value Reference Tables'!$O$78</definedName>
    <definedName name="wld_rtep_overlay_pool_end_ip">'Value Reference Tables - MR'!$I$178</definedName>
    <definedName name="wld_rtep_overlay_pool_start_ip">'Value Reference Tables - MR'!$I$177</definedName>
    <definedName name="wld_rwr_az1_vrms_gateway_ip">'Value Reference Tables'!$U$202</definedName>
    <definedName name="wld_rwr_az1_vrms_gateway_mask">'Value Reference Tables'!$U$204</definedName>
    <definedName name="wld_rwr_cl02_cluster">'Value Reference Tables'!$U$191</definedName>
    <definedName name="wld_rwr_recovery_site_az1_vrms_cidr">'Value Reference Tables'!$U$203</definedName>
    <definedName name="wld_rwr_recovery_site_vc_fqdn">'Value Reference Tables'!$U$198</definedName>
    <definedName name="wld_rwr_recoverysite_fd">'Value Reference Tables'!$U$200</definedName>
    <definedName name="wld_rwr_recoverysite_prefix">'Value Reference Tables'!$U$201</definedName>
    <definedName name="wld_rwr_vc_fqdn">'Value Reference Tables'!$U$188</definedName>
    <definedName name="wld_rwr_vcfops_vlsr_username">'Value Reference Tables'!$U$206</definedName>
    <definedName name="wld_rwr_vcfops_vr_username">'Value Reference Tables'!$U$207</definedName>
    <definedName name="wld_sddc_domain">'Value Reference Tables'!$O$63</definedName>
    <definedName name="wld_secondary_storage_chosen">#REF!</definedName>
    <definedName name="wld_secondary_storage_result">#REF!</definedName>
    <definedName name="wld_signed_certs_chosen">#REF!</definedName>
    <definedName name="wld_signed_certs_result">#REF!</definedName>
    <definedName name="wld_srm_admin_email">'Value Reference Tables'!$U$111</definedName>
    <definedName name="wld_srm_admin_password">'Value Reference Tables'!$U$108</definedName>
    <definedName name="wld_srm_database_password">'Value Reference Tables'!$U$109</definedName>
    <definedName name="wld_srm_fqdn">'Value Reference Tables'!$R$128</definedName>
    <definedName name="wld_srm_hostname">'Value Reference Tables'!$R$118</definedName>
    <definedName name="wld_srm_ip">'Value Reference Tables'!$R$108</definedName>
    <definedName name="wld_srm_p12_password">'Value Reference Tables'!$U$112</definedName>
    <definedName name="wld_srm_recovery_vcenter_fqdn">'Value Reference Tables'!$U$114</definedName>
    <definedName name="wld_srm_recovery_vcenter_password">'Value Reference Tables'!$U$116</definedName>
    <definedName name="wld_srm_recovery_vcenter_username">'Value Reference Tables'!$U$115</definedName>
    <definedName name="wld_srm_root_password">'Value Reference Tables'!$U$107</definedName>
    <definedName name="wld_srm_site_name">'Value Reference Tables'!$U$110</definedName>
    <definedName name="wld_srm_sso_domain_membership">'Value Reference Tables'!$U$118</definedName>
    <definedName name="wld_srm_vm_folder">'Value Reference Tables'!$U$106</definedName>
    <definedName name="wld_srm_vm_size">'Value Reference Tables'!$U$113</definedName>
    <definedName name="wld_sso_domain_administrator">'Value Reference Tables'!$F$150</definedName>
    <definedName name="wld_sso_domain_administrator_password">'Value Reference Tables'!$F$149</definedName>
    <definedName name="wld_sso_domain_name">'Value Reference Tables'!$F$148</definedName>
    <definedName name="wld_stretched_cluster_chosen">#REF!</definedName>
    <definedName name="wld_stretched_cluster_result">#REF!</definedName>
    <definedName name="wld_supervisor_chosen">#REF!</definedName>
    <definedName name="wld_supervisor_result">#REF!</definedName>
    <definedName name="wld_supvr_api_server_fqdn">'Value Reference Tables'!$F$235</definedName>
    <definedName name="wld_supvr_cp_storage_policy">'Value Reference Tables'!$F$220</definedName>
    <definedName name="wld_supvr_ctrl_plane_ha_chosen">#REF!</definedName>
    <definedName name="wld_supvr_ctrl_plane_size_chosen">#REF!</definedName>
    <definedName name="wld_supvr_ed_storage_policy">'Value Reference Tables'!$F$221</definedName>
    <definedName name="wld_supvr_ic_storage_policy">'Value Reference Tables'!$F$222</definedName>
    <definedName name="wld_supvr_ip_address_range">'Value Reference Tables'!$F$223</definedName>
    <definedName name="wld_supvr_ip_mode_chosen">#REF!</definedName>
    <definedName name="wld_supvr_location_chosen">#REF!</definedName>
    <definedName name="wld_supvr_mgmt_dns_server">'Value Reference Tables'!$F$224</definedName>
    <definedName name="wld_supvr_mgmt_dns_zones">'Value Reference Tables'!$F$225</definedName>
    <definedName name="wld_supvr_mgmt_ntp_server">'Value Reference Tables'!$F$226</definedName>
    <definedName name="wld_supvr_name">'Value Reference Tables'!$F$218</definedName>
    <definedName name="wld_supvr_networking_stack_chosen">#REF!</definedName>
    <definedName name="wld_supvr_nsx_project">'Value Reference Tables'!$F$227</definedName>
    <definedName name="wld_supvr_vpc_connectivity_profile">'Value Reference Tables'!$F$228</definedName>
    <definedName name="wld_supvr_vpc_ext_ip_blocks_name">'Value Reference Tables'!$F$229</definedName>
    <definedName name="wld_supvr_vpc_priv_cidr">'Value Reference Tables'!$F$231</definedName>
    <definedName name="wld_supvr_vpc_priv_ip_blocks_name">'Value Reference Tables'!$F$230</definedName>
    <definedName name="wld_supvr_vpc_service_cidr">'Value Reference Tables'!$F$232</definedName>
    <definedName name="wld_supvr_wld_dns_server">'Value Reference Tables'!$F$233</definedName>
    <definedName name="wld_supvr_wld_ntp_server">'Value Reference Tables'!$F$234</definedName>
    <definedName name="wld_supvr_zone_name">'Value Reference Tables'!$F$219</definedName>
    <definedName name="wld_tier0_ha_chosen">#REF!</definedName>
    <definedName name="wld_tier0_name">'Value Reference Tables'!$O$68</definedName>
    <definedName name="wld_vc_fqdn">'Value Reference Tables'!$F$45</definedName>
    <definedName name="wld_vc_hostname">'Value Reference Tables'!$F$32</definedName>
    <definedName name="wld_vc_ip">'Value Reference Tables'!$F$14</definedName>
    <definedName name="wld_vcenter_root_password">'Value Reference Tables'!$C$233</definedName>
    <definedName name="wld_vlr_fqdn">'Value Reference Tables'!$U$190</definedName>
    <definedName name="wld_vlr_hostname">'Value Reference Tables'!$U$189</definedName>
    <definedName name="wld_vlr_replication_user">'Value Reference Tables'!$U$194</definedName>
    <definedName name="wld_vna_ip_assignment_address_type_chosen">#REF!</definedName>
    <definedName name="wld_vna_ip_assignment_chosen">#REF!</definedName>
    <definedName name="wld_vna_rp_name">'Value Reference Tables'!$F$215</definedName>
    <definedName name="wld_vnaa_fqdn">'Value Reference Tables'!$F$211</definedName>
    <definedName name="wld_vnaa_ip">'Value Reference Tables'!$F$27</definedName>
    <definedName name="wld_vnab_fqdn">'Value Reference Tables'!$F$212</definedName>
    <definedName name="wld_vnab_ip">'Value Reference Tables'!$F$28</definedName>
    <definedName name="wld_vpc_ext_ip_blocks">'Value Reference Tables'!$O$70</definedName>
    <definedName name="wld_vpc_ext_ip_blocks_cidr">'Value Reference Tables'!$F$202</definedName>
    <definedName name="wld_vpc_ext_ip_blocks_excluded_ips">'Value Reference Tables'!$F$203</definedName>
    <definedName name="wld_vpc_ext_ip_blocks_name">'Value Reference Tables'!$F$200</definedName>
    <definedName name="wld_vpc_ext_ip_blocks_reserved">'Value Reference Tables'!$F$204</definedName>
    <definedName name="wld_vpc_ext_ip_blocks_visability">'Value Reference Tables'!$F$201</definedName>
    <definedName name="wld_vpc_priv_ip_blocks_excluded_ips">'Value Reference Tables'!$F$208</definedName>
    <definedName name="wld_vpc_priv_ip_blocks_name">'Value Reference Tables'!$F$205</definedName>
    <definedName name="wld_vpc_priv_ip_blocks_reserved">'Value Reference Tables'!$F$209</definedName>
    <definedName name="wld_vpc_priv_ip_blocks_visability">'Value Reference Tables'!$F$206</definedName>
    <definedName name="wld_vpc_transit_gateway_ip_blocks">'Value Reference Tables'!$O$71</definedName>
    <definedName name="wld_vpc_transit_gateway_ip_blocks_cidr">'Value Reference Tables'!$F$207</definedName>
    <definedName name="wld_vpc_vna_cluster_name">'Value Reference Tables'!$F$210</definedName>
    <definedName name="wld_vpc_vna_cluster_size_chosen">#REF!</definedName>
    <definedName name="wld_vrms_admin_email">'Value Reference Tables'!$U$103</definedName>
    <definedName name="wld_vrms_admin_password">'Value Reference Tables'!$U$101</definedName>
    <definedName name="wld_vrms_fqdn">'Value Reference Tables'!$R$127</definedName>
    <definedName name="wld_vrms_hostname">'Value Reference Tables'!$R$117</definedName>
    <definedName name="wld_vrms_mask">'Value Reference Tables'!$AA$15</definedName>
    <definedName name="wld_vrms_mgmt_ip">'Value Reference Tables'!$R$106</definedName>
    <definedName name="wld_vrms_p12_password">'Value Reference Tables'!$U$105</definedName>
    <definedName name="wld_vrms_pg">'Value Reference Tables'!$U$104</definedName>
    <definedName name="wld_vrms_recovery_replication_cidr">'Value Reference Tables'!$U$117</definedName>
    <definedName name="wld_vrms_root_password">'Value Reference Tables'!$U$100</definedName>
    <definedName name="wld_vrms_site_name">'Value Reference Tables'!$U$102</definedName>
    <definedName name="wld_vrms_vm_folder">'Value Reference Tables'!$U$99</definedName>
    <definedName name="wld_vrms_vrms_ip">'Value Reference Tables'!$R$107</definedName>
    <definedName name="wld_vsan_type">'Value Reference Tables'!$F$174</definedName>
    <definedName name="wld_vsan_type_chosen">#REF!</definedName>
    <definedName name="wld_witness_az_mgmt_mask">'Value Reference Tables'!$AA$12</definedName>
    <definedName name="wld_witness_cluster">'Value Reference Tables'!$F$125</definedName>
    <definedName name="wld_witness_dns1_ip">'Value Reference Tables'!$F$127</definedName>
    <definedName name="wld_witness_dns2_ip">'Value Reference Tables'!$F$128</definedName>
    <definedName name="wld_witness_fqdn">'Value Reference Tables'!$F$63</definedName>
    <definedName name="wld_witness_hostname">'Value Reference Tables'!$F$111</definedName>
    <definedName name="wld_witness_ip">'Value Reference Tables'!$F$136</definedName>
    <definedName name="wld_witness_mgmt_ip">'Value Reference Tables'!$F$135</definedName>
    <definedName name="wld_witness_mgmt_pg">'Value Reference Tables'!$X$36</definedName>
    <definedName name="wld_witness_ntp1_server">'Value Reference Tables'!$F$129</definedName>
    <definedName name="wld_witness_ntp2_server">'Value Reference Tables'!$F$130</definedName>
    <definedName name="wld_witness_root_password">'Value Reference Tables'!$L$35</definedName>
    <definedName name="wld_witness_vc_fqdn">'Value Reference Tables'!$F$62</definedName>
    <definedName name="wld_witness_vm_folder">'Value Reference Tables'!$F$126</definedName>
    <definedName name="wld_witness_vsan_datastore">'Value Reference Tables'!$F$124</definedName>
    <definedName name="wld_witness_zone_vc_fqdn">'Value Reference Tables'!$F$137</definedName>
    <definedName name="wld_witness_zone_vc_hostname">'Value Reference Tables'!$F$110</definedName>
    <definedName name="wld_witness_zone_vc_ip">'Value Reference Tables'!$F$134</definedName>
    <definedName name="wld_witnessaz_gateway_ip">'Value Reference Tables'!$X$44</definedName>
    <definedName name="wld_witnessaz_mgmt_cidr">'Value Reference Tables'!$F$138</definedName>
    <definedName name="wld_witnessaz_mgmt_gateway_ip">'Value Reference Tables'!$F$139</definedName>
    <definedName name="wld_witnessaz_mgmt_mask">'Value Reference Tables'!$F$141</definedName>
    <definedName name="wld_witnessaz_mgmt_mtu">'Value Reference Tables'!$X$48</definedName>
    <definedName name="wld_witnessaz_mgmt_network">'Value Reference Tables'!$F$140</definedName>
    <definedName name="wld_witnessaz_mgmt_vlan">'Value Reference Tables'!$X$32</definedName>
    <definedName name="workload_descriptor">'Value Reference Tables'!$AA$21</definedName>
    <definedName name="xreg_vra_admin_password">'Value Reference Tables'!$C$234</definedName>
    <definedName name="xreg_vra_k8s_cluster_cidr_chosen">#REF!</definedName>
    <definedName name="xreg_vra_nodea_ip">'Value Reference Tables'!$R$35</definedName>
    <definedName name="xreg_vra_nodeb_ip">'Value Reference Tables'!$R$36</definedName>
    <definedName name="xreg_vra_nodec_ip">'Value Reference Tables'!$R$37</definedName>
    <definedName name="xreg_vra_noded_ip">'Value Reference Tables'!$R$38</definedName>
    <definedName name="xreg_vra_nodee_ip">'Value Reference Tables'!$R$39</definedName>
    <definedName name="xreg_vra_nodef_ip">'Value Reference Tables'!$R$40</definedName>
    <definedName name="xreg_vra_prefix">'Value Reference Tables'!$F$142</definedName>
    <definedName name="xreg_vra_virtual_fqdn">'Value Reference Tables'!$R$49</definedName>
    <definedName name="xreg_vra_virtual_hostname">'Value Reference Tables'!$R$45</definedName>
    <definedName name="xreg_vra_virtual_ip">'Value Reference Tables'!$R$34</definedName>
    <definedName name="xreg_vra_vm_folder">'Dumping Ground'!$D$107</definedName>
    <definedName name="xreg_vrni_nodea_hostname">'Value Reference Tables'!$R$137</definedName>
    <definedName name="xreg_vrni_nodea_ip">'Value Reference Tables'!$R$132</definedName>
    <definedName name="xreg_vrops_admin_password">'Value Reference Tables'!$C$235</definedName>
    <definedName name="xreg_vrops_collector_fqdn">'Value Reference Tables'!$R$95</definedName>
    <definedName name="xreg_vrops_collector_hostname">'Value Reference Tables'!$R$87</definedName>
    <definedName name="xreg_vrops_collector_ip">'Value Reference Tables'!$F$143</definedName>
    <definedName name="xreg_vrops_collector_root_password">'Value Reference Tables'!$L$39</definedName>
    <definedName name="xreg_vrops_nodea_fqdn">'Value Reference Tables'!$R$92</definedName>
    <definedName name="xreg_vrops_nodea_hostname">'Value Reference Tables'!$R$84</definedName>
    <definedName name="xreg_vrops_nodea_ip">'Value Reference Tables'!$R$76</definedName>
    <definedName name="xreg_vrops_nodeb_fqdn">'Value Reference Tables'!$R$93</definedName>
    <definedName name="xreg_vrops_nodeb_hostname">'Value Reference Tables'!$R$85</definedName>
    <definedName name="xreg_vrops_nodeb_ip">'Value Reference Tables'!$R$77</definedName>
    <definedName name="xreg_vrops_nodec_fqdn">'Value Reference Tables'!$R$94</definedName>
    <definedName name="xreg_vrops_nodec_hostname">'Value Reference Tables'!$R$86</definedName>
    <definedName name="xreg_vrops_nodec_ip">'Value Reference Tables'!$R$78</definedName>
    <definedName name="xreg_vrops_root_password">'Value Reference Tables'!$C$236</definedName>
    <definedName name="xreg_vrops_srm_sso_password">'Value Reference Tables'!$U$56</definedName>
    <definedName name="xreg_vrops_srm_sso_username">'Value Reference Tables'!$U$55</definedName>
    <definedName name="xreg_vrops_virtual_fqdn">'Value Reference Tables'!$R$91</definedName>
    <definedName name="xreg_vrops_virtual_hostname">'Value Reference Tables'!$R$83</definedName>
    <definedName name="xreg_vrops_virtual_ip">'Value Reference Tables'!$R$75</definedName>
    <definedName name="xreg_vrops_vm_folder">'Dumping Ground'!$D$106</definedName>
    <definedName name="xreg_vrops_vrms_sso_password">'Value Reference Tables'!$U$54</definedName>
    <definedName name="xreg_vrops_vrms_sso_username">'Value Reference Tables'!$U$53</definedName>
    <definedName name="xreg_vrslcm_fqdn">'Value Reference Tables'!$R$16</definedName>
    <definedName name="xreg_vrslcm_hostname">'Value Reference Tables'!$R$12</definedName>
    <definedName name="xreg_vrslcm_ip">'Value Reference Tables'!$R$8</definedName>
    <definedName name="xreg_wsa_vm_folder">'Dumping Ground'!$D$105</definedName>
    <definedName name="xregion_dns1_ip">'Value Reference Tables'!$L$53</definedName>
    <definedName name="xregion_dns2_ip">'Value Reference Tables'!$L$54</definedName>
    <definedName name="xregion_ntp1_server">'Value Reference Tables'!$L$47</definedName>
    <definedName name="xregion_ntp2_server">'Value Reference Tables'!$L$48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3" l="1"/>
  <c r="B8" i="23"/>
  <c r="B7" i="23"/>
  <c r="B6" i="23"/>
  <c r="B5" i="23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L41" i="21"/>
  <c r="L40" i="21"/>
  <c r="L39" i="21"/>
  <c r="L38" i="21"/>
  <c r="L37" i="21"/>
  <c r="L36" i="21"/>
  <c r="L35" i="21"/>
  <c r="L34" i="21"/>
  <c r="L33" i="21"/>
  <c r="L32" i="21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L2" i="21"/>
  <c r="D229" i="18"/>
  <c r="D228" i="18"/>
  <c r="D227" i="18"/>
  <c r="D223" i="18"/>
  <c r="C223" i="18"/>
  <c r="C222" i="18"/>
  <c r="D221" i="18"/>
  <c r="C221" i="18"/>
  <c r="D220" i="18"/>
  <c r="C220" i="18"/>
  <c r="D219" i="18"/>
  <c r="C219" i="18"/>
  <c r="D218" i="18"/>
  <c r="C218" i="18"/>
  <c r="C212" i="18"/>
  <c r="C210" i="18"/>
  <c r="D210" i="18" s="1"/>
  <c r="D209" i="18"/>
  <c r="C209" i="18"/>
  <c r="C208" i="18"/>
  <c r="D199" i="18"/>
  <c r="C197" i="18"/>
  <c r="C192" i="18"/>
  <c r="C191" i="18"/>
  <c r="C190" i="18"/>
  <c r="C189" i="18"/>
  <c r="C187" i="18"/>
  <c r="C185" i="18"/>
  <c r="C183" i="18"/>
  <c r="C179" i="18"/>
  <c r="C178" i="18"/>
  <c r="C177" i="18"/>
  <c r="C175" i="18"/>
  <c r="C174" i="18"/>
  <c r="C173" i="18"/>
  <c r="C170" i="18"/>
  <c r="C169" i="18"/>
  <c r="C168" i="18"/>
  <c r="C167" i="18"/>
  <c r="C165" i="18"/>
  <c r="C164" i="18"/>
  <c r="C163" i="18"/>
  <c r="C161" i="18"/>
  <c r="C157" i="18"/>
  <c r="C156" i="18"/>
  <c r="C155" i="18"/>
  <c r="C154" i="18"/>
  <c r="C150" i="18"/>
  <c r="D149" i="18"/>
  <c r="D148" i="18"/>
  <c r="D147" i="18"/>
  <c r="C146" i="18"/>
  <c r="C145" i="18"/>
  <c r="C139" i="18"/>
  <c r="C138" i="18"/>
  <c r="C134" i="18"/>
  <c r="C129" i="18"/>
  <c r="C128" i="18"/>
  <c r="C126" i="18"/>
  <c r="C125" i="18"/>
  <c r="C123" i="18"/>
  <c r="C121" i="18"/>
  <c r="C120" i="18"/>
  <c r="C118" i="18"/>
  <c r="C116" i="18"/>
  <c r="C115" i="18"/>
  <c r="C114" i="18"/>
  <c r="C111" i="18"/>
  <c r="C110" i="18"/>
  <c r="C109" i="18"/>
  <c r="C108" i="18"/>
  <c r="C107" i="18"/>
  <c r="C104" i="18"/>
  <c r="C102" i="18"/>
  <c r="D101" i="18"/>
  <c r="C97" i="18"/>
  <c r="C92" i="18"/>
  <c r="D91" i="18"/>
  <c r="D90" i="18"/>
  <c r="D89" i="18"/>
  <c r="C88" i="18"/>
  <c r="C87" i="18"/>
  <c r="C82" i="18"/>
  <c r="C81" i="18"/>
  <c r="C80" i="18"/>
  <c r="C79" i="18"/>
  <c r="C78" i="18"/>
  <c r="C77" i="18"/>
  <c r="C76" i="18"/>
  <c r="D75" i="18"/>
  <c r="C70" i="18"/>
  <c r="C64" i="18"/>
  <c r="C63" i="18"/>
  <c r="C58" i="18"/>
  <c r="C57" i="18"/>
  <c r="C53" i="18"/>
  <c r="C52" i="18"/>
  <c r="C50" i="18"/>
  <c r="C46" i="18"/>
  <c r="C45" i="18"/>
  <c r="C168" i="17"/>
  <c r="C166" i="17"/>
  <c r="D166" i="17" s="1"/>
  <c r="D165" i="17"/>
  <c r="C165" i="17"/>
  <c r="C164" i="17"/>
  <c r="D156" i="17"/>
  <c r="C155" i="17"/>
  <c r="C154" i="17"/>
  <c r="D153" i="17"/>
  <c r="D148" i="17"/>
  <c r="C144" i="17"/>
  <c r="C143" i="17"/>
  <c r="C142" i="17"/>
  <c r="D140" i="17"/>
  <c r="C134" i="17"/>
  <c r="C133" i="17"/>
  <c r="C126" i="17"/>
  <c r="C125" i="17"/>
  <c r="C124" i="17"/>
  <c r="C120" i="17"/>
  <c r="C119" i="17"/>
  <c r="C118" i="17"/>
  <c r="C117" i="17"/>
  <c r="D116" i="17"/>
  <c r="C116" i="17"/>
  <c r="C115" i="17"/>
  <c r="D113" i="17"/>
  <c r="C108" i="17" a="1"/>
  <c r="C108" i="17" s="1"/>
  <c r="C107" i="17" a="1"/>
  <c r="C107" i="17"/>
  <c r="C106" i="17"/>
  <c r="C105" i="17"/>
  <c r="C104" i="17"/>
  <c r="D102" i="17"/>
  <c r="D100" i="17"/>
  <c r="C99" i="17"/>
  <c r="C98" i="17"/>
  <c r="C97" i="17"/>
  <c r="C94" i="17"/>
  <c r="C93" i="17" a="1"/>
  <c r="C93" i="17"/>
  <c r="C86" i="17" a="1"/>
  <c r="C86" i="17"/>
  <c r="C85" i="17"/>
  <c r="C80" i="17" a="1"/>
  <c r="C80" i="17"/>
  <c r="C79" i="17"/>
  <c r="C74" i="17"/>
  <c r="C69" i="17" a="1"/>
  <c r="C69" i="17"/>
  <c r="D68" i="17"/>
  <c r="D67" i="17"/>
  <c r="D66" i="17"/>
  <c r="C65" i="17" a="1"/>
  <c r="C65" i="17" s="1"/>
  <c r="C64" i="17" a="1"/>
  <c r="C64" i="17"/>
  <c r="C59" i="17" a="1"/>
  <c r="C59" i="17" s="1"/>
  <c r="C58" i="17" a="1"/>
  <c r="C58" i="17"/>
  <c r="C57" i="17" a="1"/>
  <c r="C57" i="17"/>
  <c r="C56" i="17" a="1"/>
  <c r="C56" i="17" s="1"/>
  <c r="C55" i="17" a="1"/>
  <c r="C55" i="17" s="1"/>
  <c r="C54" i="17" a="1"/>
  <c r="C54" i="17" s="1"/>
  <c r="C53" i="17" a="1"/>
  <c r="C53" i="17"/>
  <c r="D52" i="17"/>
  <c r="C47" i="17"/>
  <c r="C46" i="17"/>
  <c r="C35" i="17"/>
  <c r="C127" i="17" s="1"/>
  <c r="C112" i="16"/>
  <c r="C108" i="16"/>
  <c r="C104" i="16"/>
  <c r="C100" i="16"/>
  <c r="C86" i="16"/>
  <c r="C70" i="16"/>
  <c r="C69" i="16"/>
  <c r="D65" i="16"/>
  <c r="D61" i="16"/>
  <c r="D60" i="16"/>
  <c r="C54" i="16"/>
  <c r="C53" i="16"/>
  <c r="C40" i="16"/>
  <c r="E230" i="15"/>
  <c r="E229" i="15"/>
  <c r="E228" i="15"/>
  <c r="E227" i="15"/>
  <c r="E226" i="15"/>
  <c r="E225" i="15"/>
  <c r="E224" i="15"/>
  <c r="E223" i="15"/>
  <c r="E222" i="15"/>
  <c r="E221" i="15"/>
  <c r="E220" i="15"/>
  <c r="E219" i="15"/>
  <c r="E218" i="15"/>
  <c r="E217" i="15"/>
  <c r="E216" i="15"/>
  <c r="E215" i="15"/>
  <c r="E210" i="15"/>
  <c r="E209" i="15"/>
  <c r="E208" i="15"/>
  <c r="E207" i="15"/>
  <c r="E206" i="15"/>
  <c r="E205" i="15"/>
  <c r="C169" i="15"/>
  <c r="D164" i="15"/>
  <c r="H161" i="15"/>
  <c r="G161" i="15"/>
  <c r="E161" i="15"/>
  <c r="D161" i="15"/>
  <c r="H160" i="15"/>
  <c r="G160" i="15"/>
  <c r="F160" i="15"/>
  <c r="E160" i="15"/>
  <c r="D160" i="15"/>
  <c r="C160" i="15"/>
  <c r="H144" i="15"/>
  <c r="C144" i="15"/>
  <c r="H143" i="15"/>
  <c r="C143" i="15"/>
  <c r="C139" i="15"/>
  <c r="E107" i="15"/>
  <c r="E106" i="15"/>
  <c r="E105" i="15"/>
  <c r="E104" i="15"/>
  <c r="E98" i="15"/>
  <c r="E93" i="15"/>
  <c r="E92" i="15"/>
  <c r="E91" i="15"/>
  <c r="E90" i="15"/>
  <c r="E89" i="15"/>
  <c r="E88" i="15"/>
  <c r="E87" i="15"/>
  <c r="E86" i="15"/>
  <c r="H61" i="15"/>
  <c r="G61" i="15"/>
  <c r="F61" i="15"/>
  <c r="E61" i="15"/>
  <c r="D61" i="15"/>
  <c r="C61" i="15"/>
  <c r="C56" i="15"/>
  <c r="C55" i="15"/>
  <c r="C54" i="15"/>
  <c r="C53" i="15"/>
  <c r="C52" i="15"/>
  <c r="C51" i="15"/>
  <c r="C50" i="15"/>
  <c r="C45" i="15"/>
  <c r="H44" i="15"/>
  <c r="G44" i="15"/>
  <c r="F44" i="15"/>
  <c r="E44" i="15"/>
  <c r="H43" i="15"/>
  <c r="G43" i="15"/>
  <c r="F43" i="15"/>
  <c r="E43" i="15"/>
  <c r="H42" i="15"/>
  <c r="G42" i="15"/>
  <c r="F42" i="15"/>
  <c r="E42" i="15"/>
  <c r="D42" i="15"/>
  <c r="C42" i="15"/>
  <c r="H41" i="15"/>
  <c r="G41" i="15"/>
  <c r="F41" i="15" a="1"/>
  <c r="F41" i="15" s="1"/>
  <c r="E41" i="15"/>
  <c r="H40" i="15"/>
  <c r="G40" i="15"/>
  <c r="D40" i="15"/>
  <c r="H39" i="15"/>
  <c r="G39" i="15"/>
  <c r="D39" i="15"/>
  <c r="H38" i="15"/>
  <c r="G38" i="15"/>
  <c r="D38" i="15"/>
  <c r="H37" i="15"/>
  <c r="G37" i="15"/>
  <c r="E37" i="15"/>
  <c r="D37" i="15"/>
  <c r="H36" i="15"/>
  <c r="G36" i="15"/>
  <c r="F36" i="15"/>
  <c r="E36" i="15"/>
  <c r="D36" i="15"/>
  <c r="C36" i="15"/>
  <c r="C20" i="15"/>
  <c r="C19" i="15"/>
  <c r="G16" i="15"/>
  <c r="F16" i="15" a="1"/>
  <c r="F16" i="15" s="1"/>
  <c r="E16" i="15"/>
  <c r="C15" i="15" a="1"/>
  <c r="C15" i="15"/>
  <c r="D11" i="15"/>
  <c r="C250" i="14"/>
  <c r="C241" i="14"/>
  <c r="C240" i="14"/>
  <c r="C239" i="14"/>
  <c r="C228" i="14"/>
  <c r="C227" i="14"/>
  <c r="C221" i="14"/>
  <c r="D211" i="14"/>
  <c r="C176" i="14"/>
  <c r="C174" i="14"/>
  <c r="D169" i="14"/>
  <c r="D162" i="14"/>
  <c r="C144" i="14"/>
  <c r="C173" i="14" s="1"/>
  <c r="C143" i="14"/>
  <c r="D142" i="14"/>
  <c r="C137" i="14"/>
  <c r="C134" i="14"/>
  <c r="C110" i="14"/>
  <c r="D108" i="14"/>
  <c r="C106" i="14"/>
  <c r="C102" i="14"/>
  <c r="C98" i="14"/>
  <c r="E97" i="14"/>
  <c r="D96" i="14"/>
  <c r="C91" i="14"/>
  <c r="C89" i="14"/>
  <c r="C88" i="14"/>
  <c r="C86" i="14"/>
  <c r="C85" i="14"/>
  <c r="C83" i="14"/>
  <c r="C80" i="14"/>
  <c r="C79" i="14"/>
  <c r="E78" i="14"/>
  <c r="C78" i="14"/>
  <c r="C97" i="14" s="1"/>
  <c r="E71" i="14"/>
  <c r="E70" i="14"/>
  <c r="C70" i="14"/>
  <c r="C171" i="14" s="1"/>
  <c r="D69" i="14"/>
  <c r="C62" i="14"/>
  <c r="C61" i="14"/>
  <c r="C51" i="14"/>
  <c r="C32" i="14"/>
  <c r="C22" i="14"/>
  <c r="C19" i="14"/>
  <c r="C18" i="14"/>
  <c r="C14" i="14"/>
  <c r="C13" i="14"/>
  <c r="C12" i="14"/>
  <c r="C10" i="14"/>
  <c r="C531" i="13"/>
  <c r="C520" i="13"/>
  <c r="C519" i="13"/>
  <c r="C518" i="13"/>
  <c r="C517" i="13"/>
  <c r="C509" i="13"/>
  <c r="C508" i="13"/>
  <c r="C507" i="13"/>
  <c r="C506" i="13"/>
  <c r="C502" i="13"/>
  <c r="C496" i="13"/>
  <c r="D491" i="13"/>
  <c r="C490" i="13"/>
  <c r="D489" i="13"/>
  <c r="C488" i="13"/>
  <c r="C487" i="13"/>
  <c r="C477" i="13"/>
  <c r="C469" i="13"/>
  <c r="C467" i="13"/>
  <c r="C466" i="13"/>
  <c r="C464" i="13"/>
  <c r="C461" i="13"/>
  <c r="C458" i="13"/>
  <c r="D456" i="13"/>
  <c r="D455" i="13"/>
  <c r="D453" i="13"/>
  <c r="C443" i="13"/>
  <c r="C442" i="13"/>
  <c r="C440" i="13"/>
  <c r="C439" i="13"/>
  <c r="C438" i="13"/>
  <c r="C437" i="13"/>
  <c r="C436" i="13"/>
  <c r="C433" i="13"/>
  <c r="D431" i="13"/>
  <c r="C431" i="13"/>
  <c r="C430" i="13"/>
  <c r="C418" i="13"/>
  <c r="C416" i="13"/>
  <c r="C415" i="13"/>
  <c r="C413" i="13"/>
  <c r="C410" i="13"/>
  <c r="C408" i="13"/>
  <c r="C407" i="13"/>
  <c r="D405" i="13"/>
  <c r="D402" i="13"/>
  <c r="D401" i="13" a="1"/>
  <c r="D401" i="13"/>
  <c r="C392" i="13"/>
  <c r="C391" i="13"/>
  <c r="C389" i="13"/>
  <c r="C388" i="13"/>
  <c r="C387" i="13"/>
  <c r="C386" i="13"/>
  <c r="C385" i="13"/>
  <c r="C382" i="13"/>
  <c r="D380" i="13"/>
  <c r="C380" i="13"/>
  <c r="C379" i="13"/>
  <c r="C376" i="13"/>
  <c r="C372" i="13"/>
  <c r="C361" i="13"/>
  <c r="C358" i="13"/>
  <c r="C357" i="13"/>
  <c r="C356" i="13"/>
  <c r="C355" i="13"/>
  <c r="C353" i="13"/>
  <c r="C352" i="13"/>
  <c r="C351" i="13"/>
  <c r="C350" i="13"/>
  <c r="C347" i="13"/>
  <c r="C346" i="13"/>
  <c r="C345" i="13"/>
  <c r="C344" i="13"/>
  <c r="C336" i="13"/>
  <c r="C335" i="13"/>
  <c r="C334" i="13"/>
  <c r="C332" i="13"/>
  <c r="C331" i="13"/>
  <c r="C330" i="13"/>
  <c r="C328" i="13"/>
  <c r="C327" i="13"/>
  <c r="C326" i="13"/>
  <c r="C318" i="13"/>
  <c r="C317" i="13"/>
  <c r="C316" i="13"/>
  <c r="C315" i="13"/>
  <c r="C306" i="13"/>
  <c r="C305" i="13"/>
  <c r="C304" i="13"/>
  <c r="C302" i="13"/>
  <c r="C301" i="13"/>
  <c r="C300" i="13"/>
  <c r="C293" i="13"/>
  <c r="C292" i="13"/>
  <c r="C291" i="13"/>
  <c r="C290" i="13"/>
  <c r="C281" i="13"/>
  <c r="C280" i="13"/>
  <c r="C279" i="13"/>
  <c r="C277" i="13"/>
  <c r="C276" i="13"/>
  <c r="C275" i="13"/>
  <c r="C268" i="13"/>
  <c r="C267" i="13"/>
  <c r="C266" i="13"/>
  <c r="C265" i="13"/>
  <c r="C264" i="13"/>
  <c r="C251" i="13"/>
  <c r="C250" i="13"/>
  <c r="C249" i="13"/>
  <c r="C248" i="13"/>
  <c r="C348" i="13" s="1"/>
  <c r="C236" i="13"/>
  <c r="D225" i="13"/>
  <c r="C218" i="13"/>
  <c r="C160" i="13"/>
  <c r="C153" i="13"/>
  <c r="C152" i="13"/>
  <c r="C151" i="13"/>
  <c r="C149" i="13"/>
  <c r="C148" i="13"/>
  <c r="C142" i="13"/>
  <c r="C141" i="13"/>
  <c r="C134" i="13"/>
  <c r="C124" i="13"/>
  <c r="C123" i="13"/>
  <c r="C122" i="13"/>
  <c r="C121" i="13"/>
  <c r="C120" i="13"/>
  <c r="C112" i="13"/>
  <c r="C107" i="13"/>
  <c r="C106" i="13"/>
  <c r="C90" i="13"/>
  <c r="D76" i="13"/>
  <c r="C75" i="13"/>
  <c r="D68" i="13"/>
  <c r="C67" i="13"/>
  <c r="C61" i="13"/>
  <c r="D60" i="13"/>
  <c r="C59" i="13"/>
  <c r="C54" i="13"/>
  <c r="C45" i="13"/>
  <c r="C40" i="13"/>
  <c r="C62" i="13" s="1"/>
  <c r="C39" i="13"/>
  <c r="C38" i="13"/>
  <c r="C37" i="13"/>
  <c r="C36" i="13"/>
  <c r="C53" i="13" s="1"/>
  <c r="C35" i="13"/>
  <c r="C51" i="13" s="1"/>
  <c r="C34" i="13"/>
  <c r="C33" i="13"/>
  <c r="C32" i="13"/>
  <c r="D30" i="13"/>
  <c r="C21" i="13"/>
  <c r="C13" i="13"/>
  <c r="E562" i="12"/>
  <c r="E561" i="12"/>
  <c r="B555" i="12"/>
  <c r="E554" i="12"/>
  <c r="E553" i="12"/>
  <c r="B547" i="12"/>
  <c r="E546" i="12"/>
  <c r="E545" i="12"/>
  <c r="B539" i="12"/>
  <c r="E538" i="12"/>
  <c r="E537" i="12"/>
  <c r="B531" i="12"/>
  <c r="E530" i="12"/>
  <c r="E529" i="12"/>
  <c r="B523" i="12"/>
  <c r="E522" i="12"/>
  <c r="E521" i="12"/>
  <c r="B515" i="12"/>
  <c r="E514" i="12"/>
  <c r="E513" i="12"/>
  <c r="B507" i="12"/>
  <c r="C417" i="12"/>
  <c r="C416" i="12"/>
  <c r="C413" i="12"/>
  <c r="C412" i="12"/>
  <c r="D404" i="12"/>
  <c r="C402" i="12"/>
  <c r="C395" i="12"/>
  <c r="C394" i="12"/>
  <c r="D393" i="12"/>
  <c r="C392" i="12"/>
  <c r="C387" i="12"/>
  <c r="C382" i="12"/>
  <c r="C380" i="12"/>
  <c r="C377" i="12"/>
  <c r="D376" i="12"/>
  <c r="C376" i="12"/>
  <c r="C374" i="12"/>
  <c r="C373" i="12"/>
  <c r="C372" i="12"/>
  <c r="C371" i="12"/>
  <c r="C370" i="12"/>
  <c r="C369" i="12"/>
  <c r="C366" i="12"/>
  <c r="C365" i="12"/>
  <c r="C360" i="12"/>
  <c r="C352" i="12"/>
  <c r="C349" i="12"/>
  <c r="D348" i="12" a="1"/>
  <c r="D348" i="12"/>
  <c r="C346" i="12"/>
  <c r="C343" i="12"/>
  <c r="C339" i="12"/>
  <c r="C336" i="12"/>
  <c r="D335" i="12" a="1"/>
  <c r="D335" i="12" s="1"/>
  <c r="C333" i="12"/>
  <c r="C330" i="12"/>
  <c r="D290" i="12"/>
  <c r="C290" i="12"/>
  <c r="C289" i="12"/>
  <c r="C282" i="12"/>
  <c r="D276" i="12"/>
  <c r="C276" i="12"/>
  <c r="C275" i="12"/>
  <c r="D265" i="12"/>
  <c r="C265" i="12"/>
  <c r="C264" i="12"/>
  <c r="C257" i="12"/>
  <c r="C256" i="12"/>
  <c r="D255" i="12"/>
  <c r="C254" i="12"/>
  <c r="C249" i="12"/>
  <c r="C244" i="12"/>
  <c r="C242" i="12"/>
  <c r="C239" i="12"/>
  <c r="C237" i="12"/>
  <c r="C236" i="12"/>
  <c r="C235" i="12"/>
  <c r="C234" i="12"/>
  <c r="C233" i="12"/>
  <c r="D232" i="12"/>
  <c r="C232" i="12"/>
  <c r="D229" i="12"/>
  <c r="C229" i="12"/>
  <c r="C228" i="12"/>
  <c r="D224" i="12"/>
  <c r="C223" i="12"/>
  <c r="D213" i="12"/>
  <c r="D212" i="12"/>
  <c r="D211" i="12"/>
  <c r="C211" i="12"/>
  <c r="D210" i="12"/>
  <c r="D209" i="12"/>
  <c r="D208" i="12"/>
  <c r="D207" i="12"/>
  <c r="D206" i="12"/>
  <c r="C206" i="12"/>
  <c r="D205" i="12"/>
  <c r="D203" i="12"/>
  <c r="C203" i="12" a="1"/>
  <c r="C203" i="12" s="1"/>
  <c r="D199" i="12"/>
  <c r="D198" i="12"/>
  <c r="D196" i="12"/>
  <c r="C196" i="12" a="1"/>
  <c r="C196" i="12" s="1"/>
  <c r="D192" i="12"/>
  <c r="C191" i="12"/>
  <c r="D190" i="12"/>
  <c r="C189" i="12"/>
  <c r="D188" i="12"/>
  <c r="C187" i="12"/>
  <c r="D186" i="12"/>
  <c r="D185" i="12"/>
  <c r="D183" i="12"/>
  <c r="C183" i="12" a="1"/>
  <c r="C183" i="12" s="1"/>
  <c r="D179" i="12"/>
  <c r="D177" i="12"/>
  <c r="C177" i="12" a="1"/>
  <c r="C177" i="12"/>
  <c r="D173" i="12"/>
  <c r="D172" i="12"/>
  <c r="C171" i="12"/>
  <c r="D170" i="12"/>
  <c r="D169" i="12"/>
  <c r="D168" i="12"/>
  <c r="D167" i="12"/>
  <c r="D166" i="12"/>
  <c r="C165" i="12"/>
  <c r="D164" i="12"/>
  <c r="D162" i="12"/>
  <c r="C162" i="12" a="1"/>
  <c r="C162" i="12" s="1"/>
  <c r="D158" i="12"/>
  <c r="D157" i="12"/>
  <c r="D156" i="12"/>
  <c r="D154" i="12"/>
  <c r="C154" i="12" a="1"/>
  <c r="C154" i="12"/>
  <c r="D150" i="12"/>
  <c r="C149" i="12"/>
  <c r="D148" i="12"/>
  <c r="C147" i="12"/>
  <c r="D146" i="12"/>
  <c r="C145" i="12"/>
  <c r="D144" i="12"/>
  <c r="D143" i="12"/>
  <c r="D141" i="12"/>
  <c r="C141" i="12" a="1"/>
  <c r="C141" i="12" s="1"/>
  <c r="D137" i="12"/>
  <c r="D135" i="12"/>
  <c r="C135" i="12" a="1"/>
  <c r="C135" i="12" s="1"/>
  <c r="D129" i="12"/>
  <c r="C129" i="12" a="1"/>
  <c r="C129" i="12" s="1"/>
  <c r="D125" i="12"/>
  <c r="D123" i="12"/>
  <c r="C123" i="12" a="1"/>
  <c r="C123" i="12"/>
  <c r="D119" i="12"/>
  <c r="D118" i="12"/>
  <c r="C118" i="12"/>
  <c r="D117" i="12"/>
  <c r="C117" i="12"/>
  <c r="C116" i="12"/>
  <c r="D115" i="12"/>
  <c r="D113" i="12"/>
  <c r="D111" i="12"/>
  <c r="C111" i="12"/>
  <c r="C104" i="12" a="1"/>
  <c r="C104" i="12"/>
  <c r="D98" i="12"/>
  <c r="C97" i="12"/>
  <c r="C82" i="12"/>
  <c r="C397" i="12" s="1"/>
  <c r="C81" i="12"/>
  <c r="C405" i="12" s="1"/>
  <c r="C73" i="12"/>
  <c r="C259" i="12" s="1"/>
  <c r="C72" i="12"/>
  <c r="C258" i="12" s="1"/>
  <c r="C41" i="12"/>
  <c r="C40" i="12"/>
  <c r="F7" i="12"/>
  <c r="L371" i="11"/>
  <c r="L370" i="11"/>
  <c r="L369" i="11"/>
  <c r="L368" i="11"/>
  <c r="L367" i="11"/>
  <c r="L366" i="11"/>
  <c r="L365" i="11"/>
  <c r="L364" i="11"/>
  <c r="L363" i="11"/>
  <c r="L362" i="11"/>
  <c r="L361" i="11"/>
  <c r="L360" i="11"/>
  <c r="L359" i="11"/>
  <c r="L358" i="11"/>
  <c r="L357" i="11"/>
  <c r="L356" i="11"/>
  <c r="L355" i="11"/>
  <c r="L354" i="11"/>
  <c r="L353" i="11"/>
  <c r="L352" i="11"/>
  <c r="L351" i="11"/>
  <c r="L350" i="11"/>
  <c r="L349" i="11" a="1"/>
  <c r="L349" i="11"/>
  <c r="L348" i="11"/>
  <c r="L347" i="11"/>
  <c r="L346" i="11"/>
  <c r="L345" i="11"/>
  <c r="L344" i="11"/>
  <c r="L343" i="11"/>
  <c r="L342" i="11"/>
  <c r="L341" i="11"/>
  <c r="L340" i="11"/>
  <c r="L339" i="11"/>
  <c r="L338" i="11"/>
  <c r="L337" i="11"/>
  <c r="L336" i="11"/>
  <c r="L335" i="11"/>
  <c r="L334" i="11"/>
  <c r="L333" i="11"/>
  <c r="L330" i="11"/>
  <c r="L329" i="11"/>
  <c r="L328" i="11"/>
  <c r="L327" i="11"/>
  <c r="L326" i="11"/>
  <c r="L325" i="11"/>
  <c r="L324" i="11"/>
  <c r="L323" i="11"/>
  <c r="L322" i="11"/>
  <c r="L321" i="11"/>
  <c r="L320" i="11"/>
  <c r="L319" i="11"/>
  <c r="L318" i="11"/>
  <c r="L317" i="11"/>
  <c r="L316" i="11"/>
  <c r="L315" i="11"/>
  <c r="L314" i="11"/>
  <c r="L313" i="11"/>
  <c r="L312" i="11"/>
  <c r="L310" i="11"/>
  <c r="L309" i="11"/>
  <c r="I309" i="11"/>
  <c r="L308" i="11"/>
  <c r="I308" i="11"/>
  <c r="L307" i="11"/>
  <c r="I307" i="11"/>
  <c r="L306" i="11"/>
  <c r="I306" i="11"/>
  <c r="C306" i="11"/>
  <c r="I305" i="11"/>
  <c r="C305" i="11"/>
  <c r="L304" i="11"/>
  <c r="I304" i="11"/>
  <c r="C304" i="11"/>
  <c r="L303" i="11"/>
  <c r="I303" i="11"/>
  <c r="C303" i="11"/>
  <c r="L302" i="11"/>
  <c r="I302" i="11"/>
  <c r="C302" i="11"/>
  <c r="L301" i="11"/>
  <c r="I301" i="11"/>
  <c r="C301" i="11"/>
  <c r="L300" i="11"/>
  <c r="I300" i="11"/>
  <c r="C300" i="11"/>
  <c r="L299" i="11"/>
  <c r="I299" i="11"/>
  <c r="C299" i="11"/>
  <c r="L298" i="11"/>
  <c r="I298" i="11"/>
  <c r="C298" i="11"/>
  <c r="L297" i="11"/>
  <c r="I297" i="11"/>
  <c r="C297" i="11"/>
  <c r="I296" i="11"/>
  <c r="C296" i="11"/>
  <c r="L295" i="11"/>
  <c r="I295" i="11"/>
  <c r="C295" i="11"/>
  <c r="L294" i="11"/>
  <c r="I294" i="11"/>
  <c r="C294" i="11"/>
  <c r="L293" i="11"/>
  <c r="I293" i="11"/>
  <c r="C293" i="11"/>
  <c r="L292" i="11"/>
  <c r="I292" i="11"/>
  <c r="C292" i="11"/>
  <c r="I291" i="11"/>
  <c r="C291" i="11"/>
  <c r="L290" i="11"/>
  <c r="I290" i="11"/>
  <c r="C290" i="11"/>
  <c r="L289" i="11"/>
  <c r="I289" i="11"/>
  <c r="C289" i="11"/>
  <c r="L288" i="11"/>
  <c r="I288" i="11"/>
  <c r="I287" i="11"/>
  <c r="I286" i="11"/>
  <c r="C286" i="11"/>
  <c r="I285" i="11"/>
  <c r="C285" i="11"/>
  <c r="L284" i="11"/>
  <c r="I284" i="11"/>
  <c r="C284" i="11"/>
  <c r="L283" i="11"/>
  <c r="I283" i="11"/>
  <c r="C283" i="11"/>
  <c r="L282" i="11"/>
  <c r="I282" i="11"/>
  <c r="C282" i="11"/>
  <c r="L281" i="11"/>
  <c r="I281" i="11"/>
  <c r="C281" i="11"/>
  <c r="L280" i="11"/>
  <c r="I280" i="11"/>
  <c r="C280" i="11"/>
  <c r="L279" i="11"/>
  <c r="I279" i="11"/>
  <c r="C279" i="11"/>
  <c r="L278" i="11"/>
  <c r="I278" i="11"/>
  <c r="C278" i="11"/>
  <c r="L277" i="11"/>
  <c r="I277" i="11"/>
  <c r="C277" i="11"/>
  <c r="L276" i="11"/>
  <c r="I276" i="11"/>
  <c r="C276" i="11"/>
  <c r="L275" i="11"/>
  <c r="I275" i="11"/>
  <c r="C275" i="11"/>
  <c r="L274" i="11" a="1"/>
  <c r="L274" i="11" s="1"/>
  <c r="I274" i="11"/>
  <c r="C274" i="11"/>
  <c r="I273" i="11" a="1"/>
  <c r="I273" i="11"/>
  <c r="F273" i="11"/>
  <c r="C273" i="11"/>
  <c r="L272" i="11"/>
  <c r="I272" i="11"/>
  <c r="F272" i="11"/>
  <c r="C272" i="11"/>
  <c r="L271" i="11"/>
  <c r="F271" i="11"/>
  <c r="C271" i="11"/>
  <c r="L270" i="11"/>
  <c r="I270" i="11"/>
  <c r="F270" i="11"/>
  <c r="L269" i="11"/>
  <c r="F269" i="11"/>
  <c r="F268" i="11"/>
  <c r="C268" i="11"/>
  <c r="F267" i="11"/>
  <c r="C267" i="11"/>
  <c r="I266" i="11"/>
  <c r="F266" i="11"/>
  <c r="C266" i="11"/>
  <c r="I265" i="11"/>
  <c r="F265" i="11"/>
  <c r="C265" i="11"/>
  <c r="I264" i="11"/>
  <c r="C264" i="11"/>
  <c r="I263" i="11"/>
  <c r="C263" i="11"/>
  <c r="L262" i="11"/>
  <c r="I262" i="11" a="1"/>
  <c r="I262" i="11" s="1"/>
  <c r="F262" i="11"/>
  <c r="C262" i="11"/>
  <c r="L261" i="11"/>
  <c r="I261" i="11"/>
  <c r="F261" i="11"/>
  <c r="C261" i="11"/>
  <c r="L260" i="11"/>
  <c r="I260" i="11"/>
  <c r="F260" i="11"/>
  <c r="L259" i="11"/>
  <c r="I259" i="11"/>
  <c r="I269" i="11" s="1"/>
  <c r="F259" i="11"/>
  <c r="C259" i="11"/>
  <c r="L258" i="11"/>
  <c r="I258" i="11"/>
  <c r="F258" i="11"/>
  <c r="C258" i="11"/>
  <c r="L257" i="11"/>
  <c r="I257" i="11"/>
  <c r="F257" i="11"/>
  <c r="C257" i="11"/>
  <c r="L256" i="11"/>
  <c r="F256" i="11"/>
  <c r="C256" i="11"/>
  <c r="L255" i="11"/>
  <c r="F255" i="11"/>
  <c r="C255" i="11"/>
  <c r="L254" i="11"/>
  <c r="F254" i="11"/>
  <c r="C254" i="11"/>
  <c r="I253" i="11"/>
  <c r="F253" i="11"/>
  <c r="C253" i="11"/>
  <c r="I252" i="11"/>
  <c r="F252" i="11"/>
  <c r="C252" i="11"/>
  <c r="I251" i="11"/>
  <c r="F251" i="11"/>
  <c r="L250" i="11"/>
  <c r="F250" i="11"/>
  <c r="I249" i="11"/>
  <c r="F249" i="11"/>
  <c r="L248" i="11"/>
  <c r="I248" i="11"/>
  <c r="I250" i="11" s="1"/>
  <c r="F248" i="11"/>
  <c r="L247" i="11"/>
  <c r="I247" i="11"/>
  <c r="F247" i="11"/>
  <c r="L246" i="11"/>
  <c r="I246" i="11"/>
  <c r="F246" i="11"/>
  <c r="L245" i="11"/>
  <c r="F245" i="11"/>
  <c r="L244" i="11"/>
  <c r="L252" i="11" s="1"/>
  <c r="I244" i="11"/>
  <c r="F244" i="11"/>
  <c r="L243" i="11"/>
  <c r="L251" i="11" s="1"/>
  <c r="I243" i="11"/>
  <c r="F243" i="11"/>
  <c r="L242" i="11"/>
  <c r="I242" i="11"/>
  <c r="F242" i="11"/>
  <c r="L241" i="11"/>
  <c r="L249" i="11" s="1"/>
  <c r="I241" i="11"/>
  <c r="F241" i="11"/>
  <c r="C241" i="11"/>
  <c r="L240" i="11"/>
  <c r="I240" i="11"/>
  <c r="F240" i="11"/>
  <c r="C240" i="11"/>
  <c r="L239" i="11"/>
  <c r="I239" i="11"/>
  <c r="L238" i="11"/>
  <c r="I238" i="11"/>
  <c r="C238" i="11"/>
  <c r="L237" i="11"/>
  <c r="C237" i="11"/>
  <c r="L236" i="11"/>
  <c r="I236" i="11"/>
  <c r="C236" i="11"/>
  <c r="L235" i="11"/>
  <c r="I235" i="11"/>
  <c r="F235" i="11"/>
  <c r="C235" i="11"/>
  <c r="L234" i="11"/>
  <c r="I234" i="11"/>
  <c r="F234" i="11"/>
  <c r="C234" i="11"/>
  <c r="F233" i="11"/>
  <c r="C233" i="11"/>
  <c r="I232" i="11"/>
  <c r="F232" i="11"/>
  <c r="C232" i="11"/>
  <c r="I231" i="11"/>
  <c r="F231" i="11"/>
  <c r="C231" i="11"/>
  <c r="I230" i="11"/>
  <c r="F230" i="11"/>
  <c r="L229" i="11"/>
  <c r="I229" i="11"/>
  <c r="F229" i="11"/>
  <c r="F228" i="11"/>
  <c r="I227" i="11"/>
  <c r="F227" i="11"/>
  <c r="C227" i="11"/>
  <c r="I226" i="11"/>
  <c r="F226" i="11"/>
  <c r="C226" i="11"/>
  <c r="I225" i="11"/>
  <c r="F225" i="11"/>
  <c r="C225" i="11"/>
  <c r="L224" i="11"/>
  <c r="F224" i="11"/>
  <c r="C224" i="11"/>
  <c r="L223" i="11"/>
  <c r="I223" i="11"/>
  <c r="F223" i="11"/>
  <c r="L222" i="11"/>
  <c r="I222" i="11"/>
  <c r="F222" i="11"/>
  <c r="C222" i="11"/>
  <c r="L221" i="11"/>
  <c r="I221" i="11"/>
  <c r="F221" i="11"/>
  <c r="L220" i="11"/>
  <c r="I220" i="11"/>
  <c r="F220" i="11"/>
  <c r="L219" i="11"/>
  <c r="F219" i="11" a="1"/>
  <c r="F219" i="11" s="1"/>
  <c r="L218" i="11"/>
  <c r="I218" i="11"/>
  <c r="F218" i="11"/>
  <c r="C218" i="11"/>
  <c r="L217" i="11"/>
  <c r="I217" i="11"/>
  <c r="L216" i="11"/>
  <c r="I216" i="11"/>
  <c r="L215" i="11"/>
  <c r="I215" i="11"/>
  <c r="F215" i="11" a="1"/>
  <c r="F215" i="11" s="1"/>
  <c r="C215" i="11"/>
  <c r="L214" i="11"/>
  <c r="I214" i="11"/>
  <c r="F214" i="11" a="1"/>
  <c r="F214" i="11" s="1"/>
  <c r="L213" i="11"/>
  <c r="I213" i="11"/>
  <c r="F213" i="11" a="1"/>
  <c r="F213" i="11" s="1"/>
  <c r="L212" i="11"/>
  <c r="I212" i="11"/>
  <c r="F212" i="11"/>
  <c r="L211" i="11"/>
  <c r="I211" i="11"/>
  <c r="F211" i="11"/>
  <c r="L210" i="11"/>
  <c r="I210" i="11"/>
  <c r="F210" i="11" a="1"/>
  <c r="F210" i="11" s="1"/>
  <c r="L209" i="11"/>
  <c r="I209" i="11"/>
  <c r="F209" i="11" a="1"/>
  <c r="F209" i="11" s="1"/>
  <c r="L208" i="11"/>
  <c r="I208" i="11"/>
  <c r="F208" i="11" a="1"/>
  <c r="F208" i="11" s="1"/>
  <c r="U207" i="11"/>
  <c r="D242" i="14" s="1"/>
  <c r="L207" i="11"/>
  <c r="I207" i="11"/>
  <c r="F207" i="11" a="1"/>
  <c r="F207" i="11" s="1"/>
  <c r="U206" i="11"/>
  <c r="D231" i="14" s="1"/>
  <c r="L206" i="11"/>
  <c r="I206" i="11"/>
  <c r="F206" i="11" a="1"/>
  <c r="F206" i="11" s="1"/>
  <c r="U205" i="11"/>
  <c r="L205" i="11"/>
  <c r="I205" i="11"/>
  <c r="F205" i="11" a="1"/>
  <c r="F205" i="11" s="1"/>
  <c r="U204" i="11"/>
  <c r="L204" i="11"/>
  <c r="I204" i="11"/>
  <c r="F204" i="11" a="1"/>
  <c r="F204" i="11" s="1"/>
  <c r="U203" i="11"/>
  <c r="D104" i="14" s="1"/>
  <c r="L203" i="11"/>
  <c r="I203" i="11"/>
  <c r="F203" i="11" a="1"/>
  <c r="F203" i="11" s="1"/>
  <c r="U202" i="11"/>
  <c r="L202" i="11"/>
  <c r="I202" i="11"/>
  <c r="F202" i="11" a="1"/>
  <c r="F202" i="11" s="1"/>
  <c r="C202" i="11"/>
  <c r="L201" i="11"/>
  <c r="I201" i="11"/>
  <c r="F201" i="11" a="1"/>
  <c r="F201" i="11" s="1"/>
  <c r="U200" i="11"/>
  <c r="L200" i="11"/>
  <c r="I200" i="11"/>
  <c r="F200" i="11" a="1"/>
  <c r="F200" i="11" s="1"/>
  <c r="U199" i="11"/>
  <c r="L199" i="11"/>
  <c r="I199" i="11"/>
  <c r="U198" i="11"/>
  <c r="D156" i="14" s="1" a="1"/>
  <c r="D156" i="14" s="1"/>
  <c r="L198" i="11"/>
  <c r="I198" i="11"/>
  <c r="U197" i="11"/>
  <c r="D79" i="14" s="1"/>
  <c r="L197" i="11"/>
  <c r="C197" i="11"/>
  <c r="U196" i="11"/>
  <c r="L196" i="11"/>
  <c r="F196" i="11"/>
  <c r="C196" i="11"/>
  <c r="U195" i="11"/>
  <c r="D21" i="14" s="1"/>
  <c r="L195" i="11"/>
  <c r="F195" i="11"/>
  <c r="C195" i="11"/>
  <c r="U194" i="11"/>
  <c r="L194" i="11"/>
  <c r="I194" i="11"/>
  <c r="F194" i="11"/>
  <c r="C194" i="11"/>
  <c r="U193" i="11"/>
  <c r="L193" i="11"/>
  <c r="I193" i="11"/>
  <c r="F193" i="11"/>
  <c r="C193" i="11"/>
  <c r="U192" i="11"/>
  <c r="L192" i="11"/>
  <c r="I192" i="11"/>
  <c r="F192" i="11"/>
  <c r="C192" i="11"/>
  <c r="U191" i="11" a="1"/>
  <c r="U191" i="11" s="1"/>
  <c r="D97" i="14" s="1" a="1"/>
  <c r="D97" i="14" s="1"/>
  <c r="L191" i="11"/>
  <c r="I191" i="11"/>
  <c r="F191" i="11"/>
  <c r="C191" i="11"/>
  <c r="L190" i="11"/>
  <c r="I190" i="11"/>
  <c r="F190" i="11"/>
  <c r="C190" i="11"/>
  <c r="U189" i="11"/>
  <c r="U190" i="11" s="1"/>
  <c r="L189" i="11"/>
  <c r="I189" i="11"/>
  <c r="F189" i="11"/>
  <c r="C189" i="11"/>
  <c r="U188" i="11"/>
  <c r="D151" i="14" s="1"/>
  <c r="L188" i="11"/>
  <c r="I188" i="11"/>
  <c r="F188" i="11"/>
  <c r="C188" i="11"/>
  <c r="U187" i="11"/>
  <c r="L187" i="11"/>
  <c r="I187" i="11"/>
  <c r="F187" i="11"/>
  <c r="C187" i="11"/>
  <c r="L186" i="11"/>
  <c r="I186" i="11"/>
  <c r="F186" i="11"/>
  <c r="C186" i="11"/>
  <c r="L185" i="11"/>
  <c r="I185" i="11"/>
  <c r="F185" i="11"/>
  <c r="C185" i="11"/>
  <c r="U184" i="11"/>
  <c r="D200" i="18" s="1"/>
  <c r="L184" i="11"/>
  <c r="I184" i="11"/>
  <c r="F184" i="11"/>
  <c r="C184" i="11"/>
  <c r="U183" i="11"/>
  <c r="L183" i="11"/>
  <c r="I183" i="11"/>
  <c r="F183" i="11"/>
  <c r="C183" i="11"/>
  <c r="U182" i="11" a="1"/>
  <c r="U182" i="11" s="1"/>
  <c r="D176" i="18" s="1"/>
  <c r="I182" i="11"/>
  <c r="F182" i="11"/>
  <c r="C182" i="11"/>
  <c r="U181" i="11" a="1"/>
  <c r="U181" i="11" s="1"/>
  <c r="D166" i="18" s="1"/>
  <c r="I181" i="11"/>
  <c r="F181" i="11"/>
  <c r="C181" i="11"/>
  <c r="U180" i="11"/>
  <c r="D157" i="18" s="1"/>
  <c r="I180" i="11"/>
  <c r="F180" i="11"/>
  <c r="C180" i="11"/>
  <c r="U179" i="11"/>
  <c r="D156" i="18" s="1"/>
  <c r="L179" i="11"/>
  <c r="I179" i="11"/>
  <c r="F179" i="11"/>
  <c r="C179" i="11"/>
  <c r="U178" i="11"/>
  <c r="D155" i="18" s="1"/>
  <c r="L178" i="11"/>
  <c r="I178" i="11"/>
  <c r="F178" i="11"/>
  <c r="C178" i="11"/>
  <c r="U177" i="11"/>
  <c r="L177" i="11"/>
  <c r="L173" i="11" s="1"/>
  <c r="I177" i="11"/>
  <c r="F177" i="11"/>
  <c r="C177" i="11"/>
  <c r="U176" i="11"/>
  <c r="D111" i="18" s="1"/>
  <c r="L176" i="11"/>
  <c r="I176" i="11"/>
  <c r="F176" i="11"/>
  <c r="C176" i="11"/>
  <c r="U175" i="11"/>
  <c r="I175" i="11"/>
  <c r="F175" i="11"/>
  <c r="C175" i="11"/>
  <c r="U174" i="11"/>
  <c r="U173" i="11"/>
  <c r="D121" i="18" s="1"/>
  <c r="F173" i="11"/>
  <c r="C173" i="11"/>
  <c r="U172" i="11"/>
  <c r="D120" i="18" s="1"/>
  <c r="F172" i="11"/>
  <c r="C172" i="11"/>
  <c r="U171" i="11"/>
  <c r="L171" i="11"/>
  <c r="I171" i="11"/>
  <c r="C171" i="11"/>
  <c r="U170" i="11"/>
  <c r="L170" i="11"/>
  <c r="I170" i="11"/>
  <c r="F170" i="11"/>
  <c r="C170" i="11"/>
  <c r="U169" i="11"/>
  <c r="D145" i="18" s="1"/>
  <c r="L169" i="11"/>
  <c r="I169" i="11"/>
  <c r="C169" i="11"/>
  <c r="U168" i="11"/>
  <c r="D87" i="18" s="1"/>
  <c r="L168" i="11"/>
  <c r="I168" i="11"/>
  <c r="F168" i="11"/>
  <c r="C168" i="11"/>
  <c r="U167" i="11"/>
  <c r="D82" i="18" s="1"/>
  <c r="L167" i="11"/>
  <c r="I167" i="11"/>
  <c r="F167" i="11"/>
  <c r="C167" i="11"/>
  <c r="U166" i="11"/>
  <c r="D81" i="18" s="1"/>
  <c r="I166" i="11"/>
  <c r="F166" i="11"/>
  <c r="C166" i="11"/>
  <c r="U165" i="11"/>
  <c r="D80" i="18" s="1"/>
  <c r="I165" i="11"/>
  <c r="F165" i="11"/>
  <c r="C165" i="11"/>
  <c r="U164" i="11"/>
  <c r="D79" i="18" s="1"/>
  <c r="I164" i="11"/>
  <c r="F164" i="11"/>
  <c r="C164" i="11"/>
  <c r="U163" i="11"/>
  <c r="D78" i="18" s="1"/>
  <c r="I163" i="11"/>
  <c r="C163" i="11"/>
  <c r="U162" i="11"/>
  <c r="D77" i="18" s="1"/>
  <c r="I162" i="11"/>
  <c r="F162" i="11"/>
  <c r="C162" i="11"/>
  <c r="U161" i="11"/>
  <c r="I161" i="11"/>
  <c r="F161" i="11"/>
  <c r="C161" i="11"/>
  <c r="U160" i="11" a="1"/>
  <c r="U160" i="11"/>
  <c r="D128" i="18" s="1"/>
  <c r="L160" i="11"/>
  <c r="I160" i="11"/>
  <c r="F160" i="11"/>
  <c r="C160" i="11"/>
  <c r="U159" i="11"/>
  <c r="L159" i="11"/>
  <c r="I159" i="11"/>
  <c r="F159" i="11"/>
  <c r="C159" i="11"/>
  <c r="U158" i="11"/>
  <c r="D186" i="18" s="1"/>
  <c r="L158" i="11"/>
  <c r="I158" i="11"/>
  <c r="F158" i="11"/>
  <c r="C158" i="11"/>
  <c r="U157" i="11"/>
  <c r="D188" i="18" s="1"/>
  <c r="L157" i="11"/>
  <c r="I157" i="11"/>
  <c r="F157" i="11"/>
  <c r="C157" i="11"/>
  <c r="U156" i="11"/>
  <c r="L156" i="11"/>
  <c r="I156" i="11"/>
  <c r="C156" i="11"/>
  <c r="U155" i="11"/>
  <c r="D125" i="18" s="1"/>
  <c r="L155" i="11"/>
  <c r="I155" i="11"/>
  <c r="F155" i="11"/>
  <c r="U154" i="11"/>
  <c r="L154" i="11"/>
  <c r="I154" i="11"/>
  <c r="F154" i="11"/>
  <c r="U153" i="11"/>
  <c r="L153" i="11"/>
  <c r="F153" i="11"/>
  <c r="L152" i="11"/>
  <c r="I152" i="11"/>
  <c r="F152" i="11"/>
  <c r="C152" i="11"/>
  <c r="L151" i="11"/>
  <c r="I151" i="11"/>
  <c r="F151" i="11"/>
  <c r="C151" i="11"/>
  <c r="L150" i="11"/>
  <c r="F150" i="11"/>
  <c r="C150" i="11"/>
  <c r="U149" i="11"/>
  <c r="L149" i="11"/>
  <c r="I149" i="11"/>
  <c r="F149" i="11"/>
  <c r="C149" i="11"/>
  <c r="U148" i="11"/>
  <c r="L148" i="11"/>
  <c r="I148" i="11"/>
  <c r="F148" i="11"/>
  <c r="D51" i="14" s="1"/>
  <c r="C148" i="11"/>
  <c r="U147" i="11"/>
  <c r="D155" i="17" s="1"/>
  <c r="L147" i="11"/>
  <c r="I147" i="11"/>
  <c r="C147" i="11"/>
  <c r="U146" i="11"/>
  <c r="D154" i="17" s="1"/>
  <c r="L146" i="11"/>
  <c r="I146" i="11"/>
  <c r="C146" i="11"/>
  <c r="U145" i="11"/>
  <c r="D127" i="17" s="1"/>
  <c r="L145" i="11"/>
  <c r="C145" i="11"/>
  <c r="F10" i="12" s="1"/>
  <c r="C243" i="12" s="1"/>
  <c r="U144" i="11"/>
  <c r="D109" i="17" s="1" a="1"/>
  <c r="D109" i="17" s="1"/>
  <c r="L144" i="11"/>
  <c r="I144" i="11"/>
  <c r="F144" i="11"/>
  <c r="C144" i="11"/>
  <c r="U143" i="11"/>
  <c r="D108" i="17" s="1" a="1"/>
  <c r="D108" i="17" s="1"/>
  <c r="L143" i="11"/>
  <c r="I143" i="11"/>
  <c r="F143" i="11"/>
  <c r="C143" i="11" a="1"/>
  <c r="C143" i="11" s="1"/>
  <c r="U142" i="11"/>
  <c r="D107" i="17" s="1" a="1"/>
  <c r="D107" i="17" s="1"/>
  <c r="L142" i="11"/>
  <c r="I142" i="11"/>
  <c r="F142" i="11"/>
  <c r="C142" i="11" a="1"/>
  <c r="C142" i="11" s="1"/>
  <c r="U141" i="11"/>
  <c r="D93" i="17" s="1" a="1"/>
  <c r="D93" i="17" s="1"/>
  <c r="L141" i="11"/>
  <c r="I141" i="11"/>
  <c r="C141" i="11"/>
  <c r="U140" i="11"/>
  <c r="L140" i="11"/>
  <c r="C140" i="11"/>
  <c r="U139" i="11"/>
  <c r="L139" i="11"/>
  <c r="I139" i="11"/>
  <c r="F139" i="11"/>
  <c r="C139" i="11"/>
  <c r="U138" i="11"/>
  <c r="L138" i="11"/>
  <c r="I138" i="11"/>
  <c r="F138" i="11"/>
  <c r="F141" i="11" s="1"/>
  <c r="C138" i="11"/>
  <c r="U137" i="11" a="1"/>
  <c r="U137" i="11" s="1"/>
  <c r="L137" i="11"/>
  <c r="I137" i="11"/>
  <c r="F137" i="11"/>
  <c r="U136" i="11"/>
  <c r="D86" i="17" s="1" a="1"/>
  <c r="D86" i="17" s="1"/>
  <c r="L136" i="11"/>
  <c r="I136" i="11"/>
  <c r="F136" i="11"/>
  <c r="U135" i="11"/>
  <c r="L135" i="11"/>
  <c r="U134" i="11"/>
  <c r="D64" i="17" s="1" a="1"/>
  <c r="D64" i="17" s="1"/>
  <c r="L134" i="11"/>
  <c r="I134" i="11"/>
  <c r="U133" i="11"/>
  <c r="D59" i="17" s="1"/>
  <c r="L133" i="11"/>
  <c r="I133" i="11"/>
  <c r="C133" i="11"/>
  <c r="U132" i="11"/>
  <c r="D58" i="17" s="1" a="1"/>
  <c r="D58" i="17" s="1"/>
  <c r="L132" i="11"/>
  <c r="D54" i="16" s="1"/>
  <c r="K132" i="11"/>
  <c r="I132" i="11"/>
  <c r="C132" i="11"/>
  <c r="U131" i="11"/>
  <c r="D57" i="17" s="1"/>
  <c r="L131" i="11"/>
  <c r="D53" i="16" s="1"/>
  <c r="K131" i="11"/>
  <c r="I131" i="11"/>
  <c r="C131" i="11"/>
  <c r="U130" i="11"/>
  <c r="D56" i="17" s="1"/>
  <c r="F130" i="11"/>
  <c r="C130" i="11"/>
  <c r="U129" i="11"/>
  <c r="D55" i="17" s="1"/>
  <c r="O129" i="11"/>
  <c r="D150" i="13" s="1"/>
  <c r="I129" i="11"/>
  <c r="F129" i="11"/>
  <c r="C129" i="11"/>
  <c r="U128" i="11"/>
  <c r="O128" i="11"/>
  <c r="I128" i="11"/>
  <c r="F128" i="11"/>
  <c r="C128" i="11"/>
  <c r="U127" i="11"/>
  <c r="D53" i="17" s="1"/>
  <c r="L127" i="11"/>
  <c r="I127" i="11"/>
  <c r="F127" i="11"/>
  <c r="C127" i="11"/>
  <c r="U126" i="11"/>
  <c r="O126" i="11"/>
  <c r="L126" i="11"/>
  <c r="I126" i="11"/>
  <c r="F126" i="11"/>
  <c r="U125" i="11"/>
  <c r="O125" i="11"/>
  <c r="U124" i="11"/>
  <c r="O124" i="11"/>
  <c r="I124" i="11" a="1"/>
  <c r="I124" i="11" s="1"/>
  <c r="U123" i="11"/>
  <c r="D120" i="17" s="1"/>
  <c r="R123" i="11"/>
  <c r="O123" i="11"/>
  <c r="D290" i="13" s="1" a="1"/>
  <c r="D290" i="13" s="1"/>
  <c r="I123" i="11"/>
  <c r="C123" i="11"/>
  <c r="O122" i="11"/>
  <c r="L122" i="11"/>
  <c r="I122" i="11"/>
  <c r="O121" i="11"/>
  <c r="L121" i="11"/>
  <c r="I121" i="11"/>
  <c r="O120" i="11"/>
  <c r="L120" i="11"/>
  <c r="I120" i="11"/>
  <c r="C120" i="11" a="1"/>
  <c r="C120" i="11" s="1"/>
  <c r="L119" i="11"/>
  <c r="I119" i="11"/>
  <c r="F119" i="11"/>
  <c r="C119" i="11"/>
  <c r="U118" i="11"/>
  <c r="D414" i="12" s="1"/>
  <c r="R118" i="11"/>
  <c r="D367" i="12" s="1"/>
  <c r="O118" i="11"/>
  <c r="L118" i="11"/>
  <c r="I118" i="11" a="1"/>
  <c r="I118" i="11" s="1"/>
  <c r="C118" i="11"/>
  <c r="U117" i="11"/>
  <c r="R117" i="11"/>
  <c r="O117" i="11"/>
  <c r="I117" i="11"/>
  <c r="C117" i="11"/>
  <c r="U116" i="11"/>
  <c r="D417" i="12" s="1"/>
  <c r="O116" i="11"/>
  <c r="L116" i="11"/>
  <c r="I116" i="11"/>
  <c r="C116" i="11"/>
  <c r="U115" i="11"/>
  <c r="D416" i="12" s="1"/>
  <c r="O115" i="11"/>
  <c r="L115" i="11"/>
  <c r="I115" i="11"/>
  <c r="C115" i="11"/>
  <c r="U114" i="11"/>
  <c r="L114" i="11"/>
  <c r="I114" i="11"/>
  <c r="U113" i="11"/>
  <c r="R113" i="11"/>
  <c r="L113" i="11"/>
  <c r="I113" i="11"/>
  <c r="C113" i="11"/>
  <c r="U112" i="11"/>
  <c r="D387" i="12" s="1"/>
  <c r="R112" i="11"/>
  <c r="L112" i="11"/>
  <c r="I112" i="11"/>
  <c r="C112" i="11"/>
  <c r="U111" i="11"/>
  <c r="D397" i="12" s="1"/>
  <c r="L111" i="11"/>
  <c r="I111" i="11"/>
  <c r="F111" i="11"/>
  <c r="C111" i="11"/>
  <c r="U110" i="11"/>
  <c r="O110" i="11"/>
  <c r="D487" i="13" s="1"/>
  <c r="I110" i="11"/>
  <c r="C110" i="11"/>
  <c r="U109" i="11"/>
  <c r="O109" i="11"/>
  <c r="D273" i="13" s="1"/>
  <c r="I109" i="11"/>
  <c r="C109" i="11"/>
  <c r="U108" i="11"/>
  <c r="D373" i="12" s="1"/>
  <c r="R108" i="11"/>
  <c r="D381" i="12" s="1"/>
  <c r="O108" i="11"/>
  <c r="D102" i="13" s="1"/>
  <c r="I108" i="11"/>
  <c r="C108" i="11"/>
  <c r="U107" i="11"/>
  <c r="D372" i="12" s="1"/>
  <c r="R107" i="11"/>
  <c r="D283" i="12" s="1"/>
  <c r="O107" i="11"/>
  <c r="L107" i="11"/>
  <c r="I107" i="11"/>
  <c r="U106" i="11"/>
  <c r="R106" i="11"/>
  <c r="D243" i="12" s="1"/>
  <c r="O106" i="11"/>
  <c r="D75" i="13" s="1"/>
  <c r="L106" i="11"/>
  <c r="I106" i="11"/>
  <c r="C106" i="11"/>
  <c r="U105" i="11"/>
  <c r="D249" i="12" s="1"/>
  <c r="O105" i="11"/>
  <c r="D62" i="13" s="1"/>
  <c r="L105" i="11"/>
  <c r="C105" i="11"/>
  <c r="U104" i="11"/>
  <c r="O104" i="11"/>
  <c r="L104" i="11"/>
  <c r="I104" i="11"/>
  <c r="C104" i="11"/>
  <c r="U103" i="11"/>
  <c r="D259" i="12" s="1"/>
  <c r="O103" i="11"/>
  <c r="D59" i="13" s="1"/>
  <c r="L103" i="11"/>
  <c r="I103" i="11"/>
  <c r="F103" i="11"/>
  <c r="C103" i="11"/>
  <c r="U102" i="11"/>
  <c r="D258" i="12" s="1"/>
  <c r="R102" i="11"/>
  <c r="D116" i="12" s="1"/>
  <c r="O102" i="11"/>
  <c r="D54" i="13" s="1"/>
  <c r="I102" i="11"/>
  <c r="C102" i="11"/>
  <c r="U101" i="11"/>
  <c r="D236" i="12" s="1"/>
  <c r="R101" i="11"/>
  <c r="O101" i="11"/>
  <c r="D53" i="13" s="1"/>
  <c r="I101" i="11"/>
  <c r="U100" i="11"/>
  <c r="D235" i="12" s="1"/>
  <c r="R100" i="11"/>
  <c r="O100" i="11"/>
  <c r="D51" i="13" s="1"/>
  <c r="L100" i="11"/>
  <c r="I100" i="11"/>
  <c r="F100" i="11"/>
  <c r="D187" i="18" s="1"/>
  <c r="U99" i="11"/>
  <c r="D231" i="12" s="1"/>
  <c r="R99" i="11"/>
  <c r="D126" i="13" s="1"/>
  <c r="O99" i="11" a="1"/>
  <c r="O99" i="11"/>
  <c r="O114" i="11" s="1"/>
  <c r="I99" i="11"/>
  <c r="C99" i="11"/>
  <c r="O98" i="11" a="1"/>
  <c r="O98" i="11" s="1"/>
  <c r="O113" i="11" s="1"/>
  <c r="I98" i="11"/>
  <c r="O97" i="11"/>
  <c r="D90" i="13" s="1"/>
  <c r="I97" i="11"/>
  <c r="O96" i="11"/>
  <c r="O111" i="11" s="1"/>
  <c r="I96" i="11"/>
  <c r="F96" i="11" a="1"/>
  <c r="F96" i="11" s="1"/>
  <c r="U95" i="11"/>
  <c r="R95" i="11"/>
  <c r="O95" i="11"/>
  <c r="I95" i="11"/>
  <c r="F95" i="11"/>
  <c r="C95" i="11"/>
  <c r="U94" i="11"/>
  <c r="R94" i="11"/>
  <c r="C96" i="15" s="1"/>
  <c r="O94" i="11"/>
  <c r="D85" i="13" s="1" a="1"/>
  <c r="D85" i="13" s="1"/>
  <c r="I94" i="11"/>
  <c r="F94" i="11"/>
  <c r="C94" i="11"/>
  <c r="U93" i="11"/>
  <c r="D377" i="13" s="1"/>
  <c r="R93" i="11"/>
  <c r="O93" i="11"/>
  <c r="I93" i="11"/>
  <c r="F93" i="11" a="1"/>
  <c r="F93" i="11" s="1"/>
  <c r="C93" i="11"/>
  <c r="U92" i="11"/>
  <c r="R92" i="11"/>
  <c r="C94" i="15" s="1"/>
  <c r="O92" i="11"/>
  <c r="D52" i="13" s="1"/>
  <c r="I92" i="11"/>
  <c r="F92" i="11"/>
  <c r="U91" i="11"/>
  <c r="D114" i="12" s="1"/>
  <c r="R91" i="11"/>
  <c r="R83" i="11" s="1"/>
  <c r="D97" i="15" s="1"/>
  <c r="I91" i="11"/>
  <c r="F91" i="11"/>
  <c r="U90" i="11"/>
  <c r="D130" i="12" s="1"/>
  <c r="I90" i="11"/>
  <c r="F90" i="11"/>
  <c r="U89" i="11"/>
  <c r="I89" i="11"/>
  <c r="U88" i="11"/>
  <c r="O88" i="11"/>
  <c r="L88" i="11"/>
  <c r="I88" i="11"/>
  <c r="F88" i="11" a="1"/>
  <c r="F88" i="11" s="1"/>
  <c r="U87" i="11"/>
  <c r="R87" i="11"/>
  <c r="O87" i="11"/>
  <c r="L87" i="11"/>
  <c r="I87" i="11"/>
  <c r="F87" i="11"/>
  <c r="U86" i="11"/>
  <c r="I86" i="11"/>
  <c r="F86" i="11"/>
  <c r="C86" i="11"/>
  <c r="U85" i="11"/>
  <c r="O85" i="11"/>
  <c r="I85" i="11"/>
  <c r="F85" i="11"/>
  <c r="C85" i="11"/>
  <c r="U84" i="11"/>
  <c r="I84" i="11"/>
  <c r="F84" i="11" a="1"/>
  <c r="F84" i="11" s="1"/>
  <c r="U83" i="11"/>
  <c r="D264" i="13" s="1"/>
  <c r="L83" i="11"/>
  <c r="I83" i="11"/>
  <c r="F83" i="11"/>
  <c r="U82" i="11"/>
  <c r="L82" i="11"/>
  <c r="I82" i="11"/>
  <c r="F82" i="11"/>
  <c r="U81" i="11"/>
  <c r="I81" i="11"/>
  <c r="C81" i="11"/>
  <c r="U80" i="11"/>
  <c r="I80" i="11"/>
  <c r="F80" i="11"/>
  <c r="C80" i="11"/>
  <c r="U79" i="11"/>
  <c r="R79" i="11"/>
  <c r="O79" i="11"/>
  <c r="I79" i="11"/>
  <c r="F79" i="11"/>
  <c r="U78" i="11"/>
  <c r="R78" i="11"/>
  <c r="O78" i="11"/>
  <c r="L78" i="11"/>
  <c r="I78" i="11"/>
  <c r="F78" i="11"/>
  <c r="U77" i="11"/>
  <c r="R77" i="11"/>
  <c r="E95" i="15" s="1"/>
  <c r="L77" i="11"/>
  <c r="I77" i="11"/>
  <c r="F77" i="11" a="1"/>
  <c r="F77" i="11" s="1"/>
  <c r="U76" i="11"/>
  <c r="R76" i="11"/>
  <c r="I76" i="11"/>
  <c r="F76" i="11"/>
  <c r="U75" i="11"/>
  <c r="R75" i="11"/>
  <c r="D165" i="12" s="1"/>
  <c r="O75" i="11"/>
  <c r="I75" i="11"/>
  <c r="F75" i="11"/>
  <c r="U74" i="11"/>
  <c r="O74" i="11"/>
  <c r="F74" i="11"/>
  <c r="C74" i="11"/>
  <c r="C52" i="11" s="1"/>
  <c r="U73" i="11"/>
  <c r="O73" i="11"/>
  <c r="L73" i="11"/>
  <c r="I73" i="11"/>
  <c r="C73" i="11"/>
  <c r="C51" i="11" s="1"/>
  <c r="U72" i="11"/>
  <c r="O72" i="11" a="1"/>
  <c r="O72" i="11" s="1"/>
  <c r="L72" i="11"/>
  <c r="I72" i="11"/>
  <c r="F72" i="11"/>
  <c r="C72" i="11"/>
  <c r="C50" i="11" s="1"/>
  <c r="U71" i="11"/>
  <c r="R71" i="11"/>
  <c r="O71" i="11"/>
  <c r="I71" i="11"/>
  <c r="C71" i="11"/>
  <c r="C103" i="15" s="1"/>
  <c r="U70" i="11"/>
  <c r="R70" i="11"/>
  <c r="O70" i="11"/>
  <c r="I70" i="11"/>
  <c r="C70" i="11"/>
  <c r="U69" i="11"/>
  <c r="R69" i="11"/>
  <c r="I69" i="11"/>
  <c r="C69" i="11"/>
  <c r="C93" i="15" s="1"/>
  <c r="R68" i="11"/>
  <c r="L68" i="11"/>
  <c r="I68" i="11"/>
  <c r="F68" i="11"/>
  <c r="C68" i="11"/>
  <c r="C92" i="15" s="1"/>
  <c r="U67" i="11"/>
  <c r="L67" i="11"/>
  <c r="I67" i="11"/>
  <c r="C67" i="11"/>
  <c r="C47" i="11" s="1"/>
  <c r="U66" i="11"/>
  <c r="L66" i="11"/>
  <c r="I66" i="11"/>
  <c r="C66" i="11"/>
  <c r="C46" i="11" s="1"/>
  <c r="U65" i="11"/>
  <c r="I65" i="11"/>
  <c r="C65" i="11"/>
  <c r="U64" i="11"/>
  <c r="I64" i="11"/>
  <c r="C64" i="11"/>
  <c r="C44" i="11" s="1"/>
  <c r="U63" i="11"/>
  <c r="I63" i="11"/>
  <c r="F63" i="11"/>
  <c r="C63" i="11"/>
  <c r="C91" i="15" s="1"/>
  <c r="U62" i="11"/>
  <c r="L62" i="11"/>
  <c r="I62" i="11"/>
  <c r="F62" i="11"/>
  <c r="C62" i="11"/>
  <c r="C90" i="15" s="1"/>
  <c r="AA61" i="11"/>
  <c r="C81" i="16" s="1"/>
  <c r="U61" i="11"/>
  <c r="L61" i="11"/>
  <c r="I61" i="11"/>
  <c r="C61" i="11"/>
  <c r="C89" i="15" s="1"/>
  <c r="U60" i="11"/>
  <c r="I60" i="11"/>
  <c r="C60" i="11"/>
  <c r="C88" i="15" s="1"/>
  <c r="O59" i="11" a="1"/>
  <c r="O59" i="11" s="1"/>
  <c r="I59" i="11"/>
  <c r="C59" i="11"/>
  <c r="D365" i="12" s="1"/>
  <c r="AA58" i="11"/>
  <c r="O58" i="11"/>
  <c r="I58" i="11"/>
  <c r="F58" i="11"/>
  <c r="C58" i="11"/>
  <c r="C38" i="11" s="1"/>
  <c r="D86" i="15" s="1"/>
  <c r="AA57" i="11"/>
  <c r="O57" i="11"/>
  <c r="L57" i="11"/>
  <c r="I57" i="11"/>
  <c r="F57" i="11"/>
  <c r="C57" i="11"/>
  <c r="C37" i="11" s="1"/>
  <c r="AA56" i="11"/>
  <c r="U56" i="11"/>
  <c r="D508" i="13" s="1"/>
  <c r="O56" i="11"/>
  <c r="F56" i="11"/>
  <c r="F41" i="11" s="1"/>
  <c r="AA55" i="11"/>
  <c r="U55" i="11"/>
  <c r="O55" i="11"/>
  <c r="I55" i="11"/>
  <c r="F55" i="11"/>
  <c r="C210" i="15" s="1"/>
  <c r="AA54" i="11"/>
  <c r="U54" i="11"/>
  <c r="D519" i="13" s="1"/>
  <c r="O54" i="11"/>
  <c r="L54" i="11"/>
  <c r="I54" i="11"/>
  <c r="F54" i="11"/>
  <c r="C209" i="15" s="1"/>
  <c r="U53" i="11"/>
  <c r="D518" i="13" s="1"/>
  <c r="L53" i="11"/>
  <c r="I53" i="11"/>
  <c r="I49" i="11" s="1"/>
  <c r="I51" i="11" s="1"/>
  <c r="F53" i="11"/>
  <c r="F40" i="11" s="1"/>
  <c r="L52" i="11"/>
  <c r="D170" i="18" s="1"/>
  <c r="F52" i="11" a="1"/>
  <c r="F52" i="11" s="1"/>
  <c r="F39" i="11" s="1"/>
  <c r="L51" i="11"/>
  <c r="F51" i="11"/>
  <c r="F38" i="11" s="1"/>
  <c r="AA50" i="11"/>
  <c r="U50" i="11"/>
  <c r="R50" i="11"/>
  <c r="F50" i="11"/>
  <c r="F37" i="11" s="1"/>
  <c r="AA49" i="11"/>
  <c r="U49" i="11"/>
  <c r="R49" i="11"/>
  <c r="C98" i="15" s="1"/>
  <c r="F49" i="11"/>
  <c r="C208" i="15" s="1"/>
  <c r="AA48" i="11"/>
  <c r="X48" i="11"/>
  <c r="U48" i="11"/>
  <c r="L48" i="11"/>
  <c r="I48" i="11"/>
  <c r="F48" i="11"/>
  <c r="C207" i="15" s="1"/>
  <c r="C48" i="11"/>
  <c r="L47" i="11"/>
  <c r="I47" i="11"/>
  <c r="F47" i="11"/>
  <c r="F34" i="11" s="1"/>
  <c r="D206" i="15" s="1"/>
  <c r="F46" i="11"/>
  <c r="L45" i="11"/>
  <c r="U36" i="11" s="1"/>
  <c r="I45" i="11"/>
  <c r="F45" i="11"/>
  <c r="D228" i="12" s="1"/>
  <c r="C45" i="11"/>
  <c r="AE44" i="11"/>
  <c r="X44" i="11"/>
  <c r="L44" i="11"/>
  <c r="I44" i="11"/>
  <c r="U43" i="11"/>
  <c r="I43" i="11"/>
  <c r="I40" i="11" s="1"/>
  <c r="U42" i="11"/>
  <c r="C42" i="11"/>
  <c r="D90" i="15" s="1"/>
  <c r="U41" i="11"/>
  <c r="R41" i="11"/>
  <c r="O41" i="11"/>
  <c r="X40" i="11"/>
  <c r="U40" i="11"/>
  <c r="L40" i="11"/>
  <c r="C40" i="11"/>
  <c r="D88" i="15" s="1"/>
  <c r="AE39" i="11"/>
  <c r="L39" i="11"/>
  <c r="I39" i="11"/>
  <c r="I41" i="11" s="1"/>
  <c r="AA38" i="11"/>
  <c r="L38" i="11"/>
  <c r="I38" i="11"/>
  <c r="L37" i="11"/>
  <c r="I37" i="11"/>
  <c r="O36" i="11"/>
  <c r="AE35" i="11"/>
  <c r="O35" i="11"/>
  <c r="L35" i="11"/>
  <c r="I35" i="11"/>
  <c r="U34" i="11"/>
  <c r="D70" i="16" s="1"/>
  <c r="O34" i="11"/>
  <c r="L34" i="11" a="1"/>
  <c r="L34" i="11" s="1"/>
  <c r="I34" i="11"/>
  <c r="U33" i="11"/>
  <c r="O33" i="11"/>
  <c r="L33" i="11"/>
  <c r="D222" i="18" s="1"/>
  <c r="I33" i="11"/>
  <c r="I30" i="11" s="1"/>
  <c r="C33" i="11"/>
  <c r="X32" i="11"/>
  <c r="U32" i="11"/>
  <c r="O32" i="11"/>
  <c r="L32" i="11"/>
  <c r="C32" i="11"/>
  <c r="AE31" i="11"/>
  <c r="O31" i="11"/>
  <c r="L31" i="11"/>
  <c r="C31" i="11"/>
  <c r="AA30" i="11"/>
  <c r="O30" i="11"/>
  <c r="L30" i="11"/>
  <c r="C30" i="11"/>
  <c r="R36" i="11" s="1"/>
  <c r="L29" i="11"/>
  <c r="C29" i="11"/>
  <c r="E103" i="15" s="1"/>
  <c r="X28" i="11"/>
  <c r="L28" i="11"/>
  <c r="I28" i="11"/>
  <c r="F28" i="11"/>
  <c r="C28" i="11"/>
  <c r="AE27" i="11"/>
  <c r="L27" i="11"/>
  <c r="I27" i="11"/>
  <c r="F27" i="11"/>
  <c r="C27" i="11"/>
  <c r="U26" i="11"/>
  <c r="L26" i="11"/>
  <c r="F26" i="11"/>
  <c r="C26" i="11"/>
  <c r="U25" i="11"/>
  <c r="D69" i="16" s="1"/>
  <c r="L25" i="11"/>
  <c r="I25" i="11"/>
  <c r="F25" i="11"/>
  <c r="X24" i="11"/>
  <c r="U24" i="11"/>
  <c r="L24" i="11"/>
  <c r="I24" i="11"/>
  <c r="F24" i="11"/>
  <c r="AE23" i="11"/>
  <c r="U23" i="11"/>
  <c r="L23" i="11"/>
  <c r="I23" i="11"/>
  <c r="I20" i="11" s="1"/>
  <c r="L22" i="11"/>
  <c r="R21" i="11"/>
  <c r="L21" i="11"/>
  <c r="X20" i="11"/>
  <c r="R20" i="11"/>
  <c r="O20" i="11"/>
  <c r="L20" i="11"/>
  <c r="AE19" i="11"/>
  <c r="AA19" i="11"/>
  <c r="AA20" i="11" s="1"/>
  <c r="U19" i="11"/>
  <c r="O19" i="11"/>
  <c r="L19" i="11"/>
  <c r="U18" i="11"/>
  <c r="O18" i="11"/>
  <c r="L18" i="11"/>
  <c r="I18" i="11"/>
  <c r="U17" i="11"/>
  <c r="L17" i="11"/>
  <c r="I17" i="11"/>
  <c r="X16" i="11"/>
  <c r="R16" i="11"/>
  <c r="R12" i="11" s="1"/>
  <c r="L16" i="11"/>
  <c r="AE15" i="11"/>
  <c r="AA15" i="11"/>
  <c r="U15" i="11"/>
  <c r="L15" i="11"/>
  <c r="I15" i="11"/>
  <c r="AA14" i="11"/>
  <c r="L14" i="11"/>
  <c r="I14" i="11"/>
  <c r="F14" i="11"/>
  <c r="C14" i="11"/>
  <c r="AA13" i="11"/>
  <c r="U13" i="11"/>
  <c r="D96" i="16" s="1"/>
  <c r="O13" i="11"/>
  <c r="L13" i="11"/>
  <c r="I13" i="11"/>
  <c r="AA12" i="11"/>
  <c r="X12" i="11"/>
  <c r="I12" i="11"/>
  <c r="AA11" i="11"/>
  <c r="AA10" i="11"/>
  <c r="I10" i="11"/>
  <c r="F10" i="11"/>
  <c r="F101" i="11" s="1"/>
  <c r="E10" i="11"/>
  <c r="AA9" i="11"/>
  <c r="I9" i="11"/>
  <c r="F9" i="11"/>
  <c r="AE8" i="11"/>
  <c r="AA8" i="11"/>
  <c r="X8" i="11"/>
  <c r="R8" i="11"/>
  <c r="O8" i="11"/>
  <c r="L8" i="11"/>
  <c r="F8" i="11"/>
  <c r="C7" i="11"/>
  <c r="I508" i="10"/>
  <c r="C230" i="15" s="1"/>
  <c r="I507" i="10"/>
  <c r="C229" i="15" s="1"/>
  <c r="I506" i="10"/>
  <c r="C228" i="15" s="1"/>
  <c r="I505" i="10"/>
  <c r="C227" i="15" s="1"/>
  <c r="I504" i="10"/>
  <c r="C226" i="15" s="1"/>
  <c r="I503" i="10"/>
  <c r="C225" i="15" s="1"/>
  <c r="I502" i="10"/>
  <c r="C224" i="15" s="1"/>
  <c r="I501" i="10"/>
  <c r="C223" i="15" s="1"/>
  <c r="I500" i="10"/>
  <c r="C222" i="15" s="1"/>
  <c r="F500" i="10"/>
  <c r="C128" i="15" s="1"/>
  <c r="I499" i="10"/>
  <c r="C221" i="15" s="1"/>
  <c r="F499" i="10"/>
  <c r="C127" i="15" s="1"/>
  <c r="I498" i="10"/>
  <c r="C220" i="15" s="1"/>
  <c r="F498" i="10"/>
  <c r="C126" i="15" s="1"/>
  <c r="I497" i="10"/>
  <c r="C219" i="15" s="1"/>
  <c r="F497" i="10"/>
  <c r="C125" i="15" s="1"/>
  <c r="I496" i="10"/>
  <c r="C218" i="15" s="1"/>
  <c r="F496" i="10"/>
  <c r="C124" i="15" s="1"/>
  <c r="I495" i="10"/>
  <c r="F495" i="10"/>
  <c r="C123" i="15" s="1"/>
  <c r="I494" i="10"/>
  <c r="F494" i="10"/>
  <c r="C122" i="15" s="1"/>
  <c r="I493" i="10"/>
  <c r="I474" i="10" s="1"/>
  <c r="D215" i="15" s="1"/>
  <c r="F493" i="10"/>
  <c r="C121" i="15" s="1"/>
  <c r="F492" i="10"/>
  <c r="C120" i="15" s="1"/>
  <c r="F491" i="10"/>
  <c r="C119" i="15" s="1"/>
  <c r="F490" i="10"/>
  <c r="C118" i="15" s="1"/>
  <c r="F489" i="10"/>
  <c r="C117" i="15" s="1"/>
  <c r="F488" i="10"/>
  <c r="C116" i="15" s="1"/>
  <c r="F487" i="10"/>
  <c r="C115" i="15" s="1"/>
  <c r="F486" i="10"/>
  <c r="C114" i="15" s="1"/>
  <c r="F485" i="10"/>
  <c r="F479" i="10"/>
  <c r="D126" i="15" s="1"/>
  <c r="I476" i="10"/>
  <c r="D217" i="15" s="1"/>
  <c r="I475" i="10"/>
  <c r="D216" i="15" s="1"/>
  <c r="I470" i="10"/>
  <c r="I469" i="10"/>
  <c r="F469" i="10"/>
  <c r="D116" i="15" s="1"/>
  <c r="I468" i="10"/>
  <c r="I467" i="10"/>
  <c r="I466" i="10"/>
  <c r="I465" i="10"/>
  <c r="I464" i="10"/>
  <c r="I463" i="10"/>
  <c r="I462" i="10"/>
  <c r="F462" i="10"/>
  <c r="I461" i="10"/>
  <c r="F461" i="10"/>
  <c r="I460" i="10"/>
  <c r="F460" i="10"/>
  <c r="I459" i="10"/>
  <c r="F459" i="10"/>
  <c r="I458" i="10"/>
  <c r="F458" i="10"/>
  <c r="I457" i="10"/>
  <c r="F457" i="10"/>
  <c r="I456" i="10"/>
  <c r="F456" i="10"/>
  <c r="I455" i="10"/>
  <c r="F455" i="10"/>
  <c r="F454" i="10"/>
  <c r="F453" i="10"/>
  <c r="F452" i="10"/>
  <c r="F451" i="10"/>
  <c r="F450" i="10"/>
  <c r="F449" i="10"/>
  <c r="F448" i="10"/>
  <c r="F447" i="10"/>
  <c r="F446" i="10"/>
  <c r="E128" i="15" s="1"/>
  <c r="F445" i="10"/>
  <c r="E127" i="15" s="1"/>
  <c r="F444" i="10"/>
  <c r="E126" i="15" s="1"/>
  <c r="F443" i="10"/>
  <c r="E125" i="15" s="1"/>
  <c r="F442" i="10"/>
  <c r="E124" i="15" s="1"/>
  <c r="F441" i="10"/>
  <c r="E123" i="15" s="1"/>
  <c r="F440" i="10"/>
  <c r="E122" i="15" s="1"/>
  <c r="F439" i="10"/>
  <c r="E121" i="15" s="1"/>
  <c r="F438" i="10"/>
  <c r="E120" i="15" s="1"/>
  <c r="F437" i="10"/>
  <c r="E119" i="15" s="1"/>
  <c r="F436" i="10"/>
  <c r="E118" i="15" s="1"/>
  <c r="F435" i="10"/>
  <c r="E117" i="15" s="1"/>
  <c r="F434" i="10"/>
  <c r="E116" i="15" s="1"/>
  <c r="F433" i="10"/>
  <c r="E115" i="15" s="1"/>
  <c r="F432" i="10"/>
  <c r="E114" i="15" s="1"/>
  <c r="F431" i="10"/>
  <c r="E113" i="15" s="1"/>
  <c r="I425" i="10"/>
  <c r="I424" i="10"/>
  <c r="I423" i="10"/>
  <c r="I422" i="10"/>
  <c r="F417" i="10"/>
  <c r="I416" i="10"/>
  <c r="F416" i="10"/>
  <c r="I415" i="10"/>
  <c r="F415" i="10"/>
  <c r="I414" i="10"/>
  <c r="F414" i="10"/>
  <c r="I413" i="10"/>
  <c r="I410" i="10"/>
  <c r="I409" i="10"/>
  <c r="I408" i="10"/>
  <c r="F408" i="10"/>
  <c r="I407" i="10"/>
  <c r="F407" i="10"/>
  <c r="I403" i="10"/>
  <c r="I402" i="10"/>
  <c r="C168" i="15" s="1" a="1"/>
  <c r="C168" i="15" s="1"/>
  <c r="F397" i="10"/>
  <c r="F396" i="10"/>
  <c r="C44" i="15" s="1" a="1"/>
  <c r="C44" i="15" s="1"/>
  <c r="F392" i="10"/>
  <c r="C40" i="15" s="1"/>
  <c r="F381" i="10"/>
  <c r="I379" i="10"/>
  <c r="H169" i="15" s="1"/>
  <c r="I378" i="10"/>
  <c r="H168" i="15" s="1"/>
  <c r="I377" i="10"/>
  <c r="H167" i="15" s="1"/>
  <c r="I376" i="10"/>
  <c r="H166" i="15" s="1"/>
  <c r="I375" i="10"/>
  <c r="I373" i="10"/>
  <c r="H164" i="15" s="1"/>
  <c r="I372" i="10"/>
  <c r="H163" i="15" s="1"/>
  <c r="I371" i="10"/>
  <c r="H162" i="15" s="1"/>
  <c r="F371" i="10"/>
  <c r="F370" i="10"/>
  <c r="F369" i="10"/>
  <c r="F368" i="10"/>
  <c r="E367" i="10"/>
  <c r="I365" i="10"/>
  <c r="G165" i="15" s="1"/>
  <c r="I360" i="10"/>
  <c r="I359" i="10"/>
  <c r="F359" i="10"/>
  <c r="G45" i="15" s="1"/>
  <c r="I358" i="10"/>
  <c r="G164" i="15" s="1"/>
  <c r="F358" i="10"/>
  <c r="I357" i="10"/>
  <c r="G163" i="15" s="1"/>
  <c r="I356" i="10"/>
  <c r="G162" i="15" s="1"/>
  <c r="F355" i="10"/>
  <c r="E353" i="10"/>
  <c r="I350" i="10"/>
  <c r="I349" i="10"/>
  <c r="F346" i="10"/>
  <c r="I345" i="10"/>
  <c r="I344" i="10"/>
  <c r="I342" i="10"/>
  <c r="I341" i="10"/>
  <c r="F341" i="10"/>
  <c r="I340" i="10"/>
  <c r="F339" i="10"/>
  <c r="E339" i="10"/>
  <c r="F338" i="10"/>
  <c r="F337" i="10"/>
  <c r="I335" i="10"/>
  <c r="F165" i="15" s="1"/>
  <c r="I334" i="10"/>
  <c r="I330" i="10"/>
  <c r="I329" i="10"/>
  <c r="I327" i="10"/>
  <c r="F163" i="15" s="1"/>
  <c r="F327" i="10"/>
  <c r="F313" i="10" s="1"/>
  <c r="I326" i="10"/>
  <c r="F162" i="15" s="1"/>
  <c r="I325" i="10"/>
  <c r="F161" i="15" s="1" a="1"/>
  <c r="F161" i="15" s="1"/>
  <c r="F325" i="10"/>
  <c r="F39" i="15" s="1"/>
  <c r="E325" i="10"/>
  <c r="F324" i="10"/>
  <c r="F38" i="15" s="1" a="1"/>
  <c r="F38" i="15" s="1"/>
  <c r="F323" i="10"/>
  <c r="F37" i="15" s="1"/>
  <c r="I320" i="10"/>
  <c r="E165" i="15" s="1"/>
  <c r="I319" i="10"/>
  <c r="E169" i="15" s="1"/>
  <c r="I318" i="10"/>
  <c r="E168" i="15" s="1"/>
  <c r="I317" i="10"/>
  <c r="E167" i="15" s="1"/>
  <c r="F317" i="10"/>
  <c r="I316" i="10"/>
  <c r="E166" i="15" s="1"/>
  <c r="F316" i="10"/>
  <c r="F315" i="10"/>
  <c r="F314" i="10"/>
  <c r="I313" i="10"/>
  <c r="E164" i="15" s="1"/>
  <c r="I312" i="10"/>
  <c r="E163" i="15" s="1"/>
  <c r="F312" i="10"/>
  <c r="E40" i="15" s="1"/>
  <c r="I311" i="10"/>
  <c r="E162" i="15" s="1"/>
  <c r="E311" i="10"/>
  <c r="F310" i="10"/>
  <c r="E38" i="15" s="1"/>
  <c r="I305" i="10"/>
  <c r="D165" i="15" s="1"/>
  <c r="I304" i="10"/>
  <c r="D169" i="15" s="1"/>
  <c r="F304" i="10"/>
  <c r="D41" i="15" s="1"/>
  <c r="I303" i="10"/>
  <c r="D168" i="15" s="1"/>
  <c r="F303" i="10"/>
  <c r="I302" i="10"/>
  <c r="D167" i="15" s="1"/>
  <c r="F302" i="10"/>
  <c r="D44" i="15" s="1"/>
  <c r="I301" i="10"/>
  <c r="D166" i="15" s="1"/>
  <c r="F301" i="10"/>
  <c r="D43" i="15" s="1"/>
  <c r="I300" i="10"/>
  <c r="F300" i="10"/>
  <c r="F299" i="10"/>
  <c r="I297" i="10"/>
  <c r="D163" i="15" s="1"/>
  <c r="E297" i="10"/>
  <c r="I296" i="10"/>
  <c r="D162" i="15" s="1"/>
  <c r="F290" i="10"/>
  <c r="I284" i="10"/>
  <c r="F284" i="10"/>
  <c r="F283" i="10"/>
  <c r="I282" i="10"/>
  <c r="D210" i="15" s="1"/>
  <c r="F282" i="10"/>
  <c r="D93" i="15" s="1"/>
  <c r="O281" i="10"/>
  <c r="K281" i="10"/>
  <c r="O280" i="10"/>
  <c r="K280" i="10"/>
  <c r="O279" i="10"/>
  <c r="K279" i="10"/>
  <c r="F279" i="10"/>
  <c r="O278" i="10"/>
  <c r="K278" i="10"/>
  <c r="O277" i="10"/>
  <c r="K277" i="10"/>
  <c r="O276" i="10"/>
  <c r="M276" i="10"/>
  <c r="K276" i="10"/>
  <c r="O275" i="10"/>
  <c r="M275" i="10"/>
  <c r="K275" i="10" a="1"/>
  <c r="K275" i="10" s="1"/>
  <c r="M274" i="10"/>
  <c r="M273" i="10"/>
  <c r="I273" i="10"/>
  <c r="F273" i="10"/>
  <c r="M272" i="10"/>
  <c r="F272" i="10"/>
  <c r="M271" i="10"/>
  <c r="I271" i="10"/>
  <c r="D209" i="15" s="1"/>
  <c r="F271" i="10"/>
  <c r="D92" i="15" s="1"/>
  <c r="M270" i="10"/>
  <c r="I268" i="10"/>
  <c r="C200" i="15" s="1"/>
  <c r="F268" i="10"/>
  <c r="C81" i="15" s="1"/>
  <c r="I267" i="10"/>
  <c r="C199" i="15" s="1"/>
  <c r="F267" i="10"/>
  <c r="C80" i="15" s="1"/>
  <c r="I266" i="10"/>
  <c r="C198" i="15" s="1"/>
  <c r="F266" i="10"/>
  <c r="C79" i="15" s="1"/>
  <c r="I265" i="10"/>
  <c r="C197" i="15" s="1"/>
  <c r="F265" i="10"/>
  <c r="C78" i="15" s="1"/>
  <c r="I264" i="10"/>
  <c r="C196" i="15" s="1"/>
  <c r="F264" i="10"/>
  <c r="C77" i="15" s="1"/>
  <c r="I263" i="10"/>
  <c r="C195" i="15" s="1"/>
  <c r="F263" i="10"/>
  <c r="C76" i="15" s="1"/>
  <c r="I262" i="10"/>
  <c r="C194" i="15" s="1"/>
  <c r="F262" i="10"/>
  <c r="C75" i="15" s="1"/>
  <c r="I261" i="10"/>
  <c r="C193" i="15" s="1"/>
  <c r="F261" i="10"/>
  <c r="C74" i="15" s="1"/>
  <c r="I260" i="10"/>
  <c r="C192" i="15" s="1"/>
  <c r="F260" i="10"/>
  <c r="C73" i="15" s="1"/>
  <c r="I259" i="10"/>
  <c r="C191" i="15" s="1"/>
  <c r="F259" i="10"/>
  <c r="C72" i="15" s="1"/>
  <c r="I258" i="10"/>
  <c r="C190" i="15" s="1"/>
  <c r="F258" i="10"/>
  <c r="C71" i="15" s="1"/>
  <c r="I257" i="10"/>
  <c r="C189" i="15" s="1"/>
  <c r="F257" i="10"/>
  <c r="C70" i="15" s="1"/>
  <c r="I256" i="10"/>
  <c r="C188" i="15" s="1"/>
  <c r="F256" i="10"/>
  <c r="C69" i="15" s="1"/>
  <c r="I255" i="10"/>
  <c r="I236" i="10" s="1"/>
  <c r="D187" i="15" s="1"/>
  <c r="F255" i="10"/>
  <c r="C68" i="15" s="1"/>
  <c r="I254" i="10"/>
  <c r="F254" i="10"/>
  <c r="C67" i="15" s="1"/>
  <c r="I253" i="10"/>
  <c r="I234" i="10" s="1"/>
  <c r="D185" i="15" s="1"/>
  <c r="F253" i="10"/>
  <c r="C66" i="15" s="1"/>
  <c r="AD252" i="10"/>
  <c r="AD233" i="10" s="1"/>
  <c r="AA252" i="10"/>
  <c r="AA233" i="10" s="1"/>
  <c r="X252" i="10"/>
  <c r="X233" i="10" s="1"/>
  <c r="U252" i="10"/>
  <c r="U233" i="10" s="1"/>
  <c r="R252" i="10"/>
  <c r="R233" i="10" s="1"/>
  <c r="O252" i="10"/>
  <c r="O233" i="10" s="1"/>
  <c r="L252" i="10"/>
  <c r="L233" i="10" s="1"/>
  <c r="AD251" i="10"/>
  <c r="AD232" i="10" s="1"/>
  <c r="AA251" i="10"/>
  <c r="AA232" i="10" s="1"/>
  <c r="X251" i="10"/>
  <c r="X232" i="10" s="1"/>
  <c r="U251" i="10"/>
  <c r="U232" i="10" s="1"/>
  <c r="R251" i="10"/>
  <c r="R232" i="10" s="1"/>
  <c r="O251" i="10"/>
  <c r="O232" i="10" s="1"/>
  <c r="L251" i="10"/>
  <c r="L232" i="10" s="1"/>
  <c r="AD250" i="10"/>
  <c r="AA250" i="10"/>
  <c r="AA231" i="10" s="1"/>
  <c r="X250" i="10"/>
  <c r="X231" i="10" s="1"/>
  <c r="U250" i="10"/>
  <c r="U231" i="10" s="1"/>
  <c r="R250" i="10"/>
  <c r="R231" i="10" s="1"/>
  <c r="O250" i="10"/>
  <c r="O231" i="10" s="1"/>
  <c r="L250" i="10"/>
  <c r="L231" i="10" s="1"/>
  <c r="AD249" i="10"/>
  <c r="AD230" i="10" s="1"/>
  <c r="AA249" i="10"/>
  <c r="AA230" i="10" s="1"/>
  <c r="X249" i="10"/>
  <c r="X230" i="10" s="1"/>
  <c r="U249" i="10"/>
  <c r="U230" i="10" s="1"/>
  <c r="R249" i="10"/>
  <c r="O249" i="10"/>
  <c r="O230" i="10" s="1"/>
  <c r="L249" i="10"/>
  <c r="L230" i="10" s="1"/>
  <c r="I249" i="10"/>
  <c r="D200" i="15" s="1"/>
  <c r="F249" i="10"/>
  <c r="D81" i="15" s="1"/>
  <c r="AD248" i="10"/>
  <c r="AD229" i="10" s="1"/>
  <c r="AA248" i="10"/>
  <c r="AA229" i="10" s="1"/>
  <c r="X248" i="10"/>
  <c r="X229" i="10" s="1"/>
  <c r="U248" i="10"/>
  <c r="U229" i="10" s="1"/>
  <c r="R248" i="10"/>
  <c r="R229" i="10" s="1"/>
  <c r="O248" i="10"/>
  <c r="L248" i="10"/>
  <c r="L229" i="10" s="1"/>
  <c r="AD247" i="10"/>
  <c r="AD228" i="10" s="1"/>
  <c r="AA247" i="10"/>
  <c r="AA228" i="10" s="1"/>
  <c r="X247" i="10"/>
  <c r="X228" i="10" s="1"/>
  <c r="U247" i="10"/>
  <c r="U228" i="10" s="1"/>
  <c r="R247" i="10"/>
  <c r="R228" i="10" s="1"/>
  <c r="O247" i="10"/>
  <c r="L247" i="10"/>
  <c r="L228" i="10" s="1"/>
  <c r="AD246" i="10"/>
  <c r="AA246" i="10"/>
  <c r="AA227" i="10" s="1"/>
  <c r="X246" i="10"/>
  <c r="X227" i="10" s="1"/>
  <c r="U246" i="10"/>
  <c r="U227" i="10" s="1"/>
  <c r="R246" i="10"/>
  <c r="R227" i="10" s="1"/>
  <c r="O246" i="10"/>
  <c r="O227" i="10" s="1"/>
  <c r="L246" i="10"/>
  <c r="AD245" i="10"/>
  <c r="AD226" i="10" s="1"/>
  <c r="AA245" i="10"/>
  <c r="AA226" i="10" s="1"/>
  <c r="X245" i="10"/>
  <c r="X226" i="10" s="1"/>
  <c r="U245" i="10"/>
  <c r="U226" i="10" s="1"/>
  <c r="R245" i="10"/>
  <c r="R226" i="10" s="1"/>
  <c r="O245" i="10"/>
  <c r="O226" i="10" s="1"/>
  <c r="L245" i="10"/>
  <c r="L226" i="10" s="1"/>
  <c r="AD244" i="10"/>
  <c r="AD225" i="10" s="1"/>
  <c r="AA244" i="10"/>
  <c r="AA225" i="10" s="1"/>
  <c r="X244" i="10"/>
  <c r="U244" i="10"/>
  <c r="U225" i="10" s="1"/>
  <c r="R244" i="10"/>
  <c r="R225" i="10" s="1"/>
  <c r="O244" i="10"/>
  <c r="O225" i="10" s="1"/>
  <c r="L244" i="10"/>
  <c r="L225" i="10" s="1"/>
  <c r="AD243" i="10"/>
  <c r="AD224" i="10" s="1"/>
  <c r="AA243" i="10"/>
  <c r="AA224" i="10" s="1"/>
  <c r="X243" i="10"/>
  <c r="X224" i="10" s="1"/>
  <c r="U243" i="10"/>
  <c r="U224" i="10" s="1"/>
  <c r="R243" i="10"/>
  <c r="R224" i="10" s="1"/>
  <c r="O243" i="10"/>
  <c r="O224" i="10" s="1"/>
  <c r="L243" i="10"/>
  <c r="L224" i="10" s="1"/>
  <c r="AD242" i="10"/>
  <c r="AD223" i="10" s="1"/>
  <c r="AA242" i="10"/>
  <c r="AA223" i="10" s="1"/>
  <c r="X242" i="10"/>
  <c r="X223" i="10" s="1"/>
  <c r="U242" i="10"/>
  <c r="U223" i="10" s="1"/>
  <c r="R242" i="10"/>
  <c r="R223" i="10" s="1"/>
  <c r="O242" i="10"/>
  <c r="O223" i="10" s="1"/>
  <c r="L242" i="10"/>
  <c r="L223" i="10" s="1"/>
  <c r="AD241" i="10"/>
  <c r="AD222" i="10" s="1"/>
  <c r="AA241" i="10"/>
  <c r="X241" i="10"/>
  <c r="X222" i="10" s="1"/>
  <c r="U241" i="10"/>
  <c r="U222" i="10" s="1"/>
  <c r="R241" i="10"/>
  <c r="R222" i="10" s="1"/>
  <c r="O241" i="10"/>
  <c r="O222" i="10" s="1"/>
  <c r="L241" i="10"/>
  <c r="L222" i="10" s="1"/>
  <c r="AD240" i="10"/>
  <c r="AD221" i="10" s="1"/>
  <c r="AA240" i="10"/>
  <c r="AA221" i="10" s="1"/>
  <c r="X240" i="10"/>
  <c r="U240" i="10"/>
  <c r="U221" i="10" s="1"/>
  <c r="R240" i="10"/>
  <c r="R221" i="10" s="1"/>
  <c r="O240" i="10"/>
  <c r="O221" i="10" s="1"/>
  <c r="L240" i="10"/>
  <c r="L221" i="10" s="1"/>
  <c r="AD239" i="10"/>
  <c r="AD220" i="10" s="1"/>
  <c r="AA239" i="10"/>
  <c r="AA220" i="10" s="1"/>
  <c r="X239" i="10"/>
  <c r="X220" i="10" s="1"/>
  <c r="U239" i="10"/>
  <c r="U220" i="10" s="1"/>
  <c r="R239" i="10"/>
  <c r="R220" i="10" s="1"/>
  <c r="O239" i="10"/>
  <c r="L239" i="10"/>
  <c r="L220" i="10" s="1"/>
  <c r="AD238" i="10"/>
  <c r="AD219" i="10" s="1"/>
  <c r="AA238" i="10"/>
  <c r="AA219" i="10" s="1"/>
  <c r="X238" i="10"/>
  <c r="X219" i="10" s="1"/>
  <c r="U238" i="10"/>
  <c r="U219" i="10" s="1"/>
  <c r="R238" i="10"/>
  <c r="O238" i="10"/>
  <c r="O219" i="10" s="1"/>
  <c r="L238" i="10"/>
  <c r="L219" i="10" s="1"/>
  <c r="AD237" i="10"/>
  <c r="AD218" i="10" s="1"/>
  <c r="AA237" i="10"/>
  <c r="AA218" i="10" s="1"/>
  <c r="X237" i="10"/>
  <c r="X218" i="10" s="1"/>
  <c r="U237" i="10"/>
  <c r="U218" i="10" s="1"/>
  <c r="R237" i="10"/>
  <c r="R218" i="10" s="1"/>
  <c r="O237" i="10"/>
  <c r="O218" i="10" s="1"/>
  <c r="L237" i="10"/>
  <c r="L218" i="10" s="1"/>
  <c r="I235" i="10"/>
  <c r="D186" i="15" s="1"/>
  <c r="AD231" i="10"/>
  <c r="R230" i="10"/>
  <c r="I230" i="10"/>
  <c r="F230" i="10"/>
  <c r="O229" i="10"/>
  <c r="I229" i="10"/>
  <c r="F229" i="10"/>
  <c r="O228" i="10"/>
  <c r="I228" i="10"/>
  <c r="F228" i="10"/>
  <c r="AD227" i="10"/>
  <c r="L227" i="10"/>
  <c r="I227" i="10"/>
  <c r="F227" i="10"/>
  <c r="I226" i="10"/>
  <c r="F226" i="10"/>
  <c r="X225" i="10"/>
  <c r="I225" i="10"/>
  <c r="F225" i="10"/>
  <c r="I224" i="10"/>
  <c r="F224" i="10"/>
  <c r="I223" i="10"/>
  <c r="F223" i="10"/>
  <c r="AA222" i="10"/>
  <c r="I222" i="10"/>
  <c r="F222" i="10"/>
  <c r="X221" i="10"/>
  <c r="I221" i="10"/>
  <c r="F221" i="10"/>
  <c r="O220" i="10"/>
  <c r="I220" i="10"/>
  <c r="F220" i="10"/>
  <c r="R219" i="10"/>
  <c r="I219" i="10"/>
  <c r="F219" i="10"/>
  <c r="I218" i="10"/>
  <c r="F218" i="10"/>
  <c r="I217" i="10"/>
  <c r="F217" i="10"/>
  <c r="I216" i="10"/>
  <c r="F216" i="10"/>
  <c r="I215" i="10"/>
  <c r="F215" i="10"/>
  <c r="AD214" i="10"/>
  <c r="AA214" i="10"/>
  <c r="X214" i="10"/>
  <c r="U214" i="10"/>
  <c r="R214" i="10"/>
  <c r="O214" i="10"/>
  <c r="L214" i="10"/>
  <c r="I214" i="10"/>
  <c r="E200" i="15" s="1"/>
  <c r="F214" i="10"/>
  <c r="E81" i="15" s="1"/>
  <c r="AD213" i="10"/>
  <c r="AA213" i="10"/>
  <c r="X213" i="10"/>
  <c r="U213" i="10"/>
  <c r="R213" i="10"/>
  <c r="O213" i="10"/>
  <c r="L213" i="10"/>
  <c r="I213" i="10"/>
  <c r="E199" i="15" s="1"/>
  <c r="F213" i="10"/>
  <c r="E80" i="15" s="1"/>
  <c r="AD212" i="10"/>
  <c r="AA212" i="10"/>
  <c r="X212" i="10"/>
  <c r="U212" i="10"/>
  <c r="R212" i="10"/>
  <c r="O212" i="10"/>
  <c r="L212" i="10"/>
  <c r="I212" i="10"/>
  <c r="E198" i="15" s="1"/>
  <c r="F212" i="10"/>
  <c r="E79" i="15" s="1"/>
  <c r="AD211" i="10"/>
  <c r="AA211" i="10"/>
  <c r="X211" i="10"/>
  <c r="U211" i="10"/>
  <c r="R211" i="10"/>
  <c r="O211" i="10"/>
  <c r="L211" i="10"/>
  <c r="I211" i="10"/>
  <c r="E197" i="15" s="1"/>
  <c r="F211" i="10"/>
  <c r="E78" i="15" s="1"/>
  <c r="AD210" i="10"/>
  <c r="AA210" i="10"/>
  <c r="X210" i="10"/>
  <c r="U210" i="10"/>
  <c r="R210" i="10"/>
  <c r="O210" i="10"/>
  <c r="L210" i="10"/>
  <c r="I210" i="10"/>
  <c r="E196" i="15" s="1"/>
  <c r="F210" i="10"/>
  <c r="E77" i="15" s="1"/>
  <c r="AD209" i="10"/>
  <c r="AA209" i="10"/>
  <c r="X209" i="10"/>
  <c r="U209" i="10"/>
  <c r="R209" i="10"/>
  <c r="O209" i="10"/>
  <c r="L209" i="10"/>
  <c r="I209" i="10"/>
  <c r="E195" i="15" s="1"/>
  <c r="F209" i="10"/>
  <c r="E76" i="15" s="1"/>
  <c r="AD208" i="10"/>
  <c r="AA208" i="10"/>
  <c r="X208" i="10"/>
  <c r="U208" i="10"/>
  <c r="R208" i="10"/>
  <c r="O208" i="10"/>
  <c r="L208" i="10"/>
  <c r="I208" i="10"/>
  <c r="E194" i="15" s="1"/>
  <c r="F208" i="10"/>
  <c r="E75" i="15" s="1"/>
  <c r="AD207" i="10"/>
  <c r="AA207" i="10"/>
  <c r="X207" i="10"/>
  <c r="U207" i="10"/>
  <c r="R207" i="10"/>
  <c r="O207" i="10"/>
  <c r="L207" i="10"/>
  <c r="I207" i="10"/>
  <c r="E193" i="15" s="1"/>
  <c r="F207" i="10"/>
  <c r="E74" i="15" s="1"/>
  <c r="AD206" i="10"/>
  <c r="AA206" i="10"/>
  <c r="X206" i="10"/>
  <c r="U206" i="10"/>
  <c r="R206" i="10"/>
  <c r="O206" i="10"/>
  <c r="L206" i="10"/>
  <c r="I206" i="10"/>
  <c r="E192" i="15" s="1"/>
  <c r="F206" i="10"/>
  <c r="E73" i="15" s="1"/>
  <c r="AD205" i="10"/>
  <c r="AA205" i="10"/>
  <c r="X205" i="10"/>
  <c r="U205" i="10"/>
  <c r="R205" i="10"/>
  <c r="O205" i="10"/>
  <c r="L205" i="10"/>
  <c r="I205" i="10"/>
  <c r="E191" i="15" s="1"/>
  <c r="F205" i="10"/>
  <c r="E72" i="15" s="1"/>
  <c r="AD204" i="10"/>
  <c r="AA204" i="10"/>
  <c r="X204" i="10"/>
  <c r="U204" i="10"/>
  <c r="R204" i="10"/>
  <c r="O204" i="10"/>
  <c r="L204" i="10"/>
  <c r="I204" i="10"/>
  <c r="E190" i="15" s="1"/>
  <c r="F204" i="10"/>
  <c r="E71" i="15" s="1"/>
  <c r="AD203" i="10"/>
  <c r="AA203" i="10"/>
  <c r="X203" i="10"/>
  <c r="U203" i="10"/>
  <c r="R203" i="10"/>
  <c r="O203" i="10"/>
  <c r="L203" i="10"/>
  <c r="I203" i="10"/>
  <c r="E189" i="15" s="1"/>
  <c r="F203" i="10"/>
  <c r="E70" i="15" s="1"/>
  <c r="AD202" i="10"/>
  <c r="AA202" i="10"/>
  <c r="X202" i="10"/>
  <c r="U202" i="10"/>
  <c r="R202" i="10"/>
  <c r="O202" i="10"/>
  <c r="L202" i="10"/>
  <c r="I202" i="10"/>
  <c r="E188" i="15" s="1"/>
  <c r="F202" i="10"/>
  <c r="E69" i="15" s="1"/>
  <c r="AD201" i="10"/>
  <c r="AA201" i="10"/>
  <c r="X201" i="10"/>
  <c r="U201" i="10"/>
  <c r="R201" i="10"/>
  <c r="O201" i="10"/>
  <c r="L201" i="10"/>
  <c r="I201" i="10"/>
  <c r="E187" i="15" s="1"/>
  <c r="F201" i="10"/>
  <c r="E68" i="15" s="1"/>
  <c r="AD200" i="10"/>
  <c r="AA200" i="10"/>
  <c r="X200" i="10"/>
  <c r="U200" i="10"/>
  <c r="R200" i="10"/>
  <c r="O200" i="10"/>
  <c r="L200" i="10"/>
  <c r="I200" i="10"/>
  <c r="E186" i="15" s="1"/>
  <c r="F200" i="10"/>
  <c r="E67" i="15" s="1"/>
  <c r="AD199" i="10"/>
  <c r="AA199" i="10"/>
  <c r="X199" i="10"/>
  <c r="U199" i="10"/>
  <c r="R199" i="10"/>
  <c r="O199" i="10"/>
  <c r="L199" i="10"/>
  <c r="I199" i="10"/>
  <c r="E185" i="15" s="1"/>
  <c r="F199" i="10"/>
  <c r="E66" i="15" s="1"/>
  <c r="AD195" i="10"/>
  <c r="AA195" i="10"/>
  <c r="X195" i="10"/>
  <c r="U195" i="10"/>
  <c r="R195" i="10"/>
  <c r="O195" i="10"/>
  <c r="L195" i="10"/>
  <c r="AD194" i="10"/>
  <c r="AA194" i="10"/>
  <c r="X194" i="10"/>
  <c r="U194" i="10"/>
  <c r="R194" i="10"/>
  <c r="O194" i="10"/>
  <c r="L194" i="10"/>
  <c r="AD190" i="10"/>
  <c r="AA190" i="10"/>
  <c r="X190" i="10"/>
  <c r="U190" i="10"/>
  <c r="R190" i="10"/>
  <c r="O190" i="10"/>
  <c r="L190" i="10"/>
  <c r="AD189" i="10"/>
  <c r="AA189" i="10"/>
  <c r="X189" i="10"/>
  <c r="U189" i="10"/>
  <c r="R189" i="10"/>
  <c r="O189" i="10"/>
  <c r="L189" i="10"/>
  <c r="I189" i="10"/>
  <c r="F189" i="10"/>
  <c r="AD188" i="10"/>
  <c r="AA188" i="10"/>
  <c r="X188" i="10"/>
  <c r="U188" i="10"/>
  <c r="R188" i="10"/>
  <c r="O188" i="10"/>
  <c r="L188" i="10"/>
  <c r="I188" i="10"/>
  <c r="F188" i="10"/>
  <c r="AD187" i="10"/>
  <c r="AA187" i="10"/>
  <c r="X187" i="10"/>
  <c r="U187" i="10"/>
  <c r="R187" i="10"/>
  <c r="O187" i="10"/>
  <c r="L187" i="10"/>
  <c r="I187" i="10"/>
  <c r="F187" i="10"/>
  <c r="I186" i="10"/>
  <c r="F186" i="10"/>
  <c r="AD185" i="10"/>
  <c r="AA185" i="10"/>
  <c r="X185" i="10"/>
  <c r="U185" i="10"/>
  <c r="R185" i="10"/>
  <c r="O185" i="10"/>
  <c r="L185" i="10"/>
  <c r="I185" i="10"/>
  <c r="F185" i="10"/>
  <c r="I184" i="10"/>
  <c r="F184" i="10"/>
  <c r="AD183" i="10"/>
  <c r="AA183" i="10"/>
  <c r="X183" i="10"/>
  <c r="U183" i="10"/>
  <c r="R183" i="10"/>
  <c r="O183" i="10"/>
  <c r="L183" i="10"/>
  <c r="I183" i="10"/>
  <c r="F183" i="10"/>
  <c r="AD182" i="10"/>
  <c r="AA182" i="10"/>
  <c r="X182" i="10"/>
  <c r="U182" i="10"/>
  <c r="R182" i="10"/>
  <c r="O182" i="10"/>
  <c r="L182" i="10"/>
  <c r="I182" i="10"/>
  <c r="F182" i="10"/>
  <c r="I178" i="10"/>
  <c r="F178" i="10"/>
  <c r="I177" i="10"/>
  <c r="F177" i="10"/>
  <c r="AD176" i="10" a="1"/>
  <c r="AD176" i="10"/>
  <c r="AA176" i="10" a="1"/>
  <c r="AA176" i="10"/>
  <c r="X176" i="10" a="1"/>
  <c r="X176" i="10"/>
  <c r="U176" i="10" a="1"/>
  <c r="U176" i="10"/>
  <c r="R176" i="10" a="1"/>
  <c r="R176" i="10" s="1"/>
  <c r="O176" i="10" a="1"/>
  <c r="O176" i="10"/>
  <c r="L176" i="10" a="1"/>
  <c r="L176" i="10"/>
  <c r="I176" i="10"/>
  <c r="F176" i="10"/>
  <c r="AD175" i="10" a="1"/>
  <c r="AD175" i="10"/>
  <c r="AA175" i="10" a="1"/>
  <c r="AA175" i="10" s="1"/>
  <c r="X175" i="10" a="1"/>
  <c r="X175" i="10"/>
  <c r="U175" i="10" a="1"/>
  <c r="U175" i="10"/>
  <c r="R175" i="10" a="1"/>
  <c r="R175" i="10"/>
  <c r="O175" i="10" a="1"/>
  <c r="O175" i="10"/>
  <c r="L175" i="10" a="1"/>
  <c r="L175" i="10" s="1"/>
  <c r="I175" i="10"/>
  <c r="F175" i="10"/>
  <c r="I174" i="10"/>
  <c r="I173" i="10"/>
  <c r="AD172" i="10"/>
  <c r="AA172" i="10"/>
  <c r="X172" i="10"/>
  <c r="U172" i="10"/>
  <c r="R172" i="10"/>
  <c r="O172" i="10"/>
  <c r="L172" i="10"/>
  <c r="I172" i="10"/>
  <c r="F172" i="10"/>
  <c r="AD171" i="10"/>
  <c r="AA171" i="10"/>
  <c r="X171" i="10"/>
  <c r="U171" i="10"/>
  <c r="R171" i="10"/>
  <c r="O171" i="10"/>
  <c r="L171" i="10"/>
  <c r="I171" i="10"/>
  <c r="F171" i="10"/>
  <c r="AD170" i="10"/>
  <c r="AA170" i="10"/>
  <c r="X170" i="10"/>
  <c r="U170" i="10"/>
  <c r="R170" i="10"/>
  <c r="O170" i="10"/>
  <c r="L170" i="10"/>
  <c r="I170" i="10"/>
  <c r="F170" i="10"/>
  <c r="AD169" i="10"/>
  <c r="AA169" i="10"/>
  <c r="X169" i="10"/>
  <c r="U169" i="10"/>
  <c r="R169" i="10"/>
  <c r="O169" i="10"/>
  <c r="L169" i="10"/>
  <c r="I169" i="10"/>
  <c r="F169" i="10"/>
  <c r="AD168" i="10"/>
  <c r="AA168" i="10"/>
  <c r="X168" i="10"/>
  <c r="U168" i="10"/>
  <c r="R168" i="10"/>
  <c r="O168" i="10"/>
  <c r="L168" i="10"/>
  <c r="I168" i="10"/>
  <c r="F168" i="10"/>
  <c r="AD167" i="10"/>
  <c r="AA167" i="10"/>
  <c r="X167" i="10"/>
  <c r="U167" i="10"/>
  <c r="R167" i="10"/>
  <c r="O167" i="10"/>
  <c r="L167" i="10"/>
  <c r="I167" i="10"/>
  <c r="F167" i="10"/>
  <c r="AD166" i="10"/>
  <c r="AA166" i="10"/>
  <c r="X166" i="10"/>
  <c r="U166" i="10"/>
  <c r="R166" i="10"/>
  <c r="O166" i="10"/>
  <c r="L166" i="10"/>
  <c r="I166" i="10"/>
  <c r="F166" i="10"/>
  <c r="AD165" i="10"/>
  <c r="AA165" i="10"/>
  <c r="X165" i="10"/>
  <c r="U165" i="10"/>
  <c r="R165" i="10"/>
  <c r="O165" i="10"/>
  <c r="L165" i="10"/>
  <c r="I165" i="10"/>
  <c r="F165" i="10"/>
  <c r="F161" i="10"/>
  <c r="I160" i="10"/>
  <c r="I159" i="10"/>
  <c r="F159" i="10"/>
  <c r="I158" i="10"/>
  <c r="F158" i="10"/>
  <c r="I157" i="10"/>
  <c r="F157" i="10"/>
  <c r="I156" i="10"/>
  <c r="F156" i="10"/>
  <c r="I155" i="10"/>
  <c r="F155" i="10"/>
  <c r="I151" i="10"/>
  <c r="F151" i="10"/>
  <c r="I150" i="10"/>
  <c r="F150" i="10"/>
  <c r="I149" i="10"/>
  <c r="F149" i="10"/>
  <c r="I148" i="10"/>
  <c r="F148" i="10"/>
  <c r="I147" i="10"/>
  <c r="F147" i="10"/>
  <c r="I146" i="10"/>
  <c r="F146" i="10"/>
  <c r="I145" i="10"/>
  <c r="F145" i="10"/>
  <c r="I144" i="10"/>
  <c r="F144" i="10"/>
  <c r="I143" i="10"/>
  <c r="F143" i="10"/>
  <c r="I142" i="10"/>
  <c r="F142" i="10"/>
  <c r="I141" i="10"/>
  <c r="F141" i="10"/>
  <c r="I140" i="10"/>
  <c r="F140" i="10"/>
  <c r="F136" i="10"/>
  <c r="I135" i="10"/>
  <c r="F135" i="10"/>
  <c r="I132" i="10"/>
  <c r="C142" i="15" s="1"/>
  <c r="F132" i="10"/>
  <c r="C18" i="15" s="1"/>
  <c r="I131" i="10"/>
  <c r="C141" i="15" s="1"/>
  <c r="F131" i="10"/>
  <c r="C17" i="15" s="1"/>
  <c r="I130" i="10"/>
  <c r="F130" i="10"/>
  <c r="AD129" i="10"/>
  <c r="I128" i="10"/>
  <c r="C138" i="15" s="1"/>
  <c r="F128" i="10"/>
  <c r="C14" i="15" s="1"/>
  <c r="I127" i="10"/>
  <c r="F127" i="10"/>
  <c r="C13" i="15" s="1"/>
  <c r="I126" i="10"/>
  <c r="I395" i="10" s="1"/>
  <c r="C161" i="15" s="1"/>
  <c r="F126" i="10"/>
  <c r="F389" i="10" s="1"/>
  <c r="C37" i="15" s="1"/>
  <c r="O125" i="10"/>
  <c r="L125" i="10"/>
  <c r="I125" i="10"/>
  <c r="C135" i="15" s="1"/>
  <c r="F125" i="10"/>
  <c r="AD121" i="10"/>
  <c r="AA121" i="10"/>
  <c r="X121" i="10"/>
  <c r="U121" i="10"/>
  <c r="R121" i="10"/>
  <c r="O121" i="10"/>
  <c r="L121" i="10"/>
  <c r="I121" i="10"/>
  <c r="F121" i="10"/>
  <c r="C31" i="15" s="1"/>
  <c r="AD120" i="10"/>
  <c r="AA120" i="10"/>
  <c r="X120" i="10"/>
  <c r="U120" i="10"/>
  <c r="R120" i="10"/>
  <c r="O120" i="10"/>
  <c r="L120" i="10"/>
  <c r="I120" i="10"/>
  <c r="F120" i="10"/>
  <c r="C30" i="15" s="1"/>
  <c r="AD119" i="10"/>
  <c r="AA119" i="10"/>
  <c r="X119" i="10"/>
  <c r="U119" i="10"/>
  <c r="R119" i="10"/>
  <c r="O119" i="10"/>
  <c r="L119" i="10"/>
  <c r="I119" i="10"/>
  <c r="F119" i="10"/>
  <c r="C29" i="15" s="1"/>
  <c r="AD118" i="10"/>
  <c r="AA118" i="10"/>
  <c r="X118" i="10"/>
  <c r="U118" i="10"/>
  <c r="R118" i="10"/>
  <c r="O118" i="10"/>
  <c r="L118" i="10"/>
  <c r="I118" i="10"/>
  <c r="F118" i="10"/>
  <c r="C28" i="15" s="1"/>
  <c r="AD117" i="10"/>
  <c r="AA117" i="10"/>
  <c r="X117" i="10"/>
  <c r="U117" i="10"/>
  <c r="R117" i="10"/>
  <c r="O117" i="10"/>
  <c r="L117" i="10"/>
  <c r="I117" i="10"/>
  <c r="F117" i="10"/>
  <c r="C27" i="15" s="1"/>
  <c r="AD116" i="10"/>
  <c r="AA116" i="10"/>
  <c r="X116" i="10"/>
  <c r="U116" i="10"/>
  <c r="R116" i="10"/>
  <c r="O116" i="10"/>
  <c r="L116" i="10"/>
  <c r="I116" i="10"/>
  <c r="F116" i="10"/>
  <c r="C26" i="15" s="1"/>
  <c r="AD115" i="10"/>
  <c r="AA115" i="10"/>
  <c r="X115" i="10"/>
  <c r="U115" i="10"/>
  <c r="R115" i="10"/>
  <c r="O115" i="10"/>
  <c r="L115" i="10"/>
  <c r="I115" i="10"/>
  <c r="I384" i="10" s="1"/>
  <c r="F115" i="10"/>
  <c r="C25" i="15" s="1"/>
  <c r="I110" i="10"/>
  <c r="F110" i="10"/>
  <c r="I109" i="10"/>
  <c r="F109" i="10"/>
  <c r="I108" i="10"/>
  <c r="F108" i="10"/>
  <c r="I107" i="10"/>
  <c r="F107" i="10"/>
  <c r="I106" i="10"/>
  <c r="I91" i="10" s="1"/>
  <c r="F106" i="10"/>
  <c r="F58" i="10" s="1"/>
  <c r="I105" i="10"/>
  <c r="I90" i="10" s="1"/>
  <c r="F105" i="10"/>
  <c r="F90" i="10" s="1"/>
  <c r="I104" i="10" a="1"/>
  <c r="I104" i="10"/>
  <c r="F104" i="10"/>
  <c r="F89" i="10" s="1"/>
  <c r="G15" i="15" s="1"/>
  <c r="I103" i="10"/>
  <c r="I56" i="10" s="1"/>
  <c r="F103" i="10"/>
  <c r="F41" i="10" s="1"/>
  <c r="F14" i="15" s="1" a="1"/>
  <c r="F14" i="15" s="1"/>
  <c r="E103" i="10"/>
  <c r="I102" i="10"/>
  <c r="I55" i="10" s="1"/>
  <c r="F102" i="10"/>
  <c r="F55" i="10" s="1"/>
  <c r="I101" i="10"/>
  <c r="I39" i="10" s="1"/>
  <c r="F101" i="10"/>
  <c r="F39" i="10" s="1"/>
  <c r="I100" i="10" a="1"/>
  <c r="I100" i="10" s="1"/>
  <c r="I53" i="10" s="1"/>
  <c r="F100" i="10"/>
  <c r="F53" i="10" s="1"/>
  <c r="I96" i="10"/>
  <c r="D353" i="12" s="1"/>
  <c r="I95" i="10"/>
  <c r="G144" i="15" s="1"/>
  <c r="F95" i="10"/>
  <c r="G20" i="15" s="1"/>
  <c r="AD94" i="10"/>
  <c r="AA94" i="10"/>
  <c r="X94" i="10"/>
  <c r="U94" i="10"/>
  <c r="R94" i="10"/>
  <c r="O94" i="10"/>
  <c r="L94" i="10"/>
  <c r="I94" i="10"/>
  <c r="G143" i="15" s="1"/>
  <c r="F94" i="10"/>
  <c r="G19" i="15" s="1"/>
  <c r="AD93" i="10"/>
  <c r="AA93" i="10"/>
  <c r="X93" i="10"/>
  <c r="U93" i="10"/>
  <c r="R93" i="10"/>
  <c r="O93" i="10"/>
  <c r="L93" i="10"/>
  <c r="I93" i="10"/>
  <c r="G142" i="15" s="1"/>
  <c r="F93" i="10"/>
  <c r="G18" i="15" s="1"/>
  <c r="AD92" i="10"/>
  <c r="AA92" i="10"/>
  <c r="X92" i="10"/>
  <c r="U92" i="10"/>
  <c r="R92" i="10"/>
  <c r="O92" i="10"/>
  <c r="L92" i="10"/>
  <c r="I92" i="10"/>
  <c r="G141" i="15" s="1"/>
  <c r="F92" i="10"/>
  <c r="G17" i="15" s="1"/>
  <c r="AD90" i="10"/>
  <c r="AA90" i="10"/>
  <c r="X90" i="10"/>
  <c r="U90" i="10"/>
  <c r="R90" i="10"/>
  <c r="O90" i="10"/>
  <c r="L90" i="10"/>
  <c r="AD89" i="10"/>
  <c r="AA89" i="10"/>
  <c r="X89" i="10"/>
  <c r="U89" i="10"/>
  <c r="R89" i="10"/>
  <c r="O89" i="10"/>
  <c r="L89" i="10"/>
  <c r="I89" i="10"/>
  <c r="G139" i="15" s="1"/>
  <c r="AD88" i="10"/>
  <c r="AC88" i="10"/>
  <c r="AA88" i="10"/>
  <c r="Z88" i="10"/>
  <c r="X88" i="10"/>
  <c r="W88" i="10"/>
  <c r="U88" i="10"/>
  <c r="T88" i="10"/>
  <c r="R88" i="10"/>
  <c r="Q88" i="10"/>
  <c r="O88" i="10"/>
  <c r="N88" i="10"/>
  <c r="L88" i="10"/>
  <c r="K88" i="10"/>
  <c r="F88" i="10"/>
  <c r="G14" i="15" s="1"/>
  <c r="E88" i="10"/>
  <c r="AD87" i="10"/>
  <c r="AA87" i="10"/>
  <c r="X87" i="10"/>
  <c r="U87" i="10"/>
  <c r="R87" i="10"/>
  <c r="O87" i="10"/>
  <c r="L87" i="10"/>
  <c r="AD86" i="10"/>
  <c r="AA86" i="10"/>
  <c r="X86" i="10"/>
  <c r="U86" i="10"/>
  <c r="R86" i="10"/>
  <c r="O86" i="10"/>
  <c r="L86" i="10"/>
  <c r="AD85" i="10"/>
  <c r="AA85" i="10"/>
  <c r="X85" i="10"/>
  <c r="U85" i="10"/>
  <c r="R85" i="10"/>
  <c r="O85" i="10"/>
  <c r="L85" i="10"/>
  <c r="I80" i="10"/>
  <c r="H140" i="15" s="1"/>
  <c r="F80" i="10"/>
  <c r="H16" i="15" s="1"/>
  <c r="AD78" i="10"/>
  <c r="AA78" i="10"/>
  <c r="X78" i="10"/>
  <c r="U78" i="10"/>
  <c r="R78" i="10"/>
  <c r="O78" i="10"/>
  <c r="L78" i="10"/>
  <c r="F78" i="10"/>
  <c r="H19" i="15" s="1"/>
  <c r="AD77" i="10"/>
  <c r="AA77" i="10"/>
  <c r="X77" i="10"/>
  <c r="U77" i="10"/>
  <c r="R77" i="10"/>
  <c r="O77" i="10"/>
  <c r="L77" i="10"/>
  <c r="I77" i="10"/>
  <c r="H142" i="15" s="1"/>
  <c r="F77" i="10"/>
  <c r="H18" i="15" s="1"/>
  <c r="AD76" i="10"/>
  <c r="AA76" i="10"/>
  <c r="X76" i="10"/>
  <c r="U76" i="10"/>
  <c r="R76" i="10"/>
  <c r="O76" i="10"/>
  <c r="L76" i="10"/>
  <c r="I76" i="10"/>
  <c r="H141" i="15" s="1"/>
  <c r="F76" i="10"/>
  <c r="H17" i="15" s="1"/>
  <c r="I75" i="10"/>
  <c r="F75" i="10"/>
  <c r="AD74" i="10"/>
  <c r="AA74" i="10"/>
  <c r="X74" i="10"/>
  <c r="U74" i="10"/>
  <c r="R74" i="10"/>
  <c r="O74" i="10"/>
  <c r="L74" i="10"/>
  <c r="I74" i="10"/>
  <c r="F74" i="10"/>
  <c r="AD73" i="10"/>
  <c r="AA73" i="10"/>
  <c r="X73" i="10"/>
  <c r="U73" i="10"/>
  <c r="R73" i="10"/>
  <c r="O73" i="10"/>
  <c r="L73" i="10"/>
  <c r="I73" i="10"/>
  <c r="H139" i="15" s="1"/>
  <c r="F73" i="10"/>
  <c r="H15" i="15" s="1"/>
  <c r="AD72" i="10"/>
  <c r="AC72" i="10"/>
  <c r="AA72" i="10"/>
  <c r="Z72" i="10"/>
  <c r="X72" i="10"/>
  <c r="W72" i="10"/>
  <c r="U72" i="10"/>
  <c r="T72" i="10"/>
  <c r="R72" i="10"/>
  <c r="Q72" i="10"/>
  <c r="O72" i="10"/>
  <c r="N72" i="10"/>
  <c r="L72" i="10"/>
  <c r="K72" i="10"/>
  <c r="I72" i="10"/>
  <c r="H138" i="15" s="1"/>
  <c r="F72" i="10"/>
  <c r="H14" i="15" s="1"/>
  <c r="E72" i="10"/>
  <c r="AD71" i="10"/>
  <c r="AA71" i="10"/>
  <c r="X71" i="10"/>
  <c r="U71" i="10"/>
  <c r="R71" i="10"/>
  <c r="O71" i="10"/>
  <c r="L71" i="10"/>
  <c r="I71" i="10"/>
  <c r="F71" i="10"/>
  <c r="H13" i="15" s="1"/>
  <c r="AD70" i="10"/>
  <c r="AA70" i="10"/>
  <c r="X70" i="10"/>
  <c r="U70" i="10"/>
  <c r="R70" i="10"/>
  <c r="O70" i="10"/>
  <c r="L70" i="10"/>
  <c r="I70" i="10"/>
  <c r="H136" i="15" s="1"/>
  <c r="F70" i="10"/>
  <c r="H12" i="15" s="1"/>
  <c r="AD69" i="10"/>
  <c r="AA69" i="10"/>
  <c r="X69" i="10"/>
  <c r="U69" i="10"/>
  <c r="R69" i="10"/>
  <c r="O69" i="10"/>
  <c r="L69" i="10"/>
  <c r="I69" i="10"/>
  <c r="H135" i="15" s="1"/>
  <c r="F69" i="10"/>
  <c r="H11" i="15" s="1"/>
  <c r="I64" i="10"/>
  <c r="I63" i="10"/>
  <c r="AD62" i="10"/>
  <c r="AA62" i="10"/>
  <c r="X62" i="10"/>
  <c r="U62" i="10"/>
  <c r="R62" i="10"/>
  <c r="R32" i="10" s="1"/>
  <c r="O62" i="10"/>
  <c r="L62" i="10"/>
  <c r="I62" i="10"/>
  <c r="I348" i="10" s="1"/>
  <c r="F62" i="10"/>
  <c r="F344" i="10" s="1"/>
  <c r="AD61" i="10"/>
  <c r="AA61" i="10"/>
  <c r="X61" i="10"/>
  <c r="U61" i="10"/>
  <c r="R61" i="10"/>
  <c r="O61" i="10"/>
  <c r="O31" i="10" s="1"/>
  <c r="L61" i="10"/>
  <c r="AD60" i="10"/>
  <c r="AA60" i="10"/>
  <c r="X60" i="10"/>
  <c r="U60" i="10"/>
  <c r="R60" i="10"/>
  <c r="O60" i="10"/>
  <c r="L60" i="10"/>
  <c r="L30" i="10" s="1"/>
  <c r="C60" i="10"/>
  <c r="AD58" i="10"/>
  <c r="AA58" i="10"/>
  <c r="X58" i="10"/>
  <c r="U58" i="10"/>
  <c r="R58" i="10"/>
  <c r="O58" i="10"/>
  <c r="O28" i="10" s="1"/>
  <c r="L58" i="10"/>
  <c r="AD57" i="10"/>
  <c r="AD27" i="10" s="1"/>
  <c r="AA57" i="10"/>
  <c r="X57" i="10"/>
  <c r="X27" i="10" s="1"/>
  <c r="U57" i="10"/>
  <c r="R57" i="10"/>
  <c r="O57" i="10"/>
  <c r="L57" i="10"/>
  <c r="F57" i="10"/>
  <c r="AD56" i="10"/>
  <c r="AA56" i="10"/>
  <c r="X56" i="10"/>
  <c r="U56" i="10"/>
  <c r="R56" i="10"/>
  <c r="O56" i="10"/>
  <c r="L56" i="10"/>
  <c r="C56" i="10"/>
  <c r="AD55" i="10"/>
  <c r="AA55" i="10"/>
  <c r="X55" i="10"/>
  <c r="U55" i="10"/>
  <c r="R55" i="10"/>
  <c r="O55" i="10"/>
  <c r="L55" i="10"/>
  <c r="C55" i="10"/>
  <c r="C54" i="10"/>
  <c r="C53" i="10"/>
  <c r="C52" i="10"/>
  <c r="I49" i="10"/>
  <c r="F140" i="15" s="1"/>
  <c r="C48" i="10"/>
  <c r="AD47" i="10"/>
  <c r="AD32" i="10" s="1"/>
  <c r="AA47" i="10"/>
  <c r="X47" i="10"/>
  <c r="U47" i="10"/>
  <c r="R47" i="10"/>
  <c r="O47" i="10"/>
  <c r="O32" i="10" s="1"/>
  <c r="L47" i="10"/>
  <c r="L32" i="10" s="1"/>
  <c r="C47" i="10"/>
  <c r="AD46" i="10"/>
  <c r="AD31" i="10" s="1"/>
  <c r="AA46" i="10"/>
  <c r="X46" i="10"/>
  <c r="U46" i="10"/>
  <c r="R46" i="10"/>
  <c r="O46" i="10"/>
  <c r="L46" i="10"/>
  <c r="L31" i="10" s="1"/>
  <c r="C46" i="10"/>
  <c r="AD45" i="10"/>
  <c r="AD30" i="10" s="1"/>
  <c r="AA45" i="10"/>
  <c r="AA30" i="10" s="1"/>
  <c r="X45" i="10"/>
  <c r="U45" i="10"/>
  <c r="R45" i="10"/>
  <c r="O45" i="10"/>
  <c r="L45" i="10"/>
  <c r="C45" i="10"/>
  <c r="AD44" i="10"/>
  <c r="AA44" i="10"/>
  <c r="AD28" i="10" s="1"/>
  <c r="X44" i="10"/>
  <c r="U44" i="10"/>
  <c r="R44" i="10"/>
  <c r="O44" i="10"/>
  <c r="L44" i="10"/>
  <c r="L28" i="10" s="1"/>
  <c r="C44" i="10"/>
  <c r="AD42" i="10"/>
  <c r="AA42" i="10"/>
  <c r="X42" i="10"/>
  <c r="U42" i="10"/>
  <c r="U27" i="10" s="1"/>
  <c r="R42" i="10"/>
  <c r="O42" i="10"/>
  <c r="L42" i="10"/>
  <c r="F42" i="10"/>
  <c r="F15" i="15" s="1" a="1"/>
  <c r="F15" i="15" s="1"/>
  <c r="AD41" i="10"/>
  <c r="AC41" i="10"/>
  <c r="AA41" i="10"/>
  <c r="Z41" i="10"/>
  <c r="X41" i="10"/>
  <c r="X26" i="10" s="1"/>
  <c r="W41" i="10"/>
  <c r="U41" i="10"/>
  <c r="T41" i="10"/>
  <c r="R41" i="10"/>
  <c r="Q41" i="10"/>
  <c r="O41" i="10"/>
  <c r="N41" i="10"/>
  <c r="L41" i="10"/>
  <c r="K41" i="10"/>
  <c r="I41" i="10"/>
  <c r="F138" i="15" s="1"/>
  <c r="E41" i="10"/>
  <c r="AD40" i="10"/>
  <c r="AA40" i="10"/>
  <c r="AA25" i="10" s="1"/>
  <c r="X40" i="10"/>
  <c r="U40" i="10"/>
  <c r="R40" i="10"/>
  <c r="O40" i="10"/>
  <c r="L40" i="10"/>
  <c r="C40" i="10"/>
  <c r="F38" i="10"/>
  <c r="F11" i="15" s="1" a="1"/>
  <c r="F11" i="15" s="1"/>
  <c r="C38" i="10"/>
  <c r="C37" i="10"/>
  <c r="C35" i="10"/>
  <c r="I34" i="10"/>
  <c r="E140" i="15" s="1"/>
  <c r="C34" i="10"/>
  <c r="I33" i="10"/>
  <c r="E144" i="15" s="1"/>
  <c r="F33" i="10"/>
  <c r="F63" i="10" s="1"/>
  <c r="C33" i="10"/>
  <c r="AA32" i="10"/>
  <c r="X32" i="10"/>
  <c r="U32" i="10"/>
  <c r="I32" i="10"/>
  <c r="E143" i="15" s="1"/>
  <c r="F32" i="10"/>
  <c r="E19" i="15" s="1"/>
  <c r="AA31" i="10"/>
  <c r="X31" i="10"/>
  <c r="U31" i="10"/>
  <c r="R31" i="10"/>
  <c r="I31" i="10"/>
  <c r="E142" i="15" s="1"/>
  <c r="F31" i="10"/>
  <c r="E18" i="15" s="1"/>
  <c r="X30" i="10"/>
  <c r="U30" i="10"/>
  <c r="R30" i="10"/>
  <c r="O30" i="10"/>
  <c r="I30" i="10"/>
  <c r="E141" i="15" s="1"/>
  <c r="F30" i="10"/>
  <c r="E17" i="15" s="1"/>
  <c r="AA28" i="10"/>
  <c r="X28" i="10"/>
  <c r="U28" i="10"/>
  <c r="R28" i="10"/>
  <c r="C28" i="10"/>
  <c r="R27" i="10"/>
  <c r="I27" i="10"/>
  <c r="E139" i="15" s="1"/>
  <c r="C27" i="10"/>
  <c r="AC26" i="10"/>
  <c r="Z26" i="10"/>
  <c r="W26" i="10"/>
  <c r="T26" i="10"/>
  <c r="Q26" i="10"/>
  <c r="N26" i="10"/>
  <c r="K26" i="10"/>
  <c r="E26" i="10"/>
  <c r="C26" i="10"/>
  <c r="C25" i="10"/>
  <c r="AD24" i="10"/>
  <c r="AD39" i="10" s="1"/>
  <c r="AA24" i="10"/>
  <c r="AA54" i="10" s="1"/>
  <c r="X24" i="10"/>
  <c r="X54" i="10" s="1"/>
  <c r="U24" i="10"/>
  <c r="U54" i="10" s="1"/>
  <c r="R24" i="10"/>
  <c r="R39" i="10" s="1"/>
  <c r="O24" i="10"/>
  <c r="O54" i="10" s="1"/>
  <c r="L24" i="10"/>
  <c r="L54" i="10" s="1"/>
  <c r="C24" i="10"/>
  <c r="AD23" i="10"/>
  <c r="AA23" i="10"/>
  <c r="X23" i="10"/>
  <c r="U23" i="10"/>
  <c r="R23" i="10"/>
  <c r="O23" i="10"/>
  <c r="L23" i="10"/>
  <c r="C23" i="10"/>
  <c r="AH22" i="10"/>
  <c r="AH21" i="10"/>
  <c r="I19" i="10"/>
  <c r="D140" i="15" s="1"/>
  <c r="F19" i="10"/>
  <c r="D16" i="15" s="1"/>
  <c r="C19" i="10"/>
  <c r="AH18" i="10"/>
  <c r="I18" i="10"/>
  <c r="D144" i="15" s="1"/>
  <c r="F18" i="10"/>
  <c r="C18" i="10"/>
  <c r="AD17" i="10"/>
  <c r="AA17" i="10"/>
  <c r="X17" i="10"/>
  <c r="U17" i="10"/>
  <c r="R17" i="10"/>
  <c r="O17" i="10"/>
  <c r="L17" i="10"/>
  <c r="I17" i="10"/>
  <c r="D143" i="15" s="1"/>
  <c r="F17" i="10"/>
  <c r="D19" i="15" s="1"/>
  <c r="C17" i="10"/>
  <c r="AD16" i="10"/>
  <c r="AD130" i="10" s="1"/>
  <c r="AA16" i="10"/>
  <c r="AA130" i="10" s="1"/>
  <c r="X16" i="10"/>
  <c r="X130" i="10" s="1"/>
  <c r="U16" i="10"/>
  <c r="U130" i="10" s="1"/>
  <c r="R16" i="10"/>
  <c r="R130" i="10" s="1"/>
  <c r="O16" i="10"/>
  <c r="O130" i="10" s="1"/>
  <c r="L16" i="10"/>
  <c r="L130" i="10" s="1"/>
  <c r="I16" i="10"/>
  <c r="D142" i="15" s="1"/>
  <c r="F16" i="10"/>
  <c r="D18" i="15" s="1"/>
  <c r="C16" i="10"/>
  <c r="AD15" i="10"/>
  <c r="AA15" i="10"/>
  <c r="AA129" i="10" s="1"/>
  <c r="X15" i="10"/>
  <c r="X129" i="10" s="1"/>
  <c r="U15" i="10"/>
  <c r="U129" i="10" s="1"/>
  <c r="R15" i="10"/>
  <c r="R129" i="10" s="1"/>
  <c r="O15" i="10"/>
  <c r="O129" i="10" s="1"/>
  <c r="L15" i="10"/>
  <c r="L129" i="10" s="1"/>
  <c r="I15" i="10"/>
  <c r="D141" i="15" s="1"/>
  <c r="F15" i="10"/>
  <c r="D17" i="15" s="1"/>
  <c r="C15" i="10"/>
  <c r="I14" i="10"/>
  <c r="F14" i="10"/>
  <c r="C14" i="10"/>
  <c r="AD13" i="10"/>
  <c r="AA13" i="10"/>
  <c r="X13" i="10"/>
  <c r="U13" i="10"/>
  <c r="R13" i="10"/>
  <c r="O13" i="10"/>
  <c r="L13" i="10"/>
  <c r="I13" i="10"/>
  <c r="F13" i="10"/>
  <c r="C13" i="10"/>
  <c r="AD12" i="10"/>
  <c r="AA12" i="10"/>
  <c r="X12" i="10"/>
  <c r="U12" i="10"/>
  <c r="R12" i="10"/>
  <c r="O12" i="10"/>
  <c r="L12" i="10"/>
  <c r="I12" i="10"/>
  <c r="D139" i="15" s="1"/>
  <c r="F12" i="10"/>
  <c r="D15" i="15" s="1"/>
  <c r="C12" i="10"/>
  <c r="AD11" i="10"/>
  <c r="AD128" i="10" s="1"/>
  <c r="AC11" i="10"/>
  <c r="AA11" i="10"/>
  <c r="AA128" i="10" s="1"/>
  <c r="Z11" i="10"/>
  <c r="X11" i="10"/>
  <c r="X128" i="10" s="1"/>
  <c r="W11" i="10"/>
  <c r="U11" i="10"/>
  <c r="U128" i="10" s="1"/>
  <c r="T11" i="10"/>
  <c r="R11" i="10"/>
  <c r="R128" i="10" s="1"/>
  <c r="Q11" i="10"/>
  <c r="O11" i="10"/>
  <c r="O128" i="10" s="1"/>
  <c r="N11" i="10"/>
  <c r="L11" i="10"/>
  <c r="L128" i="10" s="1"/>
  <c r="K11" i="10"/>
  <c r="I11" i="10"/>
  <c r="D138" i="15" s="1"/>
  <c r="F11" i="10"/>
  <c r="D14" i="15" s="1"/>
  <c r="E11" i="10"/>
  <c r="C11" i="10"/>
  <c r="AD10" i="10"/>
  <c r="AD127" i="10" s="1"/>
  <c r="AA10" i="10"/>
  <c r="AA127" i="10" s="1"/>
  <c r="X10" i="10"/>
  <c r="X127" i="10" s="1"/>
  <c r="U10" i="10"/>
  <c r="U127" i="10" s="1"/>
  <c r="R10" i="10"/>
  <c r="R127" i="10" s="1"/>
  <c r="O10" i="10"/>
  <c r="O127" i="10" s="1"/>
  <c r="L10" i="10"/>
  <c r="L127" i="10" s="1"/>
  <c r="I10" i="10"/>
  <c r="D137" i="15" s="1"/>
  <c r="F10" i="10"/>
  <c r="D13" i="15" s="1"/>
  <c r="C10" i="10"/>
  <c r="AD9" i="10"/>
  <c r="AD126" i="10" s="1"/>
  <c r="AA9" i="10"/>
  <c r="AA126" i="10" s="1"/>
  <c r="X9" i="10"/>
  <c r="X126" i="10" s="1"/>
  <c r="U9" i="10"/>
  <c r="U126" i="10" s="1"/>
  <c r="R9" i="10"/>
  <c r="R126" i="10" s="1"/>
  <c r="O9" i="10"/>
  <c r="O126" i="10" s="1"/>
  <c r="L9" i="10"/>
  <c r="L126" i="10" s="1"/>
  <c r="I9" i="10"/>
  <c r="D136" i="15" s="1"/>
  <c r="F9" i="10"/>
  <c r="D12" i="15" s="1"/>
  <c r="C9" i="10"/>
  <c r="AH8" i="10"/>
  <c r="AH10" i="10" s="1"/>
  <c r="AD8" i="10"/>
  <c r="AD125" i="10" s="1"/>
  <c r="AA8" i="10"/>
  <c r="AA125" i="10" s="1"/>
  <c r="X8" i="10"/>
  <c r="X125" i="10" s="1"/>
  <c r="U8" i="10"/>
  <c r="U125" i="10" s="1"/>
  <c r="R8" i="10"/>
  <c r="R125" i="10" s="1"/>
  <c r="O8" i="10"/>
  <c r="L8" i="10"/>
  <c r="I8" i="10"/>
  <c r="D135" i="15" s="1"/>
  <c r="C8" i="10"/>
  <c r="AH7" i="10"/>
  <c r="C540" i="12" s="1"/>
  <c r="T78" i="9"/>
  <c r="Q78" i="9"/>
  <c r="N78" i="9"/>
  <c r="K78" i="9"/>
  <c r="H78" i="9"/>
  <c r="E78" i="9"/>
  <c r="B78" i="9"/>
  <c r="T75" i="9"/>
  <c r="Q75" i="9"/>
  <c r="N75" i="9"/>
  <c r="K75" i="9"/>
  <c r="H75" i="9"/>
  <c r="E75" i="9"/>
  <c r="B75" i="9"/>
  <c r="T73" i="9"/>
  <c r="Q73" i="9"/>
  <c r="N73" i="9"/>
  <c r="K73" i="9"/>
  <c r="H73" i="9"/>
  <c r="E73" i="9"/>
  <c r="B73" i="9"/>
  <c r="X62" i="9"/>
  <c r="X61" i="9"/>
  <c r="X60" i="9"/>
  <c r="X59" i="9"/>
  <c r="X58" i="9"/>
  <c r="X57" i="9"/>
  <c r="Y54" i="9" a="1"/>
  <c r="Y54" i="9"/>
  <c r="X54" i="9"/>
  <c r="X53" i="9"/>
  <c r="Y51" i="9" a="1"/>
  <c r="Y51" i="9"/>
  <c r="X51" i="9"/>
  <c r="Y50" i="9" a="1"/>
  <c r="Y50" i="9" s="1"/>
  <c r="C50" i="9"/>
  <c r="Y49" i="9" a="1"/>
  <c r="Y49" i="9"/>
  <c r="X49" i="9"/>
  <c r="C49" i="9"/>
  <c r="X48" i="9"/>
  <c r="X44" i="9"/>
  <c r="X38" i="9"/>
  <c r="Y37" i="9"/>
  <c r="X37" i="9"/>
  <c r="X35" i="9"/>
  <c r="Y34" i="9"/>
  <c r="X34" i="9"/>
  <c r="Y33" i="9"/>
  <c r="X33" i="9"/>
  <c r="X31" i="9"/>
  <c r="X30" i="9"/>
  <c r="X29" i="9"/>
  <c r="X28" i="9"/>
  <c r="X27" i="9"/>
  <c r="Y26" i="9"/>
  <c r="X26" i="9"/>
  <c r="B18" i="9"/>
  <c r="X17" i="9"/>
  <c r="X16" i="9"/>
  <c r="X15" i="9"/>
  <c r="B15" i="9"/>
  <c r="Z14" i="9"/>
  <c r="B14" i="9"/>
  <c r="B13" i="9"/>
  <c r="B11" i="9"/>
  <c r="Z10" i="9"/>
  <c r="B8" i="9"/>
  <c r="Z7" i="9"/>
  <c r="Z6" i="9"/>
  <c r="X6" i="9"/>
  <c r="Z5" i="9"/>
  <c r="X5" i="9"/>
  <c r="B5" i="9"/>
  <c r="B4" i="9"/>
  <c r="B3" i="9"/>
  <c r="B476" i="7"/>
  <c r="B475" i="7"/>
  <c r="B474" i="7"/>
  <c r="C11" i="11" a="1"/>
  <c r="U9" i="11" l="1"/>
  <c r="U12" i="11"/>
  <c r="U35" i="11"/>
  <c r="U16" i="11"/>
  <c r="I42" i="10"/>
  <c r="F139" i="15" s="1"/>
  <c r="U14" i="11"/>
  <c r="AA21" i="11"/>
  <c r="I29" i="11"/>
  <c r="F239" i="10"/>
  <c r="D71" i="15" s="1"/>
  <c r="I32" i="11"/>
  <c r="F48" i="10"/>
  <c r="I88" i="10" a="1"/>
  <c r="I88" i="10" s="1"/>
  <c r="G138" i="15" s="1"/>
  <c r="U8" i="11"/>
  <c r="F238" i="10"/>
  <c r="D70" i="15" s="1"/>
  <c r="U10" i="11"/>
  <c r="U11" i="11"/>
  <c r="D45" i="16" s="1"/>
  <c r="L25" i="10"/>
  <c r="L26" i="10"/>
  <c r="AA26" i="10"/>
  <c r="AA27" i="10"/>
  <c r="I241" i="10"/>
  <c r="D192" i="15" s="1"/>
  <c r="F248" i="10"/>
  <c r="D80" i="15" s="1"/>
  <c r="U20" i="11"/>
  <c r="F46" i="10"/>
  <c r="F18" i="15" s="1" a="1"/>
  <c r="F18" i="15" s="1"/>
  <c r="F61" i="10"/>
  <c r="F343" i="10" s="1"/>
  <c r="I40" i="10"/>
  <c r="F137" i="15" s="1"/>
  <c r="F474" i="10"/>
  <c r="D121" i="15" s="1"/>
  <c r="I19" i="11"/>
  <c r="I21" i="11" s="1"/>
  <c r="F476" i="10"/>
  <c r="D123" i="15" s="1"/>
  <c r="F35" i="11"/>
  <c r="D207" i="15" s="1"/>
  <c r="D242" i="12"/>
  <c r="AD26" i="10"/>
  <c r="F54" i="10"/>
  <c r="D104" i="17" s="1"/>
  <c r="F56" i="10"/>
  <c r="I57" i="10"/>
  <c r="F481" i="10"/>
  <c r="D128" i="15" s="1"/>
  <c r="I22" i="11"/>
  <c r="I31" i="11"/>
  <c r="R38" i="11"/>
  <c r="E102" i="15" s="1"/>
  <c r="AA39" i="10"/>
  <c r="AD25" i="10"/>
  <c r="L27" i="10"/>
  <c r="O25" i="10"/>
  <c r="I239" i="10"/>
  <c r="D190" i="15" s="1"/>
  <c r="I243" i="10"/>
  <c r="D194" i="15" s="1"/>
  <c r="R35" i="11"/>
  <c r="D187" i="12" s="1"/>
  <c r="F12" i="12"/>
  <c r="C381" i="12" s="1"/>
  <c r="O27" i="10"/>
  <c r="R25" i="10"/>
  <c r="F40" i="10"/>
  <c r="F13" i="15" s="1" a="1"/>
  <c r="F13" i="15" s="1"/>
  <c r="I48" i="10"/>
  <c r="U25" i="10"/>
  <c r="I59" i="10"/>
  <c r="F85" i="10"/>
  <c r="F236" i="10"/>
  <c r="D68" i="15" s="1"/>
  <c r="F470" i="10"/>
  <c r="D117" i="15" s="1"/>
  <c r="I486" i="10"/>
  <c r="D227" i="15" s="1"/>
  <c r="F87" i="10"/>
  <c r="G13" i="15" s="1"/>
  <c r="I54" i="10"/>
  <c r="F60" i="10"/>
  <c r="F342" i="10" s="1"/>
  <c r="I61" i="10"/>
  <c r="I347" i="10" s="1"/>
  <c r="I86" i="10" a="1"/>
  <c r="I86" i="10" s="1"/>
  <c r="AD39" i="11" s="1"/>
  <c r="I87" i="10" a="1"/>
  <c r="I87" i="10" s="1"/>
  <c r="G137" i="15" s="1"/>
  <c r="I224" i="11"/>
  <c r="AD54" i="10"/>
  <c r="I60" i="10"/>
  <c r="I346" i="10" s="1"/>
  <c r="I363" i="10"/>
  <c r="G168" i="15" s="1"/>
  <c r="F394" i="10"/>
  <c r="C43" i="15" s="1"/>
  <c r="F480" i="10"/>
  <c r="D127" i="15" s="1"/>
  <c r="I42" i="11"/>
  <c r="AA53" i="11"/>
  <c r="F311" i="10"/>
  <c r="E39" i="15" s="1"/>
  <c r="F390" i="10"/>
  <c r="C38" i="15" s="1"/>
  <c r="Y35" i="9"/>
  <c r="O26" i="10"/>
  <c r="I43" i="10"/>
  <c r="I28" i="10" s="1"/>
  <c r="F26" i="10"/>
  <c r="E14" i="15" s="1"/>
  <c r="X39" i="10"/>
  <c r="X25" i="10"/>
  <c r="F242" i="10"/>
  <c r="D74" i="15" s="1"/>
  <c r="F246" i="10"/>
  <c r="D78" i="15" s="1"/>
  <c r="I272" i="10"/>
  <c r="F328" i="10"/>
  <c r="I364" i="10"/>
  <c r="G169" i="15" s="1"/>
  <c r="I480" i="10"/>
  <c r="D221" i="15" s="1"/>
  <c r="I489" i="10"/>
  <c r="D230" i="15" s="1"/>
  <c r="AA27" i="11"/>
  <c r="AA32" i="11"/>
  <c r="F11" i="12" s="1"/>
  <c r="C280" i="12" s="1"/>
  <c r="R86" i="11"/>
  <c r="D96" i="15" s="1"/>
  <c r="I233" i="11"/>
  <c r="C175" i="14"/>
  <c r="I26" i="10"/>
  <c r="E138" i="15" s="1"/>
  <c r="R26" i="10"/>
  <c r="F44" i="10"/>
  <c r="F29" i="10" s="1"/>
  <c r="F47" i="10"/>
  <c r="F19" i="15" s="1"/>
  <c r="C10" i="11"/>
  <c r="AA25" i="11"/>
  <c r="AD27" i="11"/>
  <c r="AA29" i="11"/>
  <c r="AA31" i="11"/>
  <c r="C72" i="14" s="1"/>
  <c r="C396" i="12"/>
  <c r="F45" i="10"/>
  <c r="F17" i="15" s="1" a="1"/>
  <c r="F17" i="15" s="1"/>
  <c r="F241" i="10"/>
  <c r="D73" i="15" s="1"/>
  <c r="I44" i="10"/>
  <c r="I29" i="10" s="1"/>
  <c r="I45" i="10"/>
  <c r="F141" i="15" s="1"/>
  <c r="I47" i="10"/>
  <c r="F143" i="15" s="1"/>
  <c r="F240" i="10"/>
  <c r="D72" i="15" s="1"/>
  <c r="I315" i="10"/>
  <c r="F357" i="10"/>
  <c r="I397" i="10"/>
  <c r="C163" i="15" s="1"/>
  <c r="I481" i="10"/>
  <c r="D222" i="15" s="1"/>
  <c r="R40" i="11"/>
  <c r="R45" i="11"/>
  <c r="D98" i="15" s="1"/>
  <c r="I46" i="10"/>
  <c r="F142" i="15" s="1"/>
  <c r="I25" i="10"/>
  <c r="E137" i="15" s="1"/>
  <c r="U26" i="10"/>
  <c r="I240" i="10"/>
  <c r="D191" i="15" s="1"/>
  <c r="F331" i="10"/>
  <c r="F235" i="10"/>
  <c r="D67" i="15" s="1"/>
  <c r="I314" i="10"/>
  <c r="F475" i="10"/>
  <c r="D122" i="15" s="1"/>
  <c r="I485" i="10"/>
  <c r="D226" i="15" s="1"/>
  <c r="F32" i="11"/>
  <c r="C49" i="11"/>
  <c r="D103" i="15" s="1" a="1"/>
  <c r="D103" i="15" s="1"/>
  <c r="C11" i="11"/>
  <c r="D268" i="13" a="1"/>
  <c r="D268" i="13" s="1"/>
  <c r="D328" i="13" a="1"/>
  <c r="D328" i="13" s="1"/>
  <c r="D251" i="13" a="1"/>
  <c r="D251" i="13" s="1"/>
  <c r="D347" i="13" a="1"/>
  <c r="D347" i="13" s="1"/>
  <c r="D135" i="17"/>
  <c r="D96" i="17" a="1"/>
  <c r="D96" i="17" s="1"/>
  <c r="D128" i="17"/>
  <c r="D248" i="13" a="1"/>
  <c r="D248" i="13" s="1"/>
  <c r="D265" i="13"/>
  <c r="D348" i="13"/>
  <c r="C283" i="12"/>
  <c r="E100" i="15"/>
  <c r="D189" i="12"/>
  <c r="F12" i="15" a="1"/>
  <c r="F12" i="15" s="1"/>
  <c r="F24" i="10"/>
  <c r="D327" i="13" a="1"/>
  <c r="D327" i="13" s="1"/>
  <c r="D250" i="13" a="1"/>
  <c r="D250" i="13" s="1"/>
  <c r="D267" i="13" a="1"/>
  <c r="D267" i="13" s="1"/>
  <c r="D346" i="13" a="1"/>
  <c r="D346" i="13" s="1"/>
  <c r="F136" i="15"/>
  <c r="I24" i="10"/>
  <c r="C184" i="14"/>
  <c r="C324" i="13"/>
  <c r="C252" i="13"/>
  <c r="C23" i="13"/>
  <c r="C172" i="14"/>
  <c r="C217" i="13"/>
  <c r="C153" i="14"/>
  <c r="C237" i="13"/>
  <c r="C241" i="13"/>
  <c r="C194" i="14"/>
  <c r="C58" i="12"/>
  <c r="B12" i="9"/>
  <c r="C60" i="12"/>
  <c r="C114" i="12" s="1"/>
  <c r="C59" i="12"/>
  <c r="C85" i="12"/>
  <c r="C17" i="12"/>
  <c r="B19" i="9"/>
  <c r="C462" i="13"/>
  <c r="C411" i="13"/>
  <c r="X24" i="9"/>
  <c r="D45" i="15"/>
  <c r="D20" i="15"/>
  <c r="U39" i="10"/>
  <c r="F43" i="10"/>
  <c r="F28" i="10" s="1"/>
  <c r="I58" i="10"/>
  <c r="D179" i="18"/>
  <c r="H137" i="15"/>
  <c r="C155" i="15"/>
  <c r="C180" i="15"/>
  <c r="F234" i="10"/>
  <c r="D66" i="15" s="1"/>
  <c r="F243" i="10"/>
  <c r="D75" i="15" s="1"/>
  <c r="I244" i="10"/>
  <c r="D195" i="15" s="1"/>
  <c r="F356" i="10"/>
  <c r="I362" i="10"/>
  <c r="G167" i="15" s="1"/>
  <c r="F467" i="10"/>
  <c r="D114" i="15" s="1"/>
  <c r="F473" i="10"/>
  <c r="D120" i="15" s="1"/>
  <c r="I478" i="10"/>
  <c r="D219" i="15" s="1"/>
  <c r="C113" i="15"/>
  <c r="B193" i="13" a="1"/>
  <c r="B193" i="13" s="1"/>
  <c r="D81" i="16"/>
  <c r="D76" i="16"/>
  <c r="D51" i="16"/>
  <c r="D35" i="16"/>
  <c r="D94" i="16"/>
  <c r="D58" i="16"/>
  <c r="D44" i="16"/>
  <c r="D90" i="16"/>
  <c r="D39" i="16"/>
  <c r="AD23" i="11"/>
  <c r="AA28" i="11"/>
  <c r="AA33" i="11"/>
  <c r="AA36" i="11"/>
  <c r="I50" i="11"/>
  <c r="I52" i="11"/>
  <c r="E94" i="15"/>
  <c r="D145" i="12"/>
  <c r="R85" i="11"/>
  <c r="D95" i="15" s="1"/>
  <c r="C95" i="15"/>
  <c r="D150" i="18"/>
  <c r="D92" i="18"/>
  <c r="D184" i="18"/>
  <c r="D198" i="18"/>
  <c r="C69" i="12"/>
  <c r="D184" i="12"/>
  <c r="C179" i="15"/>
  <c r="C154" i="15"/>
  <c r="F326" i="10"/>
  <c r="F40" i="15" s="1"/>
  <c r="F340" i="10"/>
  <c r="D168" i="17"/>
  <c r="D212" i="18"/>
  <c r="D520" i="13"/>
  <c r="D509" i="13"/>
  <c r="D205" i="15"/>
  <c r="C205" i="15"/>
  <c r="D98" i="17"/>
  <c r="D108" i="18"/>
  <c r="D46" i="18" a="1"/>
  <c r="D46" i="18" s="1"/>
  <c r="D53" i="18"/>
  <c r="D234" i="12"/>
  <c r="D275" i="12"/>
  <c r="D392" i="12"/>
  <c r="F86" i="10"/>
  <c r="C178" i="15"/>
  <c r="C153" i="15"/>
  <c r="I242" i="10"/>
  <c r="D193" i="15" s="1"/>
  <c r="I398" i="10"/>
  <c r="C164" i="15" s="1" a="1"/>
  <c r="C164" i="15" s="1"/>
  <c r="F468" i="10"/>
  <c r="D115" i="15" s="1"/>
  <c r="I479" i="10"/>
  <c r="D220" i="15" s="1"/>
  <c r="E99" i="15"/>
  <c r="D118" i="18"/>
  <c r="D374" i="12"/>
  <c r="AA51" i="11"/>
  <c r="AA52" i="11"/>
  <c r="E96" i="15"/>
  <c r="D149" i="12"/>
  <c r="D396" i="12"/>
  <c r="D405" i="12"/>
  <c r="D292" i="13"/>
  <c r="D276" i="13"/>
  <c r="D352" i="13"/>
  <c r="D356" i="13"/>
  <c r="D334" i="13"/>
  <c r="D300" i="13"/>
  <c r="D316" i="13"/>
  <c r="D302" i="13"/>
  <c r="D318" i="13"/>
  <c r="D358" i="13"/>
  <c r="D336" i="13"/>
  <c r="D129" i="17"/>
  <c r="D136" i="17"/>
  <c r="D12" i="12"/>
  <c r="D331" i="13"/>
  <c r="C9" i="14"/>
  <c r="D178" i="18"/>
  <c r="I332" i="10"/>
  <c r="F391" i="10"/>
  <c r="C39" i="15" s="1"/>
  <c r="I400" i="10"/>
  <c r="C166" i="15" s="1" a="1"/>
  <c r="C166" i="15" s="1"/>
  <c r="D115" i="17"/>
  <c r="D142" i="17"/>
  <c r="E204" i="15"/>
  <c r="D12" i="18"/>
  <c r="C176" i="18" s="1"/>
  <c r="C299" i="12"/>
  <c r="C99" i="14"/>
  <c r="C308" i="12"/>
  <c r="C298" i="12"/>
  <c r="C307" i="12"/>
  <c r="C297" i="12"/>
  <c r="C306" i="12"/>
  <c r="C296" i="12"/>
  <c r="C90" i="14" s="1"/>
  <c r="C305" i="12"/>
  <c r="C295" i="12"/>
  <c r="C87" i="14" s="1"/>
  <c r="C304" i="12"/>
  <c r="C294" i="12"/>
  <c r="C84" i="14" s="1"/>
  <c r="C300" i="12"/>
  <c r="C269" i="12"/>
  <c r="D126" i="18"/>
  <c r="C206" i="15"/>
  <c r="D170" i="13"/>
  <c r="C16" i="15"/>
  <c r="C41" i="15"/>
  <c r="D305" i="13"/>
  <c r="D280" i="13"/>
  <c r="O119" i="11"/>
  <c r="D61" i="13"/>
  <c r="D415" i="12"/>
  <c r="D418" i="12"/>
  <c r="D408" i="13"/>
  <c r="D459" i="13"/>
  <c r="D434" i="13"/>
  <c r="D114" i="17"/>
  <c r="D141" i="17"/>
  <c r="D149" i="17"/>
  <c r="D92" i="17"/>
  <c r="D87" i="17" a="1"/>
  <c r="D87" i="17" s="1"/>
  <c r="D105" i="18"/>
  <c r="D59" i="18"/>
  <c r="D91" i="14" a="1"/>
  <c r="D91" i="14" s="1"/>
  <c r="D85" i="14" a="1"/>
  <c r="D85" i="14" s="1"/>
  <c r="D88" i="14" a="1"/>
  <c r="D88" i="14" s="1"/>
  <c r="F45" i="15"/>
  <c r="F20" i="15" a="1"/>
  <c r="F20" i="15" s="1"/>
  <c r="G11" i="15"/>
  <c r="D377" i="12"/>
  <c r="C152" i="15"/>
  <c r="C177" i="15"/>
  <c r="C171" i="18"/>
  <c r="C127" i="18"/>
  <c r="C71" i="18"/>
  <c r="C51" i="18"/>
  <c r="C124" i="18"/>
  <c r="C117" i="18"/>
  <c r="C378" i="12"/>
  <c r="C241" i="12"/>
  <c r="C379" i="12"/>
  <c r="C240" i="12"/>
  <c r="I38" i="10"/>
  <c r="F169" i="15"/>
  <c r="F144" i="15"/>
  <c r="I401" i="10"/>
  <c r="C167" i="15" s="1" a="1"/>
  <c r="C167" i="15" s="1"/>
  <c r="C215" i="15"/>
  <c r="D343" i="12"/>
  <c r="B310" i="12" a="1"/>
  <c r="B310" i="12" s="1"/>
  <c r="AD44" i="11"/>
  <c r="D138" i="18"/>
  <c r="D45" i="18"/>
  <c r="D94" i="17"/>
  <c r="D104" i="18"/>
  <c r="D46" i="17"/>
  <c r="D50" i="18"/>
  <c r="D133" i="17"/>
  <c r="D57" i="18"/>
  <c r="D124" i="17"/>
  <c r="C87" i="15"/>
  <c r="C39" i="11"/>
  <c r="D87" i="15" s="1"/>
  <c r="D360" i="12"/>
  <c r="D134" i="17"/>
  <c r="D126" i="17"/>
  <c r="D97" i="17"/>
  <c r="D107" i="18"/>
  <c r="D139" i="18"/>
  <c r="D369" i="12"/>
  <c r="O53" i="11"/>
  <c r="D366" i="12"/>
  <c r="D375" i="13"/>
  <c r="D451" i="13"/>
  <c r="D426" i="13"/>
  <c r="D400" i="13"/>
  <c r="C140" i="15"/>
  <c r="C165" i="15"/>
  <c r="D278" i="12"/>
  <c r="D267" i="12"/>
  <c r="D291" i="12"/>
  <c r="D368" i="12"/>
  <c r="D361" i="12"/>
  <c r="D48" i="17" a="1"/>
  <c r="D48" i="17" s="1"/>
  <c r="D95" i="17"/>
  <c r="D142" i="13"/>
  <c r="D149" i="13"/>
  <c r="F140" i="11"/>
  <c r="D107" i="14"/>
  <c r="D111" i="14"/>
  <c r="D103" i="14"/>
  <c r="C185" i="15"/>
  <c r="D330" i="12"/>
  <c r="F378" i="10"/>
  <c r="I487" i="10"/>
  <c r="D228" i="15" s="1"/>
  <c r="D117" i="17"/>
  <c r="D394" i="12"/>
  <c r="D256" i="12"/>
  <c r="D100" i="16"/>
  <c r="D112" i="16"/>
  <c r="D104" i="16"/>
  <c r="D86" i="16"/>
  <c r="D108" i="16"/>
  <c r="AA22" i="11"/>
  <c r="F33" i="11"/>
  <c r="D70" i="18" s="1"/>
  <c r="R37" i="11"/>
  <c r="D197" i="12"/>
  <c r="D124" i="12"/>
  <c r="D178" i="12"/>
  <c r="D204" i="12"/>
  <c r="D142" i="12"/>
  <c r="D163" i="12"/>
  <c r="D136" i="12"/>
  <c r="R128" i="11"/>
  <c r="D112" i="12"/>
  <c r="D155" i="12"/>
  <c r="D237" i="12"/>
  <c r="B293" i="12" a="1"/>
  <c r="B293" i="12" s="1"/>
  <c r="D339" i="12"/>
  <c r="D370" i="12"/>
  <c r="D154" i="13"/>
  <c r="D246" i="13"/>
  <c r="C176" i="15"/>
  <c r="C151" i="15"/>
  <c r="C174" i="15"/>
  <c r="C149" i="15"/>
  <c r="F237" i="10"/>
  <c r="D69" i="15" s="1"/>
  <c r="I238" i="10"/>
  <c r="D189" i="15" s="1"/>
  <c r="F247" i="10"/>
  <c r="D79" i="15" s="1"/>
  <c r="I248" i="10"/>
  <c r="D199" i="15" s="1"/>
  <c r="I328" i="10"/>
  <c r="F164" i="15" s="1"/>
  <c r="F395" i="10"/>
  <c r="C216" i="15"/>
  <c r="D346" i="12"/>
  <c r="AD8" i="11"/>
  <c r="F36" i="11"/>
  <c r="D208" i="15" s="1"/>
  <c r="AA37" i="11"/>
  <c r="R39" i="11"/>
  <c r="AA40" i="11"/>
  <c r="AA42" i="11"/>
  <c r="D51" i="18"/>
  <c r="D117" i="18"/>
  <c r="D171" i="18"/>
  <c r="D241" i="12"/>
  <c r="D379" i="12"/>
  <c r="D240" i="12"/>
  <c r="D378" i="12"/>
  <c r="E97" i="15"/>
  <c r="D171" i="12"/>
  <c r="D293" i="13"/>
  <c r="D277" i="13"/>
  <c r="D353" i="13"/>
  <c r="D332" i="13"/>
  <c r="D280" i="12"/>
  <c r="C293" i="12"/>
  <c r="C81" i="14" s="1"/>
  <c r="D352" i="12"/>
  <c r="R54" i="10"/>
  <c r="F27" i="10"/>
  <c r="E15" i="15" s="1"/>
  <c r="L39" i="10"/>
  <c r="D109" i="18"/>
  <c r="D99" i="17"/>
  <c r="C11" i="15"/>
  <c r="C12" i="15"/>
  <c r="I237" i="10"/>
  <c r="D188" i="15" s="1"/>
  <c r="I247" i="10"/>
  <c r="D198" i="15" s="1"/>
  <c r="C186" i="15"/>
  <c r="D333" i="12"/>
  <c r="F329" i="10"/>
  <c r="F477" i="10"/>
  <c r="D124" i="15" s="1"/>
  <c r="I482" i="10"/>
  <c r="D223" i="15" s="1"/>
  <c r="I488" i="10"/>
  <c r="D229" i="15" s="1"/>
  <c r="AA24" i="11"/>
  <c r="AA26" i="11"/>
  <c r="D204" i="15"/>
  <c r="O89" i="11"/>
  <c r="AA34" i="11"/>
  <c r="AA39" i="11"/>
  <c r="C65" i="16" s="1"/>
  <c r="C41" i="11"/>
  <c r="D89" i="15" s="1"/>
  <c r="C43" i="11"/>
  <c r="D91" i="15" s="1"/>
  <c r="D197" i="18"/>
  <c r="D63" i="18"/>
  <c r="D183" i="18"/>
  <c r="D163" i="18"/>
  <c r="D154" i="18"/>
  <c r="D129" i="18"/>
  <c r="D173" i="18"/>
  <c r="D161" i="18"/>
  <c r="C204" i="15"/>
  <c r="D123" i="18"/>
  <c r="D402" i="12"/>
  <c r="D413" i="12"/>
  <c r="D223" i="12"/>
  <c r="D257" i="12"/>
  <c r="D412" i="12"/>
  <c r="D289" i="12"/>
  <c r="D264" i="12"/>
  <c r="D395" i="12"/>
  <c r="D116" i="18"/>
  <c r="D169" i="18"/>
  <c r="D106" i="17"/>
  <c r="D380" i="12"/>
  <c r="D506" i="13"/>
  <c r="D490" i="13"/>
  <c r="D507" i="13"/>
  <c r="D304" i="13"/>
  <c r="D279" i="13"/>
  <c r="R84" i="11"/>
  <c r="D94" i="15" s="1"/>
  <c r="D486" i="13"/>
  <c r="D516" i="13"/>
  <c r="D168" i="13"/>
  <c r="D235" i="13"/>
  <c r="D151" i="13"/>
  <c r="D476" i="13"/>
  <c r="D140" i="13"/>
  <c r="D215" i="13"/>
  <c r="D234" i="13"/>
  <c r="D148" i="13"/>
  <c r="D159" i="13"/>
  <c r="D226" i="13"/>
  <c r="D216" i="13"/>
  <c r="D132" i="13"/>
  <c r="D530" i="13"/>
  <c r="D298" i="13"/>
  <c r="D147" i="13"/>
  <c r="D313" i="13"/>
  <c r="D288" i="13"/>
  <c r="D125" i="13"/>
  <c r="D504" i="13"/>
  <c r="D227" i="13"/>
  <c r="D262" i="13"/>
  <c r="D119" i="13"/>
  <c r="D351" i="13"/>
  <c r="D291" i="13"/>
  <c r="D275" i="13"/>
  <c r="D330" i="13"/>
  <c r="D277" i="12"/>
  <c r="D230" i="12"/>
  <c r="F10" i="17"/>
  <c r="F9" i="17"/>
  <c r="D11" i="18"/>
  <c r="C166" i="18" s="1"/>
  <c r="F9" i="18"/>
  <c r="C23" i="14"/>
  <c r="C36" i="14" s="1"/>
  <c r="C109" i="13"/>
  <c r="E520" i="12"/>
  <c r="C113" i="13"/>
  <c r="C126" i="13" s="1"/>
  <c r="E528" i="12"/>
  <c r="F6" i="12"/>
  <c r="E536" i="12"/>
  <c r="E544" i="12"/>
  <c r="E560" i="12"/>
  <c r="L174" i="11"/>
  <c r="D147" i="12"/>
  <c r="C301" i="12"/>
  <c r="D371" i="12"/>
  <c r="E512" i="12"/>
  <c r="D342" i="13"/>
  <c r="C137" i="15"/>
  <c r="D175" i="18"/>
  <c r="D174" i="18"/>
  <c r="D191" i="18"/>
  <c r="O39" i="10"/>
  <c r="F59" i="10"/>
  <c r="F91" i="10"/>
  <c r="D189" i="18"/>
  <c r="D165" i="18"/>
  <c r="D164" i="18"/>
  <c r="D192" i="18"/>
  <c r="C136" i="15"/>
  <c r="D190" i="18"/>
  <c r="F245" i="10"/>
  <c r="D77" i="15" s="1"/>
  <c r="I246" i="10"/>
  <c r="D197" i="15" s="1"/>
  <c r="I283" i="10"/>
  <c r="I343" i="10"/>
  <c r="I380" i="10"/>
  <c r="H165" i="15" s="1"/>
  <c r="F466" i="10"/>
  <c r="D113" i="15" s="1"/>
  <c r="F471" i="10"/>
  <c r="D118" i="15" s="1"/>
  <c r="I477" i="10"/>
  <c r="D218" i="15" s="1"/>
  <c r="I483" i="10"/>
  <c r="D224" i="15" s="1"/>
  <c r="C217" i="15"/>
  <c r="D349" i="12"/>
  <c r="C8" i="11"/>
  <c r="D306" i="13"/>
  <c r="D281" i="13"/>
  <c r="D399" i="13"/>
  <c r="D220" i="13"/>
  <c r="D450" i="13"/>
  <c r="D374" i="13"/>
  <c r="D103" i="12"/>
  <c r="D425" i="13"/>
  <c r="D341" i="13"/>
  <c r="D323" i="13"/>
  <c r="D208" i="18"/>
  <c r="D164" i="17"/>
  <c r="C97" i="15"/>
  <c r="D351" i="12" a="1"/>
  <c r="D351" i="12" s="1"/>
  <c r="D341" i="12" a="1"/>
  <c r="D341" i="12" s="1"/>
  <c r="D354" i="12" a="1"/>
  <c r="D354" i="12" s="1"/>
  <c r="D345" i="12" a="1"/>
  <c r="D345" i="12" s="1"/>
  <c r="D332" i="12" a="1"/>
  <c r="D332" i="12" s="1"/>
  <c r="D285" i="12" a="1"/>
  <c r="D285" i="12" s="1"/>
  <c r="D338" i="12" a="1"/>
  <c r="D338" i="12" s="1"/>
  <c r="D127" i="18"/>
  <c r="D71" i="18"/>
  <c r="D76" i="18"/>
  <c r="D102" i="18"/>
  <c r="D97" i="18"/>
  <c r="D122" i="18"/>
  <c r="D133" i="18"/>
  <c r="D140" i="18"/>
  <c r="D112" i="18"/>
  <c r="D106" i="18"/>
  <c r="D64" i="14"/>
  <c r="D29" i="14"/>
  <c r="D181" i="14"/>
  <c r="D15" i="14"/>
  <c r="D57" i="14"/>
  <c r="D202" i="14"/>
  <c r="D212" i="14"/>
  <c r="D97" i="12"/>
  <c r="D284" i="12"/>
  <c r="C302" i="12"/>
  <c r="D344" i="12"/>
  <c r="B176" i="13" a="1"/>
  <c r="B176" i="13" s="1"/>
  <c r="G136" i="15"/>
  <c r="D168" i="18"/>
  <c r="D282" i="12"/>
  <c r="I85" i="10"/>
  <c r="C548" i="12"/>
  <c r="C508" i="12"/>
  <c r="C556" i="12"/>
  <c r="C516" i="12"/>
  <c r="C524" i="12"/>
  <c r="C150" i="15"/>
  <c r="C175" i="15"/>
  <c r="AH9" i="10"/>
  <c r="E45" i="15"/>
  <c r="E20" i="15"/>
  <c r="C463" i="13"/>
  <c r="C412" i="13"/>
  <c r="X50" i="9"/>
  <c r="F23" i="10"/>
  <c r="E11" i="15" s="1"/>
  <c r="F25" i="10"/>
  <c r="E13" i="15" s="1"/>
  <c r="D347" i="12"/>
  <c r="D334" i="12"/>
  <c r="D350" i="12"/>
  <c r="D337" i="12"/>
  <c r="G140" i="15"/>
  <c r="D340" i="12"/>
  <c r="D331" i="12"/>
  <c r="F244" i="10"/>
  <c r="D76" i="15" s="1"/>
  <c r="I245" i="10"/>
  <c r="D196" i="15" s="1"/>
  <c r="D336" i="12"/>
  <c r="C187" i="15"/>
  <c r="F330" i="10"/>
  <c r="I361" i="10"/>
  <c r="G166" i="15" s="1"/>
  <c r="I396" i="10"/>
  <c r="C162" i="15" s="1"/>
  <c r="F472" i="10"/>
  <c r="D119" i="15" s="1"/>
  <c r="F478" i="10"/>
  <c r="D125" i="15" s="1"/>
  <c r="I484" i="10"/>
  <c r="D225" i="15" s="1"/>
  <c r="F9" i="19"/>
  <c r="D9" i="18"/>
  <c r="C39" i="18"/>
  <c r="C200" i="18" s="1"/>
  <c r="C38" i="18"/>
  <c r="D9" i="17"/>
  <c r="C19" i="18"/>
  <c r="C46" i="16"/>
  <c r="C18" i="18"/>
  <c r="C17" i="18"/>
  <c r="C34" i="17"/>
  <c r="C109" i="17" s="1" a="1"/>
  <c r="C109" i="17" s="1"/>
  <c r="C19" i="16"/>
  <c r="F11" i="19"/>
  <c r="C29" i="17"/>
  <c r="C15" i="16"/>
  <c r="D11" i="19"/>
  <c r="C17" i="17"/>
  <c r="C43" i="14"/>
  <c r="C205" i="14"/>
  <c r="C129" i="14"/>
  <c r="D10" i="17"/>
  <c r="C245" i="14"/>
  <c r="C126" i="14"/>
  <c r="C15" i="14"/>
  <c r="C125" i="14"/>
  <c r="C130" i="14" s="1"/>
  <c r="C123" i="14"/>
  <c r="C127" i="14" s="1"/>
  <c r="C515" i="13"/>
  <c r="C11" i="14"/>
  <c r="C44" i="14" s="1"/>
  <c r="C100" i="13"/>
  <c r="C102" i="13" s="1"/>
  <c r="C234" i="14"/>
  <c r="C103" i="13"/>
  <c r="AA35" i="11"/>
  <c r="C169" i="13"/>
  <c r="C77" i="12"/>
  <c r="C162" i="13"/>
  <c r="C170" i="13" s="1"/>
  <c r="C101" i="13"/>
  <c r="C105" i="13" s="1"/>
  <c r="C74" i="12"/>
  <c r="C36" i="12"/>
  <c r="U201" i="11"/>
  <c r="C503" i="13"/>
  <c r="C111" i="13"/>
  <c r="C99" i="13"/>
  <c r="C28" i="12"/>
  <c r="D4" i="12"/>
  <c r="C42" i="14"/>
  <c r="C110" i="13"/>
  <c r="C108" i="13"/>
  <c r="C131" i="14"/>
  <c r="C203" i="14"/>
  <c r="C20" i="14"/>
  <c r="C21" i="14" s="1"/>
  <c r="C240" i="13"/>
  <c r="C118" i="14"/>
  <c r="C104" i="13"/>
  <c r="D10" i="12"/>
  <c r="AA23" i="11"/>
  <c r="D40" i="16"/>
  <c r="C86" i="15"/>
  <c r="D47" i="17"/>
  <c r="D58" i="18"/>
  <c r="D125" i="17"/>
  <c r="D406" i="13"/>
  <c r="D381" i="13"/>
  <c r="D432" i="13"/>
  <c r="D84" i="13"/>
  <c r="D457" i="13"/>
  <c r="D496" i="13"/>
  <c r="D525" i="13"/>
  <c r="D397" i="13"/>
  <c r="D372" i="13"/>
  <c r="D45" i="13"/>
  <c r="D28" i="13"/>
  <c r="D82" i="13"/>
  <c r="D514" i="13"/>
  <c r="D502" i="13"/>
  <c r="D423" i="13"/>
  <c r="D448" i="13"/>
  <c r="O112" i="11"/>
  <c r="D144" i="17"/>
  <c r="D119" i="17" a="1"/>
  <c r="D119" i="17" s="1"/>
  <c r="R127" i="11"/>
  <c r="D233" i="12"/>
  <c r="D254" i="12"/>
  <c r="C270" i="12"/>
  <c r="C281" i="12" s="1"/>
  <c r="C303" i="12"/>
  <c r="C532" i="12"/>
  <c r="E552" i="12"/>
  <c r="D146" i="18"/>
  <c r="D88" i="18"/>
  <c r="D52" i="14"/>
  <c r="D59" i="14" a="1"/>
  <c r="D59" i="14" s="1"/>
  <c r="D278" i="13"/>
  <c r="D77" i="14"/>
  <c r="D154" i="14"/>
  <c r="D46" i="13"/>
  <c r="D92" i="13"/>
  <c r="D77" i="13"/>
  <c r="C401" i="13"/>
  <c r="C452" i="13"/>
  <c r="C427" i="13"/>
  <c r="D110" i="18"/>
  <c r="D134" i="18"/>
  <c r="D113" i="18"/>
  <c r="D211" i="18"/>
  <c r="D175" i="14"/>
  <c r="D173" i="14"/>
  <c r="C423" i="13"/>
  <c r="C525" i="13"/>
  <c r="C397" i="13"/>
  <c r="C514" i="13"/>
  <c r="C448" i="13"/>
  <c r="C82" i="13"/>
  <c r="C39" i="16"/>
  <c r="D193" i="18"/>
  <c r="C96" i="16"/>
  <c r="C76" i="16"/>
  <c r="C51" i="16"/>
  <c r="C193" i="18"/>
  <c r="C35" i="16"/>
  <c r="C94" i="16"/>
  <c r="C21" i="16"/>
  <c r="C90" i="16"/>
  <c r="C44" i="16"/>
  <c r="C58" i="16"/>
  <c r="C45" i="16"/>
  <c r="C20" i="16"/>
  <c r="D185" i="18"/>
  <c r="D64" i="18"/>
  <c r="D303" i="13"/>
  <c r="D428" i="13"/>
  <c r="D430" i="13"/>
  <c r="D404" i="13"/>
  <c r="D32" i="13" a="1"/>
  <c r="D32" i="13" s="1"/>
  <c r="D452" i="13" a="1"/>
  <c r="D452" i="13" s="1"/>
  <c r="D427" i="13" a="1"/>
  <c r="D427" i="13" s="1"/>
  <c r="D79" i="17"/>
  <c r="D74" i="17"/>
  <c r="D54" i="17"/>
  <c r="D155" i="14"/>
  <c r="D60" i="14"/>
  <c r="D105" i="14"/>
  <c r="D109" i="14"/>
  <c r="D113" i="14"/>
  <c r="C28" i="13"/>
  <c r="D517" i="13"/>
  <c r="D488" i="13"/>
  <c r="D477" i="13"/>
  <c r="D141" i="13"/>
  <c r="D143" i="17"/>
  <c r="D118" i="17"/>
  <c r="D167" i="17"/>
  <c r="D103" i="17" a="1"/>
  <c r="D103" i="17" s="1"/>
  <c r="D52" i="18"/>
  <c r="D124" i="18"/>
  <c r="D201" i="14"/>
  <c r="D152" i="14"/>
  <c r="D61" i="14"/>
  <c r="D161" i="14"/>
  <c r="D50" i="14"/>
  <c r="D58" i="14"/>
  <c r="D379" i="13"/>
  <c r="D112" i="14"/>
  <c r="C71" i="14"/>
  <c r="I331" i="10" l="1"/>
  <c r="I333" i="10"/>
  <c r="F168" i="15" s="1"/>
  <c r="C104" i="14"/>
  <c r="C108" i="14"/>
  <c r="C100" i="14"/>
  <c r="C112" i="14"/>
  <c r="C242" i="14"/>
  <c r="C243" i="14"/>
  <c r="G135" i="15"/>
  <c r="D239" i="12"/>
  <c r="C199" i="13"/>
  <c r="C190" i="13"/>
  <c r="C180" i="13"/>
  <c r="C207" i="13"/>
  <c r="C197" i="13"/>
  <c r="C188" i="13"/>
  <c r="C178" i="13"/>
  <c r="C206" i="13"/>
  <c r="C196" i="13"/>
  <c r="C187" i="13"/>
  <c r="C177" i="13"/>
  <c r="C205" i="13"/>
  <c r="C195" i="13"/>
  <c r="C186" i="13"/>
  <c r="C176" i="13"/>
  <c r="C203" i="13"/>
  <c r="C193" i="13"/>
  <c r="C184" i="13"/>
  <c r="C191" i="13"/>
  <c r="C208" i="13"/>
  <c r="C189" i="13"/>
  <c r="C204" i="13"/>
  <c r="C185" i="13"/>
  <c r="F5" i="12"/>
  <c r="C202" i="13"/>
  <c r="C183" i="13"/>
  <c r="C201" i="13"/>
  <c r="C182" i="13"/>
  <c r="C200" i="13"/>
  <c r="C181" i="13"/>
  <c r="C171" i="13"/>
  <c r="C179" i="13"/>
  <c r="H74" i="9"/>
  <c r="T72" i="9"/>
  <c r="K71" i="9"/>
  <c r="B64" i="9"/>
  <c r="Q62" i="9"/>
  <c r="K61" i="9"/>
  <c r="E60" i="9"/>
  <c r="T77" i="9"/>
  <c r="B74" i="9"/>
  <c r="N72" i="9"/>
  <c r="E71" i="9"/>
  <c r="K62" i="9"/>
  <c r="E61" i="9"/>
  <c r="Q77" i="9"/>
  <c r="K72" i="9"/>
  <c r="B71" i="9"/>
  <c r="N63" i="9"/>
  <c r="H62" i="9"/>
  <c r="B61" i="9"/>
  <c r="T59" i="9"/>
  <c r="T64" i="9"/>
  <c r="K63" i="9"/>
  <c r="Q59" i="9"/>
  <c r="E77" i="9"/>
  <c r="H59" i="9"/>
  <c r="B77" i="9"/>
  <c r="H64" i="9"/>
  <c r="Q61" i="9"/>
  <c r="K60" i="9"/>
  <c r="E59" i="9"/>
  <c r="E74" i="9"/>
  <c r="Q72" i="9"/>
  <c r="H71" i="9"/>
  <c r="T63" i="9"/>
  <c r="N62" i="9"/>
  <c r="H61" i="9"/>
  <c r="B60" i="9"/>
  <c r="N77" i="9"/>
  <c r="T71" i="9"/>
  <c r="C173" i="13"/>
  <c r="Q63" i="9"/>
  <c r="B63" i="9"/>
  <c r="N60" i="9"/>
  <c r="N74" i="9"/>
  <c r="H72" i="9"/>
  <c r="E62" i="9"/>
  <c r="Q74" i="9"/>
  <c r="K77" i="9"/>
  <c r="E72" i="9"/>
  <c r="Q64" i="9"/>
  <c r="H63" i="9"/>
  <c r="B62" i="9"/>
  <c r="T60" i="9"/>
  <c r="N59" i="9"/>
  <c r="K64" i="9"/>
  <c r="Q71" i="9"/>
  <c r="C198" i="13"/>
  <c r="C194" i="13"/>
  <c r="K74" i="9"/>
  <c r="N71" i="9"/>
  <c r="E64" i="9"/>
  <c r="T62" i="9"/>
  <c r="N61" i="9"/>
  <c r="H60" i="9"/>
  <c r="B59" i="9"/>
  <c r="H77" i="9"/>
  <c r="T74" i="9"/>
  <c r="B72" i="9"/>
  <c r="N64" i="9"/>
  <c r="E63" i="9"/>
  <c r="Q60" i="9"/>
  <c r="K59" i="9"/>
  <c r="T61" i="9"/>
  <c r="C162" i="14"/>
  <c r="C152" i="14"/>
  <c r="C58" i="14"/>
  <c r="C169" i="14"/>
  <c r="C151" i="14"/>
  <c r="C161" i="14"/>
  <c r="C201" i="14"/>
  <c r="C142" i="14"/>
  <c r="C96" i="14"/>
  <c r="C69" i="14"/>
  <c r="C77" i="14"/>
  <c r="C50" i="14"/>
  <c r="C211" i="14"/>
  <c r="C198" i="18"/>
  <c r="C184" i="18"/>
  <c r="C277" i="12"/>
  <c r="C248" i="12"/>
  <c r="C230" i="12"/>
  <c r="C279" i="12"/>
  <c r="C253" i="12"/>
  <c r="C238" i="12"/>
  <c r="C260" i="12"/>
  <c r="C368" i="12"/>
  <c r="C361" i="12"/>
  <c r="C181" i="14"/>
  <c r="C35" i="14"/>
  <c r="C229" i="14"/>
  <c r="C29" i="14"/>
  <c r="C57" i="14"/>
  <c r="C64" i="14"/>
  <c r="C87" i="17" a="1"/>
  <c r="C87" i="17" s="1"/>
  <c r="C114" i="17"/>
  <c r="C141" i="17"/>
  <c r="C149" i="17"/>
  <c r="C92" i="17"/>
  <c r="C193" i="14"/>
  <c r="C156" i="14"/>
  <c r="C182" i="14"/>
  <c r="C170" i="14"/>
  <c r="C232" i="14"/>
  <c r="C231" i="14"/>
  <c r="C188" i="18"/>
  <c r="C65" i="18"/>
  <c r="C122" i="18"/>
  <c r="C133" i="18"/>
  <c r="C140" i="18"/>
  <c r="C106" i="18"/>
  <c r="C113" i="18"/>
  <c r="C211" i="18"/>
  <c r="D314" i="13"/>
  <c r="D247" i="13"/>
  <c r="D263" i="13"/>
  <c r="D289" i="13"/>
  <c r="D299" i="13"/>
  <c r="D274" i="13"/>
  <c r="D301" i="13"/>
  <c r="D335" i="13"/>
  <c r="D357" i="13"/>
  <c r="D317" i="13"/>
  <c r="C425" i="13"/>
  <c r="C274" i="13"/>
  <c r="C238" i="13"/>
  <c r="C323" i="13"/>
  <c r="C289" i="13"/>
  <c r="C247" i="13"/>
  <c r="C235" i="13"/>
  <c r="C220" i="13"/>
  <c r="C103" i="12"/>
  <c r="C374" i="13"/>
  <c r="C314" i="13"/>
  <c r="C299" i="13"/>
  <c r="C263" i="13"/>
  <c r="C341" i="13"/>
  <c r="C239" i="13"/>
  <c r="C418" i="12"/>
  <c r="C415" i="12"/>
  <c r="C226" i="13"/>
  <c r="C215" i="13"/>
  <c r="C225" i="13"/>
  <c r="C516" i="13"/>
  <c r="C168" i="13"/>
  <c r="C234" i="13"/>
  <c r="C132" i="13"/>
  <c r="C486" i="13"/>
  <c r="C476" i="13"/>
  <c r="C159" i="13"/>
  <c r="C216" i="13"/>
  <c r="C140" i="13"/>
  <c r="C136" i="17"/>
  <c r="C129" i="17"/>
  <c r="C167" i="17"/>
  <c r="C103" i="17" a="1"/>
  <c r="C103" i="17" s="1"/>
  <c r="C101" i="14"/>
  <c r="C84" i="13"/>
  <c r="C69" i="13"/>
  <c r="C63" i="12"/>
  <c r="C88" i="12"/>
  <c r="C70" i="13"/>
  <c r="C85" i="13" s="1"/>
  <c r="C163" i="12"/>
  <c r="C136" i="12"/>
  <c r="C197" i="12"/>
  <c r="C124" i="12"/>
  <c r="C178" i="12"/>
  <c r="C184" i="12"/>
  <c r="C204" i="12"/>
  <c r="C155" i="12"/>
  <c r="C112" i="12"/>
  <c r="C130" i="12"/>
  <c r="C142" i="12"/>
  <c r="C60" i="13"/>
  <c r="C52" i="13"/>
  <c r="C77" i="13"/>
  <c r="C92" i="13"/>
  <c r="C46" i="13"/>
  <c r="D167" i="18"/>
  <c r="D177" i="18"/>
  <c r="E12" i="15"/>
  <c r="D382" i="12"/>
  <c r="AD15" i="11"/>
  <c r="D248" i="12"/>
  <c r="D260" i="12"/>
  <c r="D253" i="12"/>
  <c r="D238" i="12"/>
  <c r="D279" i="12"/>
  <c r="C105" i="18"/>
  <c r="C59" i="18"/>
  <c r="C386" i="12"/>
  <c r="C391" i="12"/>
  <c r="C367" i="12"/>
  <c r="C398" i="12"/>
  <c r="C375" i="12"/>
  <c r="C231" i="12"/>
  <c r="C224" i="12"/>
  <c r="C377" i="13"/>
  <c r="C278" i="13"/>
  <c r="C428" i="13"/>
  <c r="C303" i="13"/>
  <c r="D115" i="18"/>
  <c r="D105" i="17"/>
  <c r="G12" i="15"/>
  <c r="AD19" i="11"/>
  <c r="C375" i="13"/>
  <c r="C342" i="13"/>
  <c r="C426" i="13"/>
  <c r="E101" i="15"/>
  <c r="D191" i="12"/>
  <c r="C52" i="14"/>
  <c r="C59" i="14"/>
  <c r="C212" i="14"/>
  <c r="C202" i="14"/>
  <c r="C66" i="16"/>
  <c r="C68" i="16"/>
  <c r="C67" i="16"/>
  <c r="C52" i="16"/>
  <c r="C291" i="12"/>
  <c r="C278" i="12"/>
  <c r="C95" i="17"/>
  <c r="C48" i="17" a="1"/>
  <c r="C48" i="17" s="1"/>
  <c r="C66" i="18"/>
  <c r="C186" i="18"/>
  <c r="C558" i="12"/>
  <c r="C546" i="12"/>
  <c r="C529" i="12"/>
  <c r="C512" i="12"/>
  <c r="C560" i="12"/>
  <c r="C538" i="12"/>
  <c r="C520" i="12"/>
  <c r="C518" i="12"/>
  <c r="C537" i="12"/>
  <c r="C528" i="12"/>
  <c r="C545" i="12"/>
  <c r="C526" i="12"/>
  <c r="C554" i="12"/>
  <c r="C536" i="12"/>
  <c r="C544" i="12"/>
  <c r="C534" i="12"/>
  <c r="C514" i="12"/>
  <c r="C550" i="12"/>
  <c r="C530" i="12"/>
  <c r="C521" i="12"/>
  <c r="C510" i="12"/>
  <c r="B46" i="9"/>
  <c r="B38" i="9"/>
  <c r="B34" i="9"/>
  <c r="B29" i="9"/>
  <c r="B24" i="9"/>
  <c r="B28" i="9"/>
  <c r="B22" i="9"/>
  <c r="B37" i="9"/>
  <c r="B33" i="9"/>
  <c r="B27" i="9"/>
  <c r="C552" i="12"/>
  <c r="C513" i="12"/>
  <c r="B45" i="9"/>
  <c r="B23" i="9"/>
  <c r="B32" i="9"/>
  <c r="B20" i="9"/>
  <c r="B43" i="9"/>
  <c r="C562" i="12"/>
  <c r="B44" i="9"/>
  <c r="B21" i="9"/>
  <c r="B36" i="9"/>
  <c r="B40" i="9"/>
  <c r="B35" i="9"/>
  <c r="C561" i="12"/>
  <c r="C542" i="12"/>
  <c r="B42" i="9"/>
  <c r="C522" i="12"/>
  <c r="B26" i="9"/>
  <c r="B39" i="9"/>
  <c r="B30" i="9"/>
  <c r="B25" i="9"/>
  <c r="C553" i="12"/>
  <c r="B47" i="9"/>
  <c r="B41" i="9"/>
  <c r="B31" i="9"/>
  <c r="D281" i="12"/>
  <c r="E136" i="15"/>
  <c r="D244" i="12"/>
  <c r="AD35" i="11"/>
  <c r="C318" i="12"/>
  <c r="C317" i="12"/>
  <c r="C316" i="12"/>
  <c r="C325" i="12"/>
  <c r="C315" i="12"/>
  <c r="C324" i="12"/>
  <c r="C314" i="12"/>
  <c r="C323" i="12"/>
  <c r="C313" i="12"/>
  <c r="C319" i="12"/>
  <c r="C322" i="12"/>
  <c r="C321" i="12"/>
  <c r="C320" i="12"/>
  <c r="C312" i="12"/>
  <c r="C311" i="12"/>
  <c r="C310" i="12"/>
  <c r="D266" i="13" a="1"/>
  <c r="D266" i="13" s="1"/>
  <c r="D249" i="13" a="1"/>
  <c r="D249" i="13" s="1"/>
  <c r="D345" i="13" a="1"/>
  <c r="D345" i="13" s="1"/>
  <c r="D326" i="13" a="1"/>
  <c r="D326" i="13" s="1"/>
  <c r="C154" i="13"/>
  <c r="C273" i="13"/>
  <c r="C313" i="13"/>
  <c r="C288" i="13"/>
  <c r="C504" i="13"/>
  <c r="C246" i="13"/>
  <c r="C119" i="13"/>
  <c r="C125" i="13"/>
  <c r="C227" i="13"/>
  <c r="C147" i="13"/>
  <c r="C298" i="13"/>
  <c r="C530" i="13"/>
  <c r="C262" i="13"/>
  <c r="C128" i="17"/>
  <c r="C135" i="17"/>
  <c r="C96" i="17" a="1"/>
  <c r="C96" i="17" s="1"/>
  <c r="D391" i="12"/>
  <c r="D386" i="12"/>
  <c r="D398" i="12"/>
  <c r="D375" i="12"/>
  <c r="C163" i="13"/>
  <c r="Q57" i="9"/>
  <c r="H56" i="9"/>
  <c r="Q58" i="9"/>
  <c r="K57" i="9"/>
  <c r="B56" i="9"/>
  <c r="N58" i="9"/>
  <c r="H57" i="9"/>
  <c r="N56" i="9"/>
  <c r="T58" i="9"/>
  <c r="N57" i="9"/>
  <c r="E56" i="9"/>
  <c r="K58" i="9"/>
  <c r="B58" i="9"/>
  <c r="E57" i="9"/>
  <c r="H58" i="9"/>
  <c r="B57" i="9"/>
  <c r="Q56" i="9"/>
  <c r="T57" i="9"/>
  <c r="K56" i="9"/>
  <c r="E58" i="9"/>
  <c r="T56" i="9"/>
  <c r="F135" i="15"/>
  <c r="I23" i="10"/>
  <c r="E135" i="15" s="1"/>
  <c r="C331" i="12"/>
  <c r="C347" i="12"/>
  <c r="C111" i="14"/>
  <c r="C334" i="12"/>
  <c r="C350" i="12"/>
  <c r="C337" i="12"/>
  <c r="C107" i="14"/>
  <c r="C103" i="14"/>
  <c r="C344" i="12"/>
  <c r="C284" i="12"/>
  <c r="C353" i="12"/>
  <c r="C340" i="12"/>
  <c r="F166" i="15"/>
  <c r="F167" i="15"/>
  <c r="C351" i="12" l="1" a="1"/>
  <c r="C351" i="12" s="1"/>
  <c r="C338" i="12" a="1"/>
  <c r="C338" i="12" s="1"/>
  <c r="C341" i="12" a="1"/>
  <c r="C341" i="12" s="1"/>
  <c r="C354" i="12"/>
  <c r="C348" i="12" a="1"/>
  <c r="C348" i="12" s="1"/>
  <c r="C335" i="12" a="1"/>
  <c r="C335" i="12" s="1"/>
  <c r="C285" i="12"/>
  <c r="C332" i="12" a="1"/>
  <c r="C332" i="12" s="1"/>
  <c r="C345" i="12" a="1"/>
  <c r="C345" i="12" s="1"/>
  <c r="C406" i="13"/>
  <c r="C381" i="13"/>
  <c r="C457" i="13"/>
  <c r="C15" i="13"/>
  <c r="C432" i="13"/>
  <c r="C30" i="13"/>
  <c r="C113" i="14"/>
  <c r="C109" i="14"/>
  <c r="C105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<sst xmlns="http://schemas.openxmlformats.org/spreadsheetml/2006/main" count="56256" uniqueCount="10938">
  <si>
    <t>CPU Series</t>
  </si>
  <si>
    <t>Cores/Threads</t>
  </si>
  <si>
    <t>CPUID Info</t>
  </si>
  <si>
    <t>CPUIDs</t>
  </si>
  <si>
    <t>Supported Releases</t>
  </si>
  <si>
    <t>AMD EPYC 7001 Series</t>
  </si>
  <si>
    <t>32c/64t</t>
  </si>
  <si>
    <t>0x00800F10</t>
  </si>
  <si>
    <t>ESXi 9.1</t>
  </si>
  <si>
    <t>AMD EPYC 7002/7Fx2/7Hx2 Series</t>
  </si>
  <si>
    <t>64c/128t</t>
  </si>
  <si>
    <t>0x00830F10</t>
  </si>
  <si>
    <t>AMD EPYC 7003/7003X Series</t>
  </si>
  <si>
    <t>64C/128T</t>
  </si>
  <si>
    <t>0x00A00F11,0x00A00F12</t>
  </si>
  <si>
    <t>AMD EPYC 8004 Series</t>
  </si>
  <si>
    <t>19.A0</t>
  </si>
  <si>
    <t>0x00A10F11,0x00AA0F02</t>
  </si>
  <si>
    <t>AMD EPYC 9004 Series</t>
  </si>
  <si>
    <t>128c/256t</t>
  </si>
  <si>
    <t>19.11
 19.A0</t>
  </si>
  <si>
    <t>0x00A10F11,0x00A10F12,0x00AA0F02</t>
  </si>
  <si>
    <t>AMD EPYC 9005 Series</t>
  </si>
  <si>
    <t>192c/384t</t>
  </si>
  <si>
    <t>1A.2
 1A.11</t>
  </si>
  <si>
    <t>0x00B00F21,0x00B10F10</t>
  </si>
  <si>
    <t>AMD Ryzen Embedded V1000 Series</t>
  </si>
  <si>
    <t>4c/8t</t>
  </si>
  <si>
    <t>0x00810F10</t>
  </si>
  <si>
    <t>Intel Atom C3000 Series</t>
  </si>
  <si>
    <t>16c/16t</t>
  </si>
  <si>
    <t>6.5F</t>
  </si>
  <si>
    <t>0x000506F0</t>
  </si>
  <si>
    <t>Intel Core i3/i5/i7-1100GRE Processor Series</t>
  </si>
  <si>
    <t>6.8C
 6.8D</t>
  </si>
  <si>
    <t>0x000806C1,0x000806C2</t>
  </si>
  <si>
    <t>Intel Xeon 6500P/6700P (Granite Rapids-SP) Series</t>
  </si>
  <si>
    <t>86c/172t</t>
  </si>
  <si>
    <t>6.AD.1</t>
  </si>
  <si>
    <t>0x000A06D1</t>
  </si>
  <si>
    <t>Intel Xeon 6900P (Granite Rapids-AP) Series</t>
  </si>
  <si>
    <t>6
 AD
 1</t>
  </si>
  <si>
    <t>Intel Xeon CPU Max 9400 (Sapphire-Rapids-HBM) Series</t>
  </si>
  <si>
    <t>56c/112t</t>
  </si>
  <si>
    <t>6.8F.8</t>
  </si>
  <si>
    <t>0x000806F8</t>
  </si>
  <si>
    <t>Intel Xeon D-1700 (Ice-Lake-D) Series</t>
  </si>
  <si>
    <t>20c/40t</t>
  </si>
  <si>
    <t>6.6C.1</t>
  </si>
  <si>
    <t>0x000606C1</t>
  </si>
  <si>
    <t>Intel Xeon D-2700 (Ice-Lake-D) Series</t>
  </si>
  <si>
    <t>Intel Xeon E-2100 Series</t>
  </si>
  <si>
    <t>6c/112t</t>
  </si>
  <si>
    <t>6.9E.A</t>
  </si>
  <si>
    <t>0x000906EA,0x000906EB,0x000906EC</t>
  </si>
  <si>
    <t>Intel Xeon E-2200 (4 or 6-core) Series</t>
  </si>
  <si>
    <t>6c/12t</t>
  </si>
  <si>
    <t>0x000906EA</t>
  </si>
  <si>
    <t>Intel Xeon E-2200 (8-core) Series</t>
  </si>
  <si>
    <t>8c/16t</t>
  </si>
  <si>
    <t>6.9E.D</t>
  </si>
  <si>
    <t>0x000906ED</t>
  </si>
  <si>
    <t>Intel Xeon E-2300 Series</t>
  </si>
  <si>
    <t>6.A7.1</t>
  </si>
  <si>
    <t>0x000A0671</t>
  </si>
  <si>
    <t>Intel Xeon E-2400/Xeon 6300 Series</t>
  </si>
  <si>
    <t>12c/24t</t>
  </si>
  <si>
    <t>6.B7.1</t>
  </si>
  <si>
    <t>0x000B0671</t>
  </si>
  <si>
    <t>Intel Xeon Gold 6200/5200 (Cascade-Lake-SP/Refresh) Series</t>
  </si>
  <si>
    <t>28c/56t</t>
  </si>
  <si>
    <t>6.55.7</t>
  </si>
  <si>
    <t>0x00050657</t>
  </si>
  <si>
    <t>Intel Xeon Gold 6300/5300 (Cooper-Lake-SP) Series</t>
  </si>
  <si>
    <t>6.55.B</t>
  </si>
  <si>
    <t>0x0005065B</t>
  </si>
  <si>
    <t>Intel Xeon Gold 6300/5300 (Ice-Lake-SP) Series</t>
  </si>
  <si>
    <t>6.6A.6</t>
  </si>
  <si>
    <t>0x000606A6</t>
  </si>
  <si>
    <t>Intel Xeon Gold 6400/5400 (Sapphire-Rapids-SP) Series</t>
  </si>
  <si>
    <t>60c/120t</t>
  </si>
  <si>
    <t>Intel Xeon Gold 6500/5500 (Emerald Rapids-SP) Series</t>
  </si>
  <si>
    <t>6.CF.2</t>
  </si>
  <si>
    <t>0x000C06F2</t>
  </si>
  <si>
    <t>Intel Xeon Platinum 8200 (Cascade-Lake-SP) Series</t>
  </si>
  <si>
    <t>Intel Xeon Platinum 8300 (Cooper-Lake-SP) Series</t>
  </si>
  <si>
    <t>Intel Xeon Platinum 8300 (Ice-Lake-SP) Series</t>
  </si>
  <si>
    <t>40c/80t</t>
  </si>
  <si>
    <t>Intel Xeon Platinum 8400 (Sapphire-Rapids-SP) Series</t>
  </si>
  <si>
    <t>Intel Xeon Platinum 8500 (Emerald Rapids-SP) Series</t>
  </si>
  <si>
    <t>Intel Xeon Silver 4200
  Bronze 3200 (Cascade-Lake-SP/Refresh) Series</t>
  </si>
  <si>
    <t>Intel Xeon Silver 4300 (Ice-Lake-SP) Series</t>
  </si>
  <si>
    <t>20c/32t</t>
  </si>
  <si>
    <t>Intel Xeon Silver 4400
  Bronze 3400 (Sapphire-Rapids-SP) Series</t>
  </si>
  <si>
    <t>Intel Xeon Silver 4500
  Bronze 3500 (Emerald Rapids-SP) Series</t>
  </si>
  <si>
    <t>Intel Xeon Silver 4500
  Bronze 3500 (Sapphire-Rapids-EE LCC) Series</t>
  </si>
  <si>
    <t>Intel Xeon W-11000 Processor Series</t>
  </si>
  <si>
    <t>0x000806C1,0x000806C2,0x000806D1</t>
  </si>
  <si>
    <t>OS Vendors</t>
  </si>
  <si>
    <t>OS Release</t>
  </si>
  <si>
    <t>OS Arch</t>
  </si>
  <si>
    <t>Support Level</t>
  </si>
  <si>
    <t>AlmaLinux OS Foundation</t>
  </si>
  <si>
    <t>AlmaLinux OS 8.x</t>
  </si>
  <si>
    <t>x86(64-bit)</t>
  </si>
  <si>
    <t>Supported</t>
  </si>
  <si>
    <t>AlmaLinux OS 10.x</t>
  </si>
  <si>
    <t>AlmaLinux OS 9.x</t>
  </si>
  <si>
    <t>Asianux</t>
  </si>
  <si>
    <t>Asianux 4.0</t>
  </si>
  <si>
    <t>x86(32-bit)</t>
  </si>
  <si>
    <t>Deprecated</t>
  </si>
  <si>
    <t>Asianux 7.0</t>
  </si>
  <si>
    <t>Legacy</t>
  </si>
  <si>
    <t>Canonical Ltd</t>
  </si>
  <si>
    <t>Ubuntu 14.04 LTS</t>
  </si>
  <si>
    <t>Ubuntu 25.04</t>
  </si>
  <si>
    <t>Ubuntu 25.10</t>
  </si>
  <si>
    <t>Ubuntu 16.04 LTS</t>
  </si>
  <si>
    <t>Ubuntu 22.10</t>
  </si>
  <si>
    <t>Ubuntu 23.10</t>
  </si>
  <si>
    <t>Ubuntu 24.04 LTS</t>
  </si>
  <si>
    <t>Ubuntu 26.04 LTS</t>
  </si>
  <si>
    <t>arm(64-bit)</t>
  </si>
  <si>
    <t>Tech Preview</t>
  </si>
  <si>
    <t>Ubuntu 22.04 LTS</t>
  </si>
  <si>
    <t>Ubuntu 18.04 LTS</t>
  </si>
  <si>
    <t>Ubuntu 24.10</t>
  </si>
  <si>
    <t>Ubuntu 23.04</t>
  </si>
  <si>
    <t>Ubuntu 20.04 LTS</t>
  </si>
  <si>
    <t>CentOS</t>
  </si>
  <si>
    <t>CentOS 6.x</t>
  </si>
  <si>
    <t>CentOS 7.x</t>
  </si>
  <si>
    <t>CentOS Stream 9</t>
  </si>
  <si>
    <t>CentOS 8.x</t>
  </si>
  <si>
    <t>CentOS Stream 10</t>
  </si>
  <si>
    <t>Cybertrust Japan Co.,Ltd.</t>
  </si>
  <si>
    <t>MIRACLE LINUX 8.x</t>
  </si>
  <si>
    <t>MIRACLE LINUX 9.x</t>
  </si>
  <si>
    <t>Debian</t>
  </si>
  <si>
    <t>Debian GNU/Linux 8.x</t>
  </si>
  <si>
    <t>Debian GNU/Linux 9.x</t>
  </si>
  <si>
    <t>Debian GNU/Linux 11.x</t>
  </si>
  <si>
    <t>Debian GNU/Linux 10.x</t>
  </si>
  <si>
    <t>Debian GNU/Linux 12.x</t>
  </si>
  <si>
    <t>Debian GNU/Linux 13.x</t>
  </si>
  <si>
    <t>FreeBSD</t>
  </si>
  <si>
    <t>FreeBSD 14.x</t>
  </si>
  <si>
    <t>FreeBSD 11.x</t>
  </si>
  <si>
    <t>FreeBSD 10.x</t>
  </si>
  <si>
    <t>FreeBSD 13.x</t>
  </si>
  <si>
    <t>FreeBSD 9.x</t>
  </si>
  <si>
    <t>FreeBSD 15.x</t>
  </si>
  <si>
    <t>FreeBSD 12.x</t>
  </si>
  <si>
    <t>Kinvolk</t>
  </si>
  <si>
    <t>Flatcar Container Linux 3510 LTS</t>
  </si>
  <si>
    <t>Flatcar Container Linux 4081 LTS</t>
  </si>
  <si>
    <t>KylinSoft Corporation</t>
  </si>
  <si>
    <t>Kylin Linux Desktop V10</t>
  </si>
  <si>
    <t>Kylin Linux Advanced Server V10</t>
  </si>
  <si>
    <t>Kylin Linux Advanced Server V11</t>
  </si>
  <si>
    <t>Microsoft</t>
  </si>
  <si>
    <t>Windows 10</t>
  </si>
  <si>
    <t>Windows Server 2003</t>
  </si>
  <si>
    <t>Windows Vista</t>
  </si>
  <si>
    <t>Windows Server 2019</t>
  </si>
  <si>
    <t>Windows 8.1</t>
  </si>
  <si>
    <t>Windows Server 2012 R2</t>
  </si>
  <si>
    <t>Windows Server 2003 R2</t>
  </si>
  <si>
    <t>Windows Server 2012</t>
  </si>
  <si>
    <t>Windows 2000</t>
  </si>
  <si>
    <t>Windows 8</t>
  </si>
  <si>
    <t>Windows 7</t>
  </si>
  <si>
    <t>Windows Server 2025</t>
  </si>
  <si>
    <t>Windows Server 2008</t>
  </si>
  <si>
    <t>Windows XP</t>
  </si>
  <si>
    <t>Windows Server 2022</t>
  </si>
  <si>
    <t>Windows Server 2008 R2</t>
  </si>
  <si>
    <t>Windows Server 2016</t>
  </si>
  <si>
    <t>Windows 11</t>
  </si>
  <si>
    <t>Oracle</t>
  </si>
  <si>
    <t>Oracle Linux 10.x</t>
  </si>
  <si>
    <t>Oracle Linux 6.x</t>
  </si>
  <si>
    <t>Oracle Linux 8.x</t>
  </si>
  <si>
    <t>Oracle Linux 7.x</t>
  </si>
  <si>
    <t>Oracle Linux 9.x</t>
  </si>
  <si>
    <t>Red Hat</t>
  </si>
  <si>
    <t>Red Hat Enterprise Linux 10.x</t>
  </si>
  <si>
    <t>Red Hat Enterprise Linux 5.x</t>
  </si>
  <si>
    <t>Red Hat Enterprise Linux 9.x</t>
  </si>
  <si>
    <t>Red Hat Enterprise Linux 6.x</t>
  </si>
  <si>
    <t>Red Hat Enterprise Linux 7.x</t>
  </si>
  <si>
    <t>Red Hat Enterprise Linux 8.x</t>
  </si>
  <si>
    <t>Rocky Enterprise Software Foundation</t>
  </si>
  <si>
    <t>Rocky Linux 10.x</t>
  </si>
  <si>
    <t>Rocky Linux 8.x</t>
  </si>
  <si>
    <t>Rocky Linux 9.x</t>
  </si>
  <si>
    <t>Sun Microsystems</t>
  </si>
  <si>
    <t>Solaris 10</t>
  </si>
  <si>
    <t>Solaris 11</t>
  </si>
  <si>
    <t>SUSE</t>
  </si>
  <si>
    <t>SUSE Linux Enterprise Server 16</t>
  </si>
  <si>
    <t>SUSE Linux Enterprise Server 12</t>
  </si>
  <si>
    <t>SUSE Linux Enterprise Server 15</t>
  </si>
  <si>
    <t>SUSE Linux Enterprise Desktop 15</t>
  </si>
  <si>
    <t>SUSE Linux Enterprise Server 11</t>
  </si>
  <si>
    <t>TmaxCloud</t>
  </si>
  <si>
    <t>ProLinux 8.x</t>
  </si>
  <si>
    <t>ProLinux 7.x</t>
  </si>
  <si>
    <t>TUBITAK ULAKBIM</t>
  </si>
  <si>
    <t>Pardus 21.x</t>
  </si>
  <si>
    <t>Pardus 25.x</t>
  </si>
  <si>
    <t>Pardus 23.x</t>
  </si>
  <si>
    <t>VMware Inc</t>
  </si>
  <si>
    <t>Photon OS 3.0</t>
  </si>
  <si>
    <t>Photon OS 5.0</t>
  </si>
  <si>
    <t>Photon OS 4.0</t>
  </si>
  <si>
    <t>VMware Photon CRX (64-bit)</t>
  </si>
  <si>
    <t>VMware Photon OS (64-bit)</t>
  </si>
  <si>
    <t>xFusion Digital Technologies Co.
 Ltd</t>
  </si>
  <si>
    <t>FusionOS 23</t>
  </si>
  <si>
    <t>FusionOS 22</t>
  </si>
  <si>
    <t>Brand Name</t>
  </si>
  <si>
    <t>Model</t>
  </si>
  <si>
    <t>Device Type</t>
  </si>
  <si>
    <t>_</t>
  </si>
  <si>
    <t>Adaptec</t>
  </si>
  <si>
    <t>Adaptec SmartRAID 3100</t>
  </si>
  <si>
    <t>SAS-RAID</t>
  </si>
  <si>
    <t>ESXi 9.1
 ESXi 9.0</t>
  </si>
  <si>
    <t>Adaptec SmartRAID 3162-8i</t>
  </si>
  <si>
    <t>Adaptec SmartHBA 2100-8i</t>
  </si>
  <si>
    <t>Adaptec SmartHBA 2100-4i</t>
  </si>
  <si>
    <t>Adaptec HBA 1100-8i</t>
  </si>
  <si>
    <t>SAS</t>
  </si>
  <si>
    <t>Adaptec HBA 1100-4i</t>
  </si>
  <si>
    <t>Adaptec SmartHBA 2100-8e</t>
  </si>
  <si>
    <t>Adaptec HBA 1100-8e</t>
  </si>
  <si>
    <t>Adaptec SmartHBA 2100-4i4e</t>
  </si>
  <si>
    <t>Adaptec HBA 1100</t>
  </si>
  <si>
    <t>Adaptec SmartHBA 2100</t>
  </si>
  <si>
    <t>Adaptec SmartHBA 2100A-8i</t>
  </si>
  <si>
    <t>Adaptec SmartRAID 3154-8i</t>
  </si>
  <si>
    <t>Adaptec SmartRAID 3152-8i</t>
  </si>
  <si>
    <t>Adaptec SmartRAID 3151-4i</t>
  </si>
  <si>
    <t>Adaptec SmartRAID 3101-4i</t>
  </si>
  <si>
    <t>Adaptec SmartRAID 3154-8e</t>
  </si>
  <si>
    <t>Adaptec SmartRAID 3102-8i</t>
  </si>
  <si>
    <t>Adaptec SmartRAID 3162-8i /e /d</t>
  </si>
  <si>
    <t>Adaptec SmartRAID 3154-16i</t>
  </si>
  <si>
    <t>Adaptec SmartRAID 3154-24i</t>
  </si>
  <si>
    <t>Adaptec HBA 1100-16i</t>
  </si>
  <si>
    <t>Adaptec HBA 1100-24i</t>
  </si>
  <si>
    <t>Adaptec SmartHBA 2100-24i</t>
  </si>
  <si>
    <t>Adaptec HBA 1100-16e</t>
  </si>
  <si>
    <t>Adaptec SmartHBA 2100-16i</t>
  </si>
  <si>
    <t>Adaptec HBA 1100-8i8e</t>
  </si>
  <si>
    <t>Adaptec SmartHBA 2100-8i8e</t>
  </si>
  <si>
    <t>Adaptec SmartRAID 3154-8i16e</t>
  </si>
  <si>
    <t>Adaptec SmartRAID 3154-8i8e</t>
  </si>
  <si>
    <t>Adaptec SmartRAID 3101E-4i</t>
  </si>
  <si>
    <t>Adaptec SmartRAID 3102E-8i</t>
  </si>
  <si>
    <t>Adaptec SmartRAID Ultra 3258p-32i /e</t>
  </si>
  <si>
    <t>SAS-SATA-NVME Tri-mode RAID</t>
  </si>
  <si>
    <t>Adaptec HBA Ultra 1200-16e</t>
  </si>
  <si>
    <t>SAS-SATA-NVME Tri-mode</t>
  </si>
  <si>
    <t>Adaptec SmartRAID Ultra 3254-16e /e</t>
  </si>
  <si>
    <t>Adaptec SmartRAID 3152-8i/N</t>
  </si>
  <si>
    <t>Adaptec SmartHBA 2200-16i</t>
  </si>
  <si>
    <t>Adaptec SmartRAID 3204-8i</t>
  </si>
  <si>
    <t>Adaptec HBA 1200-16i</t>
  </si>
  <si>
    <t>Adaptec HBA Ultra 1200p-32i</t>
  </si>
  <si>
    <t>Adaptec SmartRAID Ultra 3258p-16i /e</t>
  </si>
  <si>
    <t>Adaptec SmartRAID 3254-8i</t>
  </si>
  <si>
    <t>Adaptec SmartRAID Ultra 3254-16e</t>
  </si>
  <si>
    <t>Adaptec SmartRAID Ultra 3258p-32i</t>
  </si>
  <si>
    <t>Adaptec SmartRAID 3254-16i</t>
  </si>
  <si>
    <t>Adaptec SmartRAID 3254-16i /e</t>
  </si>
  <si>
    <t>Adaptec SmartRAID 3258-16i</t>
  </si>
  <si>
    <t>Adaptec SmartRAID 3258-16i /e</t>
  </si>
  <si>
    <t>Adaptec HBA 1200-8i</t>
  </si>
  <si>
    <t>Adaptec HBA 1200 Ultra</t>
  </si>
  <si>
    <t>Adaptec SmartHBA 2200 Ultra</t>
  </si>
  <si>
    <t>Adaptec SmartRAID 3200p Ultra</t>
  </si>
  <si>
    <t>Adaptec HBA 1200</t>
  </si>
  <si>
    <t>Adaptec SmartHBA 2200</t>
  </si>
  <si>
    <t>Adaptec SmartRAID 3200</t>
  </si>
  <si>
    <t>Adaptec SmartRAID 3284-16io /e/uC</t>
  </si>
  <si>
    <t>Adaptec SmartRAID 3200 Ultra</t>
  </si>
  <si>
    <t>Adaptec HBA 1200p Ultra</t>
  </si>
  <si>
    <t>Adaptec SmartHBA 2200p Ultra</t>
  </si>
  <si>
    <t>Adaptec SmartIOC PM8271</t>
  </si>
  <si>
    <t>Adaptec SmartIOC PM8275</t>
  </si>
  <si>
    <t>Adaptec HBA Ultra 1200P-16i</t>
  </si>
  <si>
    <t>Adaptec SmartHBA 2200-8io /e</t>
  </si>
  <si>
    <t>Adaptec SmartHBA 2200-16io /e</t>
  </si>
  <si>
    <t>Adaptec SmartRAID 3254-16io /e</t>
  </si>
  <si>
    <t>Adaptec SmartRAID Ultra 3258P-16i</t>
  </si>
  <si>
    <t>Adaptec SmartHBA 2100C8iOXS</t>
  </si>
  <si>
    <t>Adaptec SmartRAID 3252-8i</t>
  </si>
  <si>
    <t>Adaptec SmartRAID 3204-8i /e</t>
  </si>
  <si>
    <t>Adaptec SmartRAID 3254-16e /e</t>
  </si>
  <si>
    <t>Adaptec HBA 1200-16e</t>
  </si>
  <si>
    <t>Adaptec HBA 1200-8e</t>
  </si>
  <si>
    <t>Adaptec SmartRAID 3254-8i /e</t>
  </si>
  <si>
    <t>Adaptec SmartRAID 3252-8i /e</t>
  </si>
  <si>
    <t>SmartHBA P6600-8i</t>
  </si>
  <si>
    <t>SAS/SATA-RAID</t>
  </si>
  <si>
    <t>SmartRAID P7604-8i</t>
  </si>
  <si>
    <t>SmartHBA P6600-8e</t>
  </si>
  <si>
    <t>SmartRAID P7604-8e</t>
  </si>
  <si>
    <t>SmartHBA P6600-16i</t>
  </si>
  <si>
    <t>SmartRAID P7608-16i</t>
  </si>
  <si>
    <t>SmartHBA P6600-8i8e</t>
  </si>
  <si>
    <t>SmartRAID P7608-8i8e</t>
  </si>
  <si>
    <t>SmartHBA P6600-16e</t>
  </si>
  <si>
    <t>SmartRAID P7608-16e</t>
  </si>
  <si>
    <t>Advanced Micro Devices
 Inc.</t>
  </si>
  <si>
    <t>SB700 SATA Controller [IDE Mode]</t>
  </si>
  <si>
    <t>SATA</t>
  </si>
  <si>
    <t>SB700 SATA Controller [AHCI Mode]</t>
  </si>
  <si>
    <t>SB700 SATA Controller [Non-RAID5 Mode]</t>
  </si>
  <si>
    <t>SB700 SATA Controller [RAID Mode]</t>
  </si>
  <si>
    <t>SB700 SATA Controller [SATA and FC Enabled]</t>
  </si>
  <si>
    <t>AMD Hudson SATA Controller [IDE Mode]</t>
  </si>
  <si>
    <t>AMD Hudson SATA Controller [AHCI Mode]</t>
  </si>
  <si>
    <t>AMD FCH SATA Controller [IDE Mode]</t>
  </si>
  <si>
    <t>AMD FCH SATA Controller [AHCI Mode]</t>
  </si>
  <si>
    <t>Advantech Corporation</t>
  </si>
  <si>
    <t>Advantech SKY-9200 MIC-8312BridgeB</t>
  </si>
  <si>
    <t>Amazon Web Services</t>
  </si>
  <si>
    <t>Amazon EC2 NVMe Instance Storage</t>
  </si>
  <si>
    <t>NVMe</t>
  </si>
  <si>
    <t>Amazon
  Inc.Elastic Network Adapter</t>
  </si>
  <si>
    <t>Network</t>
  </si>
  <si>
    <t>Amazon EC2 NVMe Instance Storage(i7i.metal-24xl)</t>
  </si>
  <si>
    <t>Areca Technology</t>
  </si>
  <si>
    <t>ARC-1886-8X8I</t>
  </si>
  <si>
    <t>ARC-1886-8X</t>
  </si>
  <si>
    <t>ARC-1886-8I</t>
  </si>
  <si>
    <t>ARC-1886-4X4I</t>
  </si>
  <si>
    <t>ARC-1886-16I</t>
  </si>
  <si>
    <t>ARC-1886-4X24I</t>
  </si>
  <si>
    <t>ARC-1886-6N2I</t>
  </si>
  <si>
    <t>ARC-1886-4N8I</t>
  </si>
  <si>
    <t>ARC-1886-4N8X</t>
  </si>
  <si>
    <t>ARC-1886-2NOD</t>
  </si>
  <si>
    <t>ARC-1886-4NOD</t>
  </si>
  <si>
    <t>ARC-1886-6NOD</t>
  </si>
  <si>
    <t>ARC-1686-6NOD</t>
  </si>
  <si>
    <t>ARC-1686-4NOD</t>
  </si>
  <si>
    <t>ARC-1686-2NOD</t>
  </si>
  <si>
    <t>ARC-1883-8I</t>
  </si>
  <si>
    <t>ASMedia Technology Inc.</t>
  </si>
  <si>
    <t>ASMedia SATA Controller</t>
  </si>
  <si>
    <t>ESXi 9.0</t>
  </si>
  <si>
    <t>ASRock Rack Incorporation</t>
  </si>
  <si>
    <t>ASRock Rack¬†M3008</t>
  </si>
  <si>
    <t>ASUSTek Computer Inc.</t>
  </si>
  <si>
    <t>PIKE II 3008-8i</t>
  </si>
  <si>
    <t>PIKE II 3008-8e</t>
  </si>
  <si>
    <t>PIKE II 3108-8i/240PD/2G</t>
  </si>
  <si>
    <t>ATTO Technology
 Inc.</t>
  </si>
  <si>
    <t>ATTO Celerity FC-161P Host Bus Adapter</t>
  </si>
  <si>
    <t>FC</t>
  </si>
  <si>
    <t>ATTO Celerity FC-162P Host Bus Adapter</t>
  </si>
  <si>
    <t>ATTO Celerity FC-164P Host Bus Adapter</t>
  </si>
  <si>
    <t>ATTO Celerity FC-321E Host Bus Adapter</t>
  </si>
  <si>
    <t>ATTO Celerity FC-322E Host Bus Adapter</t>
  </si>
  <si>
    <t>Celerity FC-324E</t>
  </si>
  <si>
    <t>ThunderLink TL-3322</t>
  </si>
  <si>
    <t>ThunderLink TL-3162</t>
  </si>
  <si>
    <t>Celerity FC-321P Host Bus Adapter</t>
  </si>
  <si>
    <t>Celerity FC-322P Host Bus Adapter</t>
  </si>
  <si>
    <t>Celerity FC-324P Host Bus Adapter</t>
  </si>
  <si>
    <t>ExpressSAS H12F0 GT</t>
  </si>
  <si>
    <t>ExpressSAS H1280 GT</t>
  </si>
  <si>
    <t>ExpressSAS H1208 GT</t>
  </si>
  <si>
    <t>ExpressSAS H1244 GT</t>
  </si>
  <si>
    <t>ExpressSAS H120F GT</t>
  </si>
  <si>
    <t>Celerity FC-641E</t>
  </si>
  <si>
    <t>Celerity FC-642E</t>
  </si>
  <si>
    <t>Celerity FC-644E</t>
  </si>
  <si>
    <t>Beijing Memblaze Technology Co. Ltd.</t>
  </si>
  <si>
    <t>MEMBLAZE P6536DT0160M00</t>
  </si>
  <si>
    <t>MEMBLAZE P6530DT0192M00</t>
  </si>
  <si>
    <t>MEMBLAZE P6536DT0320M00</t>
  </si>
  <si>
    <t>MEMBLAZE P6530DT0384M00</t>
  </si>
  <si>
    <t>MEMBLAZE P6536DT0640M00</t>
  </si>
  <si>
    <t>MEMBLAZE P6530DT0768M00</t>
  </si>
  <si>
    <t>MEMBLAZE P6536CL0160M00</t>
  </si>
  <si>
    <t>MEMBLAZE P6530CL0192M00</t>
  </si>
  <si>
    <t>MEMBLAZE P6536CL0320M00</t>
  </si>
  <si>
    <t>MEMBLAZE P6530CL0384M00</t>
  </si>
  <si>
    <t>MEMBLAZE P6536CL0640M00</t>
  </si>
  <si>
    <t>MEMBLAZE P6530CL0768M00</t>
  </si>
  <si>
    <t>MEMBLAZE P6536CH0160M00</t>
  </si>
  <si>
    <t>MEMBLAZE P6530CH0192M00</t>
  </si>
  <si>
    <t>MEMBLAZE P6536CH0320M00</t>
  </si>
  <si>
    <t>MEMBLAZE P6530CH0384M00</t>
  </si>
  <si>
    <t>MEMBLAZE P6536CH0640M00</t>
  </si>
  <si>
    <t>MEMBLAZE P6530CH0768M00</t>
  </si>
  <si>
    <t>MEMBLAZE P6537CH0160Y00</t>
  </si>
  <si>
    <t>MEMBLAZE P6537DT0160Y00</t>
  </si>
  <si>
    <t>MEMBLAZE P6531CH0192Y00</t>
  </si>
  <si>
    <t>MEMBLAZE P6531DT0192Y00</t>
  </si>
  <si>
    <t>MEMBLAZE P6537CH0320Y00</t>
  </si>
  <si>
    <t>MEMBLAZE P6537DT0320Y00</t>
  </si>
  <si>
    <t>MEMBLAZE P6531DT0384Y00</t>
  </si>
  <si>
    <t>MEMBLAZE P6531CH0384Y00</t>
  </si>
  <si>
    <t>MEMBLAZE P6537DT0640Y00</t>
  </si>
  <si>
    <t>MEMBLAZE P6537CH0640Y00</t>
  </si>
  <si>
    <t>MEMBLAZE P6531CH0768Y00</t>
  </si>
  <si>
    <t>MEMBLAZE P6531DT0768Y00</t>
  </si>
  <si>
    <t>MEMBLAZE P7946CL0640Y00</t>
  </si>
  <si>
    <t>MEMBLAZE P7946CH0640Y00</t>
  </si>
  <si>
    <t>MEMBLAZE P7940CL0768Y00</t>
  </si>
  <si>
    <t>MEMBLAZE P7940CH0768Y00</t>
  </si>
  <si>
    <t>MEMBLAZE P7946RT0640M00</t>
  </si>
  <si>
    <t>MEMBLAZE P7946CL1280Y00</t>
  </si>
  <si>
    <t>MEMBLAZE P7946CH1280Y00</t>
  </si>
  <si>
    <t>MEMBLAZE P7940RT0768M00</t>
  </si>
  <si>
    <t>MEMBLAZE P7946DT0320Y00</t>
  </si>
  <si>
    <t>MEMBLAZE P7940DT0384Y00</t>
  </si>
  <si>
    <t>MEMBLAZE P7940CL1536Y00</t>
  </si>
  <si>
    <t>MEMBLAZE P7946DT0640Y00</t>
  </si>
  <si>
    <t>MEMBLAZE P7940CH1536Y00</t>
  </si>
  <si>
    <t>MEMBLAZE P7940DT0768Y00</t>
  </si>
  <si>
    <t>MEMBLAZE P7946DT1280Y00</t>
  </si>
  <si>
    <t>MEMBLAZE P7940DT1536Y00</t>
  </si>
  <si>
    <t>MEMBLAZE P7946CL0320Y00</t>
  </si>
  <si>
    <t>MEMBLAZE P7946CH0320Y00</t>
  </si>
  <si>
    <t>MEMBLAZE P7940CL0384Y00</t>
  </si>
  <si>
    <t>MEMBLAZE P7940CH0384Y00</t>
  </si>
  <si>
    <t>MEMBLAZE P7946RT0320Y00</t>
  </si>
  <si>
    <t>MEMBLAZE P7940RT0384Y00</t>
  </si>
  <si>
    <t>MEMBLAZE P7946RT0640Y00</t>
  </si>
  <si>
    <t>MEMBLAZE P7940RT0768Y00</t>
  </si>
  <si>
    <t>MEMBLAZE P7946DT0320M00</t>
  </si>
  <si>
    <t>MEMBLAZE P7940DT0384M00</t>
  </si>
  <si>
    <t>MEMBLAZE P7946DT0640M00</t>
  </si>
  <si>
    <t>MEMBLAZE P7940DT0768M00</t>
  </si>
  <si>
    <t>MEMBLAZE P7946DT1280M00</t>
  </si>
  <si>
    <t>MEMBLAZE P7940DT1536M00</t>
  </si>
  <si>
    <t>MEMBLAZE P7940RT0384M00</t>
  </si>
  <si>
    <t>MEMBLAZE P7946RT0320M00</t>
  </si>
  <si>
    <t>Beijing Wangxun Technology Co.,Ltd.</t>
  </si>
  <si>
    <t>RP1000 series</t>
  </si>
  <si>
    <t>RP2000 series</t>
  </si>
  <si>
    <t>L56007P68T</t>
  </si>
  <si>
    <t>L56003P20T</t>
  </si>
  <si>
    <t>L56003P84T</t>
  </si>
  <si>
    <t>L56006P40T</t>
  </si>
  <si>
    <t>L56001P92T</t>
  </si>
  <si>
    <t>L56001P60T</t>
  </si>
  <si>
    <t>WX1860AL2</t>
  </si>
  <si>
    <t>WX1860A2</t>
  </si>
  <si>
    <t>WX1860A4</t>
  </si>
  <si>
    <t>WX1860A4S</t>
  </si>
  <si>
    <t>WX1860AL2S</t>
  </si>
  <si>
    <t>WX1860AL4</t>
  </si>
  <si>
    <t>WX1860AL4S</t>
  </si>
  <si>
    <t>FF5025-DDATACXX</t>
  </si>
  <si>
    <t>FF5025-DDATAIXX</t>
  </si>
  <si>
    <t>FF5040-DDBTACXX</t>
  </si>
  <si>
    <t>FF5040-DDBTAIXX</t>
  </si>
  <si>
    <t>Broadcom</t>
  </si>
  <si>
    <t>NetXtreme BCM5723 Gigabit Ethernet PCI Express</t>
  </si>
  <si>
    <t>NetXtreme BCM5764M Gigabit Ethernet</t>
  </si>
  <si>
    <t>NetLink BCM5784M Gigabit Ethernet</t>
  </si>
  <si>
    <t>NetXtreme BCM5719 Gigabit Ethernet</t>
  </si>
  <si>
    <t>NetXtreme BCM5718 Gigabit Ethernet</t>
  </si>
  <si>
    <t>NetXtreme BCM5720 Gigabit Ethernet</t>
  </si>
  <si>
    <t>BCM5717</t>
  </si>
  <si>
    <t>NetXtreme BCM5727 Gigabit Ethernet</t>
  </si>
  <si>
    <t>NetXtreme BCM5725 Gigabit Ethernet</t>
  </si>
  <si>
    <t>NetXtreme BCM5717 Gigabit Ethernet</t>
  </si>
  <si>
    <t>BCM57304</t>
  </si>
  <si>
    <t>BCM57404</t>
  </si>
  <si>
    <t>BCM57406</t>
  </si>
  <si>
    <t>BCM57402</t>
  </si>
  <si>
    <t>BCM57302</t>
  </si>
  <si>
    <t>BCM57301</t>
  </si>
  <si>
    <t>SAS 9400-8i</t>
  </si>
  <si>
    <t>MegaRAID SAS 9460-16i</t>
  </si>
  <si>
    <t>Megaraid SAS 9440-8i</t>
  </si>
  <si>
    <t>BCM57414</t>
  </si>
  <si>
    <t>BCM57416</t>
  </si>
  <si>
    <t>BCM57417</t>
  </si>
  <si>
    <t>BCM57412</t>
  </si>
  <si>
    <t>MegaRAID SAS 9460-8i</t>
  </si>
  <si>
    <t>MegaRAID SAS 9480-8i8e</t>
  </si>
  <si>
    <t>SAS 9400-8e</t>
  </si>
  <si>
    <t>SAS 9400-16i</t>
  </si>
  <si>
    <t>SAS 9400-16e</t>
  </si>
  <si>
    <t>SAS 9400-8i8e</t>
  </si>
  <si>
    <t>Megaraid SAS 9460-16i /w JBOD Mode</t>
  </si>
  <si>
    <t>MegaRAID SAS 9460-8i /w JBOD Mode</t>
  </si>
  <si>
    <t>MegaRAID SAS 9480-8i8e /w JBOD Mode</t>
  </si>
  <si>
    <t>BCM57417 NetXtreme-E RDMA Partition</t>
  </si>
  <si>
    <t>Restricted</t>
  </si>
  <si>
    <t>NetXtreme-E RDMA Virtual Function</t>
  </si>
  <si>
    <t>BCM57417 NetXtreme-E Ethernet Partition</t>
  </si>
  <si>
    <t>BCM57311 NetXtreme-C 10Gb RDMA Ethernet Controller</t>
  </si>
  <si>
    <t>BCM57312 NetXtreme-C 10Gb/25Gb RDMA Ethernet Controller</t>
  </si>
  <si>
    <t>BCM57414 NetXtreme-E 10Gb/25Gb RDMA Ethernet Controller</t>
  </si>
  <si>
    <t>BCM57416 NetXtreme-E 10GBASE-T RDMA Ethernet Controller</t>
  </si>
  <si>
    <t>BCM57417 NetXtreme-E 10GBASE-T RDMA Ethernet Controller</t>
  </si>
  <si>
    <t>BCM57414 NetXtreme-E Ethernet Virtual Function</t>
  </si>
  <si>
    <t>BCM57412 Broadcom NetXtreme-E Partition</t>
  </si>
  <si>
    <t>BCM57314 NetXtreme-C 10Gb/25Gb/40Gb/50Gb RDMA Ethernet Controller</t>
  </si>
  <si>
    <t>BCM57317 NetXtreme-C 10GBase-T RDMA Ethernet Controller</t>
  </si>
  <si>
    <t>BCM57314 NetXtreme-C Ethernet Virtual Function</t>
  </si>
  <si>
    <t>BCM57417 BCM57417 NetXtreme-E 10Gb/25Gb RDMA Ethernet Controller</t>
  </si>
  <si>
    <t>BCM57416 NetXtreme-E 10Gb RDMA Ethernet Controller</t>
  </si>
  <si>
    <t>BCM57317 NetXtreme-C 25Gb RDMA Ethernet Controller</t>
  </si>
  <si>
    <t>NetXtreme-C RDMA Virtual Function</t>
  </si>
  <si>
    <t>BCM57407 NetXtreme-E 25Gb Ethernet Controller</t>
  </si>
  <si>
    <t>BCM57412 NetXtreme-E RDMA Partition</t>
  </si>
  <si>
    <t>BCM57414 NetXtreme-E Partition</t>
  </si>
  <si>
    <t>BCM57414 NetXtreme-E RDMA Partition</t>
  </si>
  <si>
    <t>BCM57416 NetXtreme-E Partition</t>
  </si>
  <si>
    <t>BCM57416 NetXtreme-E RDMA Partition</t>
  </si>
  <si>
    <t>BCM57412 NetXtreme-E 10Gb RDMA Ethernet Controller</t>
  </si>
  <si>
    <t>MegaRAID SAS 9450-8i</t>
  </si>
  <si>
    <t>MegaRAID SAS 9461-16i</t>
  </si>
  <si>
    <t>BCM57454 NetXtreme-E RDMA Virtual Function</t>
  </si>
  <si>
    <t>BCM57454</t>
  </si>
  <si>
    <t>MegaRaid 9560-16i</t>
  </si>
  <si>
    <t>MegaRaid 9560-8i</t>
  </si>
  <si>
    <t>Megaraid 9580-8i8e</t>
  </si>
  <si>
    <t>BCM57508</t>
  </si>
  <si>
    <t>BCM57504</t>
  </si>
  <si>
    <t>BCM57502</t>
  </si>
  <si>
    <t>BCM57454 NetXtreme-E Partition</t>
  </si>
  <si>
    <t>BCM57454 NetXtreme-E RDMA Partition</t>
  </si>
  <si>
    <t>NetXtreme BCM57766 Gigabit Ethernet</t>
  </si>
  <si>
    <t>SAS 9500-8e</t>
  </si>
  <si>
    <t>SAS 9500-16e</t>
  </si>
  <si>
    <t>SAS 9500-8i</t>
  </si>
  <si>
    <t>SAS 9500-16i</t>
  </si>
  <si>
    <t>SAS3416 Fusion-MPT Tri-Mode I/O Controller Chip (IOC)</t>
  </si>
  <si>
    <t>SAS3508 Fusion-MPT Tri-Mode RAID On Chip (ROC)</t>
  </si>
  <si>
    <t>SAS3716 Fusion-MPT Tri-Mode RAID Controller Chip (ROC)</t>
  </si>
  <si>
    <t>SAS3616 Fusion-MPT Tri-Mode I/O Controller Chip (IOC)</t>
  </si>
  <si>
    <t>Fusion-MPT 12G SAS/PCIe SAS39xx</t>
  </si>
  <si>
    <t>Fusion-MPT 12G SAS/PCIe Secure SAS39xx</t>
  </si>
  <si>
    <t>Fusion-MPT 12G SAS/PCIe SAS38xx</t>
  </si>
  <si>
    <t>Fusion-MPT 12G SAS/PCIe Secure SAS38xx</t>
  </si>
  <si>
    <t>Fusion-MPT 12G SAS/PCIe USAS38xx</t>
  </si>
  <si>
    <t>NetXtreme E-Series Single Port 100Gb OCP Ethernet Adapter</t>
  </si>
  <si>
    <t>NetXtreme E-Series Quad-port 10Gb SFP+ OCP 3.0 Ethernet Adapter</t>
  </si>
  <si>
    <t>NetXtreme E-Series Quad-port 25Gb SFP28 PCIe Ethernet Adapter</t>
  </si>
  <si>
    <t>NetXtreme E-Series Single Port 100Gb OCP 3.0 Ethernet Adapter</t>
  </si>
  <si>
    <t>NetXtreme E-Series Quad-Port 25Gb Ethernet Network Daughter Card</t>
  </si>
  <si>
    <t>Megaraid 9540-16i</t>
  </si>
  <si>
    <t>Megaraid 9540-8i</t>
  </si>
  <si>
    <t>SAS 9405W-16e</t>
  </si>
  <si>
    <t>SAS 9405W-16i</t>
  </si>
  <si>
    <t>Megaraid 9660-16i</t>
  </si>
  <si>
    <t>MegaRAID 9670w-16i</t>
  </si>
  <si>
    <t>eHBA 9600W-16e</t>
  </si>
  <si>
    <t>MegaRAID 9660 -16i</t>
  </si>
  <si>
    <t>eHBA 9600-16i</t>
  </si>
  <si>
    <t>eHBA 9600-24i</t>
  </si>
  <si>
    <t>eHBA 9600-16e</t>
  </si>
  <si>
    <t>eHBA 9600-16i Tri-Mode Storage Adapter</t>
  </si>
  <si>
    <t>57454 NetXtreme-E Quad-port 25Gb Ethernet OCP Adapter</t>
  </si>
  <si>
    <t>NetXtreme E-Series Dual-port 100Gb OCP 3.0 Ethernet Adapter</t>
  </si>
  <si>
    <t>NetXtreme-E-Series Dual-port 100Gb Ethernet PCIe Adapter</t>
  </si>
  <si>
    <t>NetXtreme E-Series Quad-port 25Gb Ethernet LOM</t>
  </si>
  <si>
    <t>NetXtreme E-Series Quad-port 25Gb SFP28 OCP 3.0 Ethernet Adapter</t>
  </si>
  <si>
    <t>NetXtreme E-Series Quad-port 25Gb Ethernet LOM Ethernet Partition</t>
  </si>
  <si>
    <t>NetXtreme E-Series Quad-port 25Gb SFP28 OCP 3.0 Ethernet Partition</t>
  </si>
  <si>
    <t>NetXtreme E-Series Quad-port 25Gb SFP28 PCIe Ethernet Partition</t>
  </si>
  <si>
    <t>NetXtreme E-Series Dual-port 100Gb OCP 3.0 Ethernet Partition</t>
  </si>
  <si>
    <t>NetXtreme-E-Series Dual-port 100Gb Ethernet PCIe Partition</t>
  </si>
  <si>
    <t>NetXtreme E-Series Quad-port 25Gb Ethernet LOM RDMA Partition</t>
  </si>
  <si>
    <t>NetXtreme E-Series Quad-port 25Gb SFP28 OCP 3.0 RDMA Partition</t>
  </si>
  <si>
    <t>NetXtreme E-Series Quad-port 25Gb SFP28 PCIe RDMA Partition</t>
  </si>
  <si>
    <t>NetXtreme E-Series Dual-port 100Gb OCP 3.0 RDMA Partition</t>
  </si>
  <si>
    <t>NetXtreme-E-Series Dual-port 100Gb Ethernet PCIe RDMA Partition</t>
  </si>
  <si>
    <t>NetXtreme E-Series Quad-port 25Gb Ethernet LOM Ethernet Virtual Function</t>
  </si>
  <si>
    <t>NetXtreme E-Series Quad-port 25Gb SFP28 OCP 3.0 Ethernet Virtual Function</t>
  </si>
  <si>
    <t>NetXtreme E-Series Quad-port 25Gb SFP28 PCIe Ethernet Virtual Function</t>
  </si>
  <si>
    <t>NetXtreme E-Series Dual-port 100Gb OCP 3.0 Ethernet Virtual Function</t>
  </si>
  <si>
    <t>NetXtreme-E-Series Dual-port 100Gb Ethernet PCIe Virtual Function</t>
  </si>
  <si>
    <t>NetXtreme-E NGM2100D BCM57508 2x100G KR Mezz Ethernet Virtual Function</t>
  </si>
  <si>
    <t>NetXtreme E-Series Quad-port 25Gb Ethernet LOM RDMA Virtual Function</t>
  </si>
  <si>
    <t>NetXtreme E-Series Quad-port 25Gb SFP28 OCP 3.0 RDMA Virtual Function</t>
  </si>
  <si>
    <t>NetXtreme E-Series Quad-port 25Gb SFP28 PCIe RDMA Virtual Function</t>
  </si>
  <si>
    <t>NetXtreme E-Series Dual-port 100Gb OCP 3.0 RDMA Virtual Function</t>
  </si>
  <si>
    <t>NetXtreme-E-Series Dual-port 100Gb Ethernet PCIe RDMA Virtual Function</t>
  </si>
  <si>
    <t>NetXtreme-E NGM2100D BCM57508 2x100G KR Mezz RDMA Virtual Function</t>
  </si>
  <si>
    <t>NetXtreme-S Ethernet Virtual Function</t>
  </si>
  <si>
    <t>MegaRAID 9620-16i</t>
  </si>
  <si>
    <t>Megaraid 9540-2M2</t>
  </si>
  <si>
    <t>Megaraid 9562-8i</t>
  </si>
  <si>
    <t>Megaraid 9670-24i</t>
  </si>
  <si>
    <t>NetXtreme-E N2100DE BCM57508 2x100G QSFP56 OCP3.0 Ethernet</t>
  </si>
  <si>
    <t>NetXtreme-E N425DE BCM57504 4x25G SFP28 OCP3.0 Ethernet</t>
  </si>
  <si>
    <t>NetXtreme-E N425DE BCM57504 4x25G SFP28 OCP3.0 Ethernet Partition</t>
  </si>
  <si>
    <t>NetXtreme-E N2100DE BCM57508 2x100G QSFP56 OCP3.0 Ethernet Partition</t>
  </si>
  <si>
    <t>NetXtreme-E N425DE BCM57504 4x25G SFP28 OCP3.0 RDMA Partition</t>
  </si>
  <si>
    <t>NetXtreme-E N2100DE BCM57508 2x100G QSFP56 OCP3.0 RDMA Partition</t>
  </si>
  <si>
    <t>NetXtreme-E N410TDE BCM57416 4x10G BT OCP3.0 Ethernet</t>
  </si>
  <si>
    <t>Ethernet NIC 10GBASE-T OCP3.0</t>
  </si>
  <si>
    <t>NetXtreme-E Dual-port 100Gb Ethernet</t>
  </si>
  <si>
    <t>Broadcom BCM57608 1x400G QSFP-DD OCP Ethernet NIC</t>
  </si>
  <si>
    <t>Broadcom BCM57608 2x200G OCP Ethernet NIC</t>
  </si>
  <si>
    <t>Broadcom BCM57608 1x400G QSFP-DD PCIe Ethernet NIC</t>
  </si>
  <si>
    <t>Broadcom BCM57608 1x400G PCIe Ethernet NIC</t>
  </si>
  <si>
    <t>Broadcom BCM57608 2x200G PCIe Ethernet NIC</t>
  </si>
  <si>
    <t>Broadcom BCM57608 2x100G OCP Ethernet NIC</t>
  </si>
  <si>
    <t>Broadcom BCM57608 4x25G OCP Ethernet NIC</t>
  </si>
  <si>
    <t>Broadcom BCM57608 2x100G PCIe Ethernet NIC</t>
  </si>
  <si>
    <t>MegaRAID 9760W-32i Tri-Mode Storage Adapter</t>
  </si>
  <si>
    <t>MegaRAID 9520-2M2</t>
  </si>
  <si>
    <t>MegaRAID 9520-8i</t>
  </si>
  <si>
    <t>MegaRAID 9524-8i</t>
  </si>
  <si>
    <t>eHBA 9700W-32i 24G SAS/PCIe Storage Adapter</t>
  </si>
  <si>
    <t>eHBA 9600-8i8e Tri-Mode Storage Adapter</t>
  </si>
  <si>
    <t>Cisco</t>
  </si>
  <si>
    <t>VIC M81KR</t>
  </si>
  <si>
    <t>FCoE CNAs</t>
  </si>
  <si>
    <t>UCS VIC P81E</t>
  </si>
  <si>
    <t>UCS VIC1240</t>
  </si>
  <si>
    <t>UCS VIC1280</t>
  </si>
  <si>
    <t>Cisco 1GigE I350 LOM</t>
  </si>
  <si>
    <t>VIC-1225</t>
  </si>
  <si>
    <t>UCS VIC1340</t>
  </si>
  <si>
    <t>UCS VIC1380</t>
  </si>
  <si>
    <t>VIC-1385</t>
  </si>
  <si>
    <t>VIC-1285</t>
  </si>
  <si>
    <t>VIC-1227</t>
  </si>
  <si>
    <t>VIC-1225T</t>
  </si>
  <si>
    <t>Cisco 12G SAS Modular Raid Controller for C460</t>
  </si>
  <si>
    <t>Cisco 12G SAS Modular Raid Controller</t>
  </si>
  <si>
    <t>Cisco RAID controller for UCS C3X60 Storage Servers</t>
  </si>
  <si>
    <t>UCSB-MRAID12G</t>
  </si>
  <si>
    <t>UCSC-SAS12GHBA</t>
  </si>
  <si>
    <t>UCS C3X60 12G SAS Pass through Controller</t>
  </si>
  <si>
    <t>UCSC-SAS9300-8E</t>
  </si>
  <si>
    <t>Cisco 9300-8i 12Gbps SAS HBA</t>
  </si>
  <si>
    <t>UCSB-MRAID12G-HE</t>
  </si>
  <si>
    <t>LSI MegaRAID SAS 3008 ROMB</t>
  </si>
  <si>
    <t>LSI MegaRAID SAS 3004 ROMB</t>
  </si>
  <si>
    <t>VIC-1227-T</t>
  </si>
  <si>
    <t>Cisco(R) Ethernet Converged NIC X550-T2</t>
  </si>
  <si>
    <t>Cisco(R) Ethernet Converged NIC XL710-QDA2</t>
  </si>
  <si>
    <t>Cisco(R) Ethernet Converged NIC X710-DA2</t>
  </si>
  <si>
    <t>Cisco(R) Ethernet Converged NIC X710-DA4</t>
  </si>
  <si>
    <t>UCS-RAID9361CV-8i</t>
  </si>
  <si>
    <t>Cisco UCS C3000 RAID Controller for M4 Server Blade with 4G RAID Cache</t>
  </si>
  <si>
    <t>Cisco VIC Ethernet NIC</t>
  </si>
  <si>
    <t>Cisco VIC Ethernet NIC Dynamic</t>
  </si>
  <si>
    <t>UCS VIC1387</t>
  </si>
  <si>
    <t>UCSC C3260 SIOC</t>
  </si>
  <si>
    <t>UCS-S3260-DHBA</t>
  </si>
  <si>
    <t>Cisco(R) Ethernet Network Adapter XXV710¬†</t>
  </si>
  <si>
    <t>UCSC-SAS-M5</t>
  </si>
  <si>
    <t>UCSC-SAS-M5HD</t>
  </si>
  <si>
    <t>UCS-PCI25-80010</t>
  </si>
  <si>
    <t>UCS-PCI25-16003</t>
  </si>
  <si>
    <t>UCS-PCI25-40010</t>
  </si>
  <si>
    <t>UCS-PCI25-8003</t>
  </si>
  <si>
    <t>UCSC-F-I160010</t>
  </si>
  <si>
    <t>UCSC-F-I20003</t>
  </si>
  <si>
    <t>UCSC-F-I80010</t>
  </si>
  <si>
    <t>UCSC-F-I12003</t>
  </si>
  <si>
    <t>UCSC-RAID-M5</t>
  </si>
  <si>
    <t>UCSC-RAID-M5HD</t>
  </si>
  <si>
    <t>Cisco(R) Ethernet Converged NIC X710-T4</t>
  </si>
  <si>
    <t>UCSC-SAS9460-8I</t>
  </si>
  <si>
    <t>UCSB-F-H5607 (30-1554-01)</t>
  </si>
  <si>
    <t>UCSB-F-H5607 (30-1554-02)</t>
  </si>
  <si>
    <t>UCSB-F-H32003 (30-1555-01)</t>
  </si>
  <si>
    <t>UCSB-F-H32003 (30-1555-02)</t>
  </si>
  <si>
    <t>UCSC-F-H16003</t>
  </si>
  <si>
    <t>UCSC-NVME-H32003</t>
  </si>
  <si>
    <t>UCSC-NVME-H38401</t>
  </si>
  <si>
    <t>UCSC-NVME-H64003</t>
  </si>
  <si>
    <t>UCSC-NVME-H76801</t>
  </si>
  <si>
    <t>UCSB-NVMEHW-H800</t>
  </si>
  <si>
    <t>UCSB-NVMEHW-H1600</t>
  </si>
  <si>
    <t>UCSB-NVMEHW-H3200</t>
  </si>
  <si>
    <t>UCSB-NVMEHW-H6400</t>
  </si>
  <si>
    <t>UCSB-NVMEHW-H7680</t>
  </si>
  <si>
    <t>UCSC-NVMEHW-H800</t>
  </si>
  <si>
    <t>UCSC-NVMEHW-H1600</t>
  </si>
  <si>
    <t>UCSC-NVMEHW-H3200</t>
  </si>
  <si>
    <t>UCSC-NVMEHW-H6400</t>
  </si>
  <si>
    <t>UCSC-NVMEHW-H7680</t>
  </si>
  <si>
    <t>UCS-S3260-DRAID</t>
  </si>
  <si>
    <t>UCSC-9400-8E</t>
  </si>
  <si>
    <t>UCS VIC1457</t>
  </si>
  <si>
    <t>UCS VIC1455</t>
  </si>
  <si>
    <t>UCS VIC1440</t>
  </si>
  <si>
    <t>UCS VIC1480</t>
  </si>
  <si>
    <t>UCS VIC1495</t>
  </si>
  <si>
    <t>UCS VIC1497</t>
  </si>
  <si>
    <t>Cisco SSD DC P4500 Series SSDPE2KX010T7K (1.0 TB
  2.5 U.2</t>
  </si>
  <si>
    <t>PN: UCSB-NVMEHW-I1000)"</t>
  </si>
  <si>
    <t>PN: UCSC-NVMEHW-I1000)"</t>
  </si>
  <si>
    <t>PN: HX-NVMEHW-I1000)"</t>
  </si>
  <si>
    <t>Cisco SSD DC P4500 Series SSDPE2KX020T7K (2.0 TB
  2.5 U.2</t>
  </si>
  <si>
    <t>PN: UCSB-NVMEHW-I2TBV)"</t>
  </si>
  <si>
    <t>PN: UCSC-NVMEHW-I2TBV)"</t>
  </si>
  <si>
    <t>Cisco SSD DC P4500 Series SSDPE2KX040T7K (4.0 TB
  2.5 U.2</t>
  </si>
  <si>
    <t>PN: UCSB-NVMEHW-I4000)"</t>
  </si>
  <si>
    <t>PN: UCSC-NVMEHW-I4000)"</t>
  </si>
  <si>
    <t>Cisco SSD DC P4500 Series SSDPE2KX010T7K (4.0 TB
  2.5 U.2</t>
  </si>
  <si>
    <t>PN: HX-NVMEHW-I4000)"</t>
  </si>
  <si>
    <t>Cisco SSD DC P4501 Series SSDPE7KX500G7K (500 GB
  2.5‚Äù U.2
  PN: UCSC-NVMELW-I500)</t>
  </si>
  <si>
    <t>Cisco SSD DC P4501 Series SSDPE7KX500G7K (500 GB
  2.5‚Äù U.2
  PN: UCSB-NVMELW-I500)</t>
  </si>
  <si>
    <t>Cisco SSD DC P4501 Series SSDPE7KX500G7K (500 GB
  2.5‚Äù U.2
  PN: UCS-S3260-NVG25)</t>
  </si>
  <si>
    <t>Cisco SSD DC P4501 Series SSDPE7KX500G7K (500 GB
  2.5‚Äù U.2
  PN: HX-NVMELW-I500)</t>
  </si>
  <si>
    <t>Cisco SSD DC P4501 Series SSDPE7KX010T7K (1.0 TB
  2.5‚Äù U.2
  PN: UCSC-NVMELW-I1000)</t>
  </si>
  <si>
    <t>Cisco SSD DC P4501 Series SSDPE7KX010T7K (1.0 TB
  2.5‚Äù U.2
  PN: UCSB-NVMELW-I1000)</t>
  </si>
  <si>
    <t>Cisco SSD DC P4501 Series SSDPE7KX010T7K (1.0 TB
  2.5‚Äù U.2
  PN: UCS-S3260-NVG210)</t>
  </si>
  <si>
    <t>Cisco SSD DC P4501 Series SSDPE7KX020T7K (2.0 TB
  2.5‚Äù U.2
  PN: UCSC-NVMELW-I2000)</t>
  </si>
  <si>
    <t>Cisco SSD DC P4501 Series SSDPE7KX020T7K (2.0 TB
  2.5‚Äù U.2
  PN: UCSB-NVMELW-I2000)</t>
  </si>
  <si>
    <t>Cisco SSD DC P4501 Series SSDPE7KX020T7K (2.0 TB
  2.5‚Äù U.2
  PN: UCS-S3260-NVG220)</t>
  </si>
  <si>
    <t>Cisco SSD DC P4600 Series SSDPE2KE016T7K (1.6 TB
  2.5 U.2</t>
  </si>
  <si>
    <t>PN: UCSC-NVMEHW-I1600)"</t>
  </si>
  <si>
    <t>PN: UCSB-NVMEHW-I1600)"</t>
  </si>
  <si>
    <t>Cisco SSD DC P4600 Series SSDPE2KE020T7K (2.0 TB
  2.5 U.2</t>
  </si>
  <si>
    <t>PN: UCSC-NVMEHW-I2000)"</t>
  </si>
  <si>
    <t>PN: UCSB-NVMEHW-I2000)"</t>
  </si>
  <si>
    <t>Cisco SSD DC P4600 Series SSDPE2KE032T7K (3.2 TB
  2.5 U.2</t>
  </si>
  <si>
    <t>PN: UCSC-NVMEHW-I3200)"</t>
  </si>
  <si>
    <t>PN: UCSB-NVMEHW-I3200)"</t>
  </si>
  <si>
    <t>Cisco UCS VIC Fnic Controller</t>
  </si>
  <si>
    <t>Cisco SSD DC P4501 Series SSDPE7KX040T7K (4.0 TB
  2.5‚Äù U.2
  PN: UCSC-NVMELW-I4000)</t>
  </si>
  <si>
    <t>Cisco SSD DC P4501 Series SSDPE7KX040T7K (4.0 TB
  2.5‚Äù U.2
  PN: UCSB-NVMELW-I4000)</t>
  </si>
  <si>
    <t>Cisco SSD DC P4501 Series SSDPE7KX040T7K (4.0 TB
  2.5‚Äù U.2
  PN: UCS-S3260-NVG240)</t>
  </si>
  <si>
    <t>Cisco SSD DC P4501 Series SSDPE7KX010T7K (1.0 TB
  2.5‚Äù U.2
  PN: HX-NVMELW-I1000)</t>
  </si>
  <si>
    <t>Cisco Optane‚Ñ¢ SSD DC P4800X Series SSDPE21K375GAK (375GB
  2.5‚Äù U.2
  PN:UCSC-NVMEXP-I375)</t>
  </si>
  <si>
    <t>Cisco Optane‚Ñ¢ SSD DC P4800X Series SSDPE21K375GAK (375GB
  2.5‚Äù U.2
  PN:UCSB-NVMEXP-I375)</t>
  </si>
  <si>
    <t>Cisco Optane‚Ñ¢ SSD DC P4800X Series SSDPE21K375GAW (375GB
  2.5‚Äù U.2
  PN:UCSC-NVMEXPB-I375)</t>
  </si>
  <si>
    <t>Cisco Optane‚Ñ¢ SSD DC P4800X Series SSDPE21K375GAW (375GB
  2.5‚Äù U.2
  PN:UCSB-NVMEXPB-I375)</t>
  </si>
  <si>
    <t>Cisco Optane‚Ñ¢ SSD DC P4800X Series SSDPE21K750GAW (750GB
  2.5‚Äù U.2
  PN:UCSC-NVMEXP-I750)</t>
  </si>
  <si>
    <t>Cisco Optane‚Ñ¢ SSD DC P4800X Series SSDPE21K750GAW (750GB
  2.5‚Äù U.2
  PN:UCSB-NVMEXP-I750)</t>
  </si>
  <si>
    <t>UCSC-9400-8I</t>
  </si>
  <si>
    <t>Cisco 9300-8i 12G SAS HBA</t>
  </si>
  <si>
    <t>UCS-S3260-NVM48</t>
  </si>
  <si>
    <t>UCS-S3260-NVM416</t>
  </si>
  <si>
    <t>UCS-S3260-NVM432</t>
  </si>
  <si>
    <t>UCS-S3260-NVM464</t>
  </si>
  <si>
    <t>UCSC-P-M4D25GF</t>
  </si>
  <si>
    <t>Cisco SSD DC P4510 Series SSDPE2KX040T8K (4.0 TB
  2.5 U.2</t>
  </si>
  <si>
    <t>PN: HX-NVME2H-I4000)"</t>
  </si>
  <si>
    <t>Cisco SSD DC P4510 Series SSDPE2KX080T8K (8.0 TB
  2.5 U.2</t>
  </si>
  <si>
    <t>PN: UCSC-NVMEHW-I8000)"</t>
  </si>
  <si>
    <t>PN: UCSB-NVMEHW-I8000)"</t>
  </si>
  <si>
    <t>PN: HX-NVMEHW-I8000)"</t>
  </si>
  <si>
    <t>Cisco SSD DC P4510 Series SSDPE2KX010T8K (1.0 TB
  2.5 U.2</t>
  </si>
  <si>
    <t>PN: UCSC-NVME2H-I1000)"</t>
  </si>
  <si>
    <t>PN: HX-NVME2H-I1000)"</t>
  </si>
  <si>
    <t>Cisco SSD DC P4510 Series SSDPE2KX020T8K (2.0 TB
  2.5 U.2</t>
  </si>
  <si>
    <t>PN: UCSC-NVME2H-I2000)"</t>
  </si>
  <si>
    <t>PN: UCSB-NVME2H-I2000)"</t>
  </si>
  <si>
    <t>PN: UCSC-NVME2H-I4000)"</t>
  </si>
  <si>
    <t>PN: UCSB-NVME2H-I4000)"</t>
  </si>
  <si>
    <t>Cisco SSD DC P4610 Series SSDPE2KE016T8K (1.6 TB
  2.5 U.2</t>
  </si>
  <si>
    <t>PN: UCSC-NVME2H-I1600)"</t>
  </si>
  <si>
    <t>PN: UCSB-NVME2H-I1600)"</t>
  </si>
  <si>
    <t>Cisco SSD DC P4610 Series SSDPE2KE032T8K (3.2 TB
  2.5 U.2</t>
  </si>
  <si>
    <t>PN: UCSC-NVME2H-I3200)"</t>
  </si>
  <si>
    <t>PN: UCSB-NVME2H-I3200)"</t>
  </si>
  <si>
    <t>UCSC-P-M5D100GF</t>
  </si>
  <si>
    <t>UCSC-P-M5D25GF</t>
  </si>
  <si>
    <t>UCSC-O-M5S100GF</t>
  </si>
  <si>
    <t>UCSC-P-M5S100GF</t>
  </si>
  <si>
    <t>UCSB-NVMEM6-W800</t>
  </si>
  <si>
    <t>UCSB-NVMEM6-W1920</t>
  </si>
  <si>
    <t>UCSB-NVMEM6-W3800</t>
  </si>
  <si>
    <t>UCSB-NVMEM6-W6400</t>
  </si>
  <si>
    <t>UCS-S3260-NVMW19T</t>
  </si>
  <si>
    <t>UCS-S3260-NVMW64T</t>
  </si>
  <si>
    <t>QLogic QLE2772 2x32GFC Gen 6 Enhanced Mach 32 PCIe HBA</t>
  </si>
  <si>
    <t>UCSB-RAID12G-M6</t>
  </si>
  <si>
    <t>UCSC-RAID-M6T</t>
  </si>
  <si>
    <t>UCSC-RAID-M6HD</t>
  </si>
  <si>
    <t>UCSC-RAID-M6SD</t>
  </si>
  <si>
    <t>UCSX-X10C-RAIDF</t>
  </si>
  <si>
    <t>Cisco(R) E810XXVDA4 4x25/10 GbE SFP28 PCIe NIC</t>
  </si>
  <si>
    <t>Cisco(R) E810CQDA2 2x100 GbE QSFP28 PCIe NIC</t>
  </si>
  <si>
    <t>Cisco(R) E810XXVDA2 2x25/10 GbE SFP28 PCIe NIC¬†</t>
  </si>
  <si>
    <t>Cisco(R) Ethernet Network Adapter XXV710 OCP 2.0</t>
  </si>
  <si>
    <t>Cisco(R) X710T2LG 2x10 GbE RJ45 PCIe NIC</t>
  </si>
  <si>
    <t>Cisco(R) Ethernet Network Adapter X710-T2L OCP 3.0</t>
  </si>
  <si>
    <t>Cisco X550-TX 10 Gig LOM</t>
  </si>
  <si>
    <t>UCSC-SAS-M6T</t>
  </si>
  <si>
    <t>UCSC-SAS-M6HD</t>
  </si>
  <si>
    <t>UCSC-9500-8E</t>
  </si>
  <si>
    <t>Cisco SSD DC P5500 Series SSDPF2KX019T9K (1.92TB
  2.5 U.2</t>
  </si>
  <si>
    <t>PN: UCS-NVMEI4-I1920)"</t>
  </si>
  <si>
    <t>Cisco SSD DC P5500 Series SSDPF2KX038T9K (3.84TB
  2.5 U.2</t>
  </si>
  <si>
    <t>PN: UCS-NVMEI4-I3840)"</t>
  </si>
  <si>
    <t>Cisco SSD DC P5500 Series SSDPF2KX076T9K (7.68TB
  2.5 U.2</t>
  </si>
  <si>
    <t>PN: UCS-NVMEI4-I7680)"</t>
  </si>
  <si>
    <t>Cisco SSD DC P5600 Series SSDPF2KE016T9K (1.6TB
  2.5 U.2</t>
  </si>
  <si>
    <t>PN: UCS-NVMEI4-I1600)"</t>
  </si>
  <si>
    <t>Cisco SSD DC P5600 Series SSDPF2KE032T9K (3.2TB
  2.5 U.2</t>
  </si>
  <si>
    <t>PN: UCS-NVMEI4-I3200)"</t>
  </si>
  <si>
    <t>Cisco SSD DC P5600 Series SSDPF2KE064T9K (6.4TB
  2.5 U.2</t>
  </si>
  <si>
    <t>PN: UCS-NVMEI4-I6400)"</t>
  </si>
  <si>
    <t>UCS VIC1467</t>
  </si>
  <si>
    <t>UCS VIC1477</t>
  </si>
  <si>
    <t>UCS-NVMEM6-W1600
  UCSB-NVMHG-W1600
  UCS-S3260-NVMW16</t>
  </si>
  <si>
    <t>UCS-NVMEM6-W3200
  UCSB-NVMHG-W3200
  UCS-S3260-NVMW32</t>
  </si>
  <si>
    <t>UCS-NVMEM6-W6400
  UCSB-NVMHG-W6400
  UCS-S3260-NVMW64</t>
  </si>
  <si>
    <t>UCS-NVMEM6-W7680
  UCSB-NVMHG-W7600</t>
  </si>
  <si>
    <t>UCS-NVMEM6-W15300
  UCSB-NVMHG-W15300</t>
  </si>
  <si>
    <t>VIC 14425</t>
  </si>
  <si>
    <t>VIC 14825</t>
  </si>
  <si>
    <t>Cisco Optane‚Ñ¢ SSD DC P5800X Series SSDPF21Q400GBK (400GB 2.5‚Äù U.2
  PN:UCS-NVMEXP-I400)</t>
  </si>
  <si>
    <t>Cisco Optane‚Ñ¢ SSD DC P5800X Series SSDPF21Q800GBK (800GB 2.5‚Äù U.2
  PN:UCS-NVMEXP-I800)</t>
  </si>
  <si>
    <t>UCS VIC 15428</t>
  </si>
  <si>
    <t>Cisco(R) X710T4LG 4x10 GbE RJ45 PCIe NIC</t>
  </si>
  <si>
    <t>UCS VIC 15231</t>
  </si>
  <si>
    <t>UCS VIC 15238</t>
  </si>
  <si>
    <t>UCS VIC 15411</t>
  </si>
  <si>
    <t>UCS VIC 15420</t>
  </si>
  <si>
    <t>Ethernet Connection E823-L 1GbE</t>
  </si>
  <si>
    <t>Ethernet Connection E823-L for SFP</t>
  </si>
  <si>
    <t>Ethernet Connection E823-L for backplane</t>
  </si>
  <si>
    <t>UCS VIC 15422</t>
  </si>
  <si>
    <t>Cisco QLogic QLE2692 dual-port 16G FC HBA</t>
  </si>
  <si>
    <t>Cisco QLogic QLE2742 dual-port 32G FC HBA</t>
  </si>
  <si>
    <t>Cisco QLogic QLE2772 2x32G FC Gen 6 Enhanced PCIe HBA</t>
  </si>
  <si>
    <t>Cisco(R) i710T4LG 4x1 GbE RJ45 PCIe NIC</t>
  </si>
  <si>
    <t>Cisco Optane‚Ñ¢ SSD DC P5800X Series SSDPF21Q400GBK (400GB 2.5‚Äù U.2
  PN:UCSX-NVMEXP-I400)</t>
  </si>
  <si>
    <t>Cisco Optane‚Ñ¢ SSD DC P5800X Series SSDPF21Q800GBK (800GB 2.5‚Äù U.2
  PN:UCSX-NVMEXP-I800)</t>
  </si>
  <si>
    <t>Cisco SSD DC P5520 Series SSDPF2KX019T1O (1.92TB
  2.5 U.2</t>
  </si>
  <si>
    <t>PN: UCS-NVME4-1920</t>
  </si>
  <si>
    <t>UCSX-NVME4-1920)"</t>
  </si>
  <si>
    <t>Cisco SSD DC P5520 Series SSDPF2KX038T1O (3.84TB
  2.5 U.2</t>
  </si>
  <si>
    <t>PN: UCS-NVME4-3840</t>
  </si>
  <si>
    <t>UCSX-NVME4-3840)"</t>
  </si>
  <si>
    <t>Cisco SSD DC P5520 Series SSDPF2KX076T1O (7.62TB
  2.5 U.2</t>
  </si>
  <si>
    <t>PN: UCS-NVME4-7680</t>
  </si>
  <si>
    <t>UCSX-NVME4-7680)"</t>
  </si>
  <si>
    <t>Cisco SSD DC P5520 Series SSDPF2KX153T1O (15.36TB
  2.5 U.2</t>
  </si>
  <si>
    <t>PN: UCS-NVME4-15360</t>
  </si>
  <si>
    <t>UCSX-NVME4-15360)"</t>
  </si>
  <si>
    <t>Cisco SSD DC P5620 Series SSDPF2KE16T10 (1.6TB
  2.5 U.2</t>
  </si>
  <si>
    <t>PN: UCS-NVME4-1600</t>
  </si>
  <si>
    <t>UCSX-NVME4-1600)"</t>
  </si>
  <si>
    <t>Cisco SSD DC P5620 Series SSDPF2KE32T10 (3.2TB
  2.5 U.2</t>
  </si>
  <si>
    <t>PN: UCS-NVME4-3200</t>
  </si>
  <si>
    <t>UCSX-NVME4-3200)"</t>
  </si>
  <si>
    <t>Cisco SSD DC P5620 Series SSDPF2KE064T10 (6.4TB
  2.5 U.2</t>
  </si>
  <si>
    <t>PN: UCSX-NVME4-6400)"</t>
  </si>
  <si>
    <t>Cisco SSD DC P5500 Series SSDPF2KX019T9K (1.92TB
  2.5" U.2
  PN: UCSX-NVMEI4-I1920)</t>
  </si>
  <si>
    <t>UCS VIC 15235</t>
  </si>
  <si>
    <t>UCS VIC 15425</t>
  </si>
  <si>
    <t>Cisco-NVDA MCX623436AC-CDAB CX6Dx 2x100G QSFP56 x16 OCP NIC</t>
  </si>
  <si>
    <t>Cisco-MLNX MCX623106AS-CDAT 2x100GbE QSFP56 PCIe NIC</t>
  </si>
  <si>
    <t>Cisco-MLNX MCX623106AC-CDAT 2x100GbE QSFP56 PCIe NIC</t>
  </si>
  <si>
    <t>Cisco-NVDA MCX631432AC-ADAB CX6 Lx 2x25G SFP28 x8 OCP NIC</t>
  </si>
  <si>
    <t>UCSX-NVMEM6-W1600</t>
  </si>
  <si>
    <t>UCSX-NVMEM6-W3200</t>
  </si>
  <si>
    <t>UCSX-NVMEM6-W6400</t>
  </si>
  <si>
    <t>UCSX-NVMEM6-W7680</t>
  </si>
  <si>
    <t>UCSX-NVMEM6-W15300</t>
  </si>
  <si>
    <t>UCSC-RAID-HP</t>
  </si>
  <si>
    <t>UCS-M2-NVRAID</t>
  </si>
  <si>
    <t>UCS VIC 15237</t>
  </si>
  <si>
    <t>UCS VIC 15230</t>
  </si>
  <si>
    <t>UCS VIC 15427</t>
  </si>
  <si>
    <t>UCSC-SAS-M6T Cisco 12G SAS HBA (16 Drives)</t>
  </si>
  <si>
    <t>UCS-NVMEG4-M3200D</t>
  </si>
  <si>
    <t>UCSX-NVMEG4M3200D</t>
  </si>
  <si>
    <t>UCS-NVMEG4-M6400</t>
  </si>
  <si>
    <t>UCSX-NVMEG4-M6400</t>
  </si>
  <si>
    <t>UCS-NVMEG4-M6400D</t>
  </si>
  <si>
    <t>UCSX-NVMEG4M6400D</t>
  </si>
  <si>
    <t>UCS-NVMEG4-M1600</t>
  </si>
  <si>
    <t>UCSX-NVMEG4-M1600</t>
  </si>
  <si>
    <t>UCS-NVMEG4-M1600D</t>
  </si>
  <si>
    <t>UCSX-NVMEG4M1600D</t>
  </si>
  <si>
    <t>UCS-NVMEG4-M3200</t>
  </si>
  <si>
    <t>UCSX-NVMEG4-M3200</t>
  </si>
  <si>
    <t>UCS-NVMEG4-M960</t>
  </si>
  <si>
    <t>UCSX-NVMEG4-M960</t>
  </si>
  <si>
    <t>UCS-NVMEG4-M960-D</t>
  </si>
  <si>
    <t>UCSX-NVMEG4-M960D</t>
  </si>
  <si>
    <t>UCS-NVMEG4-M1920</t>
  </si>
  <si>
    <t>UCSX-NVMEG4-M1920¬†</t>
  </si>
  <si>
    <t>UCSB-NVMEM6-M7600</t>
  </si>
  <si>
    <t>UCS-S3260-NVMM76T</t>
  </si>
  <si>
    <t>UCSB-NVMEM6-M800</t>
  </si>
  <si>
    <t>UCSB-NVMEM6-M6400</t>
  </si>
  <si>
    <t>UCS-S3260-NVMM64T</t>
  </si>
  <si>
    <t>UCS-NVMEG4-M1920D</t>
  </si>
  <si>
    <t>UCSX-NVMEG4M1920D</t>
  </si>
  <si>
    <t>UCS-NVMEG4-M3840</t>
  </si>
  <si>
    <t>UCSX-NVMEG4-M3840</t>
  </si>
  <si>
    <t>UCS-NVMEG4-M3840D</t>
  </si>
  <si>
    <t>UCSX-NVMEG4M3840D</t>
  </si>
  <si>
    <t>UCS-NVMEG4-M7680</t>
  </si>
  <si>
    <t>UCSX-NVMEG4-M7680</t>
  </si>
  <si>
    <t>UCS-NVMEG4-M7680D</t>
  </si>
  <si>
    <t>UCSX-NVMEG4M7680D</t>
  </si>
  <si>
    <t>UCS-NVMEG4-M1536</t>
  </si>
  <si>
    <t>UCSX-NVMEG4-M1536</t>
  </si>
  <si>
    <t>Cisco 24G TriMode M1 HBA 16D UCSC-HBA-M1L16</t>
  </si>
  <si>
    <t>Cisco 24G TriMode M1 RAID 4GB FBWC 16D UCSC-RAID-M1L16</t>
  </si>
  <si>
    <t>Cisco 24G TriMode M1 RAID 4GB FBWC 32D UCSC-RAID-MP1L32</t>
  </si>
  <si>
    <t>Cisco SSD DC P5520 Series SSDPF2KX019T10 (1.92TB
  2.5 U.2</t>
  </si>
  <si>
    <t>PN: UCS-NVB1T9O1V</t>
  </si>
  <si>
    <t>UCSX-NVB1T9O1V)"</t>
  </si>
  <si>
    <t>Cisco SSD DC P5520 Series SSDPF2KX038T10 (3.84TB
  2.5 U.2</t>
  </si>
  <si>
    <t>PN: UCS-NVB3T8O1V</t>
  </si>
  <si>
    <t>UCSX-NVB3T8O1V)"</t>
  </si>
  <si>
    <t>Cisco SSD DC P5520 Series SSDPF2KX076T10 (7.62TB
  2.5 U.2</t>
  </si>
  <si>
    <t>PN: UCS-NVB7T6O1V</t>
  </si>
  <si>
    <t>UCSX-NVB7T6O1V)"</t>
  </si>
  <si>
    <t>Cisco SSD DC P5520 Series SSDPF2KX153T10 (15.36TB
  2.5 U.2</t>
  </si>
  <si>
    <t>PN: UCS-NVB15TO1V</t>
  </si>
  <si>
    <t>UCSX-NVB15TO1V)"</t>
  </si>
  <si>
    <t>PN: UCS-NVB1T6O1P</t>
  </si>
  <si>
    <t>UCSX-NVB1T6O1P)"</t>
  </si>
  <si>
    <t>PN: UCS-NVB3T2O1P</t>
  </si>
  <si>
    <t>UCSX-NVB3T2O1P)"</t>
  </si>
  <si>
    <t>PN: UCS-NVB6T4O1P</t>
  </si>
  <si>
    <t>UCS-NVB6T4O1P)"</t>
  </si>
  <si>
    <t>UCSC-SAS-T-D Cisco 12G SAS HBA (16 Drives)</t>
  </si>
  <si>
    <t>Cisco QLogic QLE2872 2x32G FC Gen 7 Enhanced PCIe HBA</t>
  </si>
  <si>
    <t>Cisco 24G TriMode M1 RAID 4GB FBWC 6D UCSX-RAID-M1L6</t>
  </si>
  <si>
    <t>Cisco 24G TriMode M1 RAID LFF 32D UCSC-RAIDMP1LL32</t>
  </si>
  <si>
    <t>Cisco 24G TriMode M1 HBA LFF 32D UCSC-HBAMP1LL32</t>
  </si>
  <si>
    <t>Cisco SSD DC P5620 Series SSDPF2KE128T1O (12.8TB
  2.5 U.2</t>
  </si>
  <si>
    <t>PN: UCS-NVB12T8O1P</t>
  </si>
  <si>
    <t>UCSX-NVB12T8O1P)"</t>
  </si>
  <si>
    <t>UCS-NVE11T6K1P</t>
  </si>
  <si>
    <t>UCS-NVE13T2K1P</t>
  </si>
  <si>
    <t>UCS-NVE16T4K1P</t>
  </si>
  <si>
    <t>UCS-NVE112T8K1P</t>
  </si>
  <si>
    <t>UCS-NVE11T9K1V</t>
  </si>
  <si>
    <t>UCS-NVE13T8K1V</t>
  </si>
  <si>
    <t>UCS-NVE17T6K1V</t>
  </si>
  <si>
    <t>UCS-NVE115T3K1V</t>
  </si>
  <si>
    <t>1.92TB E3.S1T PM1743 HgPerf MedEnd Gen5 1X NVMe (TCG OPAL)</t>
  </si>
  <si>
    <t>3.84TB E3.S1T PM1743 HgPerf MedEnd Gen5 1X NVMe (TCG OPAL)</t>
  </si>
  <si>
    <t>7.68TB E3.S1T PM1743 HgPerf MedEnd Gen5 1X NVMe (TCG OPAL)</t>
  </si>
  <si>
    <t>15.36TB E3.S1T PM1743 HgPerf MedEnd Gen5 1X NVMe (TCG OPAL)</t>
  </si>
  <si>
    <t>Cisco-NVDA MCX631102AS-ADAT CX6 Lx 2x25G SFP28 x8 PCIe NIC</t>
  </si>
  <si>
    <t>Cisco-NVDA MCX755106AS-HEAT 2x200GbE QSFP112 Gen5 x16 PCIe NIC</t>
  </si>
  <si>
    <t>Cisco-NVDA MCX715105AS-WEAT 1x400GbE QSFP112 Gen5 x16 PCIe NIC</t>
  </si>
  <si>
    <t>Cisco-NVDA MCX713104AS-ADAT 4x25GbE SFP56 Gen4 x16 PCIe NIC</t>
  </si>
  <si>
    <t>MTFDLCE3T8THA-1BK1DFCYY</t>
  </si>
  <si>
    <t>MTFDLCE7T6THA-1BK1DFCYY</t>
  </si>
  <si>
    <t>MTFDLCE15T3THA-1BK1DFCYY</t>
  </si>
  <si>
    <t>MTFDLCE7T6THA-1BK1JABYY</t>
  </si>
  <si>
    <t>MTFDLCE3T8THA-1BK1JABYY</t>
  </si>
  <si>
    <t>MTFDLCE15T3THA-1BK1JABYY</t>
  </si>
  <si>
    <t>MTFDLBQ30T7THA-1BK1DABYY</t>
  </si>
  <si>
    <t>UCSX-NVB960M2V¬†</t>
  </si>
  <si>
    <t>UCSX-NVB1T9M2V9¬†</t>
  </si>
  <si>
    <t>UCSX-NVB3T8M2V9¬†</t>
  </si>
  <si>
    <t>UCSX-NVB15T3M2V9¬†</t>
  </si>
  <si>
    <t>UCS-NVB1T6M2PM6¬†</t>
  </si>
  <si>
    <t>UCSX-NVB3T2M2P¬†</t>
  </si>
  <si>
    <t>UCSX-NVB6T4M2P¬†</t>
  </si>
  <si>
    <t>UCSX-NVB12T8M2P¬†</t>
  </si>
  <si>
    <t>UCS-NVB960M2VM6¬†</t>
  </si>
  <si>
    <t>UCSX-NVB1T9M2V¬†</t>
  </si>
  <si>
    <t>UCSX-NVB15T3M2V¬†</t>
  </si>
  <si>
    <t>UCSX-NVB1T6M2P¬†</t>
  </si>
  <si>
    <t>UCS-NVB3T2M2PM6¬†</t>
  </si>
  <si>
    <t>UCS-NVB6T4M2PM6¬†</t>
  </si>
  <si>
    <t>UCSX-NVB1T9M2V9</t>
  </si>
  <si>
    <t>UCSX-NVB7T6M2V9</t>
  </si>
  <si>
    <t>UCS-NVB3T8M2VM6¬†</t>
  </si>
  <si>
    <t>UCS-NVB7T6M2VM6¬†</t>
  </si>
  <si>
    <t>UCSX-NVB15T3M2VM6</t>
  </si>
  <si>
    <t>UCSX-NVB7T6M2VM6</t>
  </si>
  <si>
    <t>UCS-NVE11T9K2V9</t>
  </si>
  <si>
    <t>UCS-NVE13T8K2V9</t>
  </si>
  <si>
    <t>UCS-NVE17T6K2V9</t>
  </si>
  <si>
    <t>UCS-NVE115T3K2V9</t>
  </si>
  <si>
    <t>UCS-NVB15T3M2VM6</t>
  </si>
  <si>
    <t>UCS-NVB1T9M2VM6</t>
  </si>
  <si>
    <t>UCSX-NVB1T6M2PM6</t>
  </si>
  <si>
    <t>UCSX-NVB1T9M2VM6</t>
  </si>
  <si>
    <t>UCSX-NVB3T8M2VM6</t>
  </si>
  <si>
    <t>UCSX-NVB6T4M2PM6</t>
  </si>
  <si>
    <t>UCSX-NVB7T6M2V</t>
  </si>
  <si>
    <t>UCSX-NVB960M2VM6</t>
  </si>
  <si>
    <t>Cisco Systems
 Inc.</t>
  </si>
  <si>
    <t>Corigine</t>
  </si>
  <si>
    <t>Agilio GX 2x25GbE</t>
  </si>
  <si>
    <t>DapuStor Corporation</t>
  </si>
  <si>
    <t>DAPUSTOR DPH311T5T007T6</t>
  </si>
  <si>
    <t>DAPUSTOR DPH311T6S001T6</t>
  </si>
  <si>
    <t>DAPUSTOR DPH317T5T003T8</t>
  </si>
  <si>
    <t>DAPUSTOR DPH312T5T006T4</t>
  </si>
  <si>
    <t>DAPUSTOR DPH311T4T003T8</t>
  </si>
  <si>
    <t>DAPUSTOR DPXD3101T5S300T8000</t>
  </si>
  <si>
    <t>DAPUSTOR DPXD3102T0S101T6000</t>
  </si>
  <si>
    <t>AF4UP44DTEDP3T8A</t>
  </si>
  <si>
    <t>AF4UP44DTEDP7T6A</t>
  </si>
  <si>
    <t>AF4UP44DTEDP1T9A</t>
  </si>
  <si>
    <t>AF1UP44DSDDP800A</t>
  </si>
  <si>
    <t>DAPUSTOR DPRD3104T0T603T2000</t>
  </si>
  <si>
    <t>DAPUSTOR DPRD3108T0T506T4000</t>
  </si>
  <si>
    <t>DAPUSTOR DPRD3102T0T601T9000</t>
  </si>
  <si>
    <t>DAPUSTOR DPRD3104T0T503T8000</t>
  </si>
  <si>
    <t>DAPUSTOR DPRD31016TT515T3000</t>
  </si>
  <si>
    <t>DAPUSTOR DPJD4208T0T807T6000</t>
  </si>
  <si>
    <t>DAPUSTOR DPJD4204T0T803T2000</t>
  </si>
  <si>
    <t>DAPUSTOR DPJD3104T0T803T8000</t>
  </si>
  <si>
    <t>DAPUSTOR DPJD3108T0T807T6000</t>
  </si>
  <si>
    <t>DAPUSTOR DPJD3104T0T803T2000</t>
  </si>
  <si>
    <t>DAPUSTOR DPRD3108T0T507T6010</t>
  </si>
  <si>
    <t>DAPUSTOR DPRD3104T0T603T8050</t>
  </si>
  <si>
    <t>DAPUSTOR DPHV5104T0TA03T8000</t>
  </si>
  <si>
    <t>DAPUSTOR DPHV51016TTJ15T3000</t>
  </si>
  <si>
    <t>DAPUSTOR DPHV5108T0TJ07T6000</t>
  </si>
  <si>
    <t>DAPUSTOR DPRP5108T0TJ07T6000</t>
  </si>
  <si>
    <t>DAPUSTOR DPFP52D20B0T00000G010</t>
  </si>
  <si>
    <t>NVMe-RAID</t>
  </si>
  <si>
    <t>DAPUSTOR DPRP51016TTF15T3000</t>
  </si>
  <si>
    <t>DAPUSTOR DPHV51232TTJ30T7000</t>
  </si>
  <si>
    <t>DAPUSTOR DPHV51016TTF15T3000</t>
  </si>
  <si>
    <t>DAPUSTOR DPAW3D01T0G3TA00T9000</t>
  </si>
  <si>
    <t>DapuStor DPRP5102T0TG01T9000</t>
  </si>
  <si>
    <t>DapuStor DPRP5104T0TG03T8000</t>
  </si>
  <si>
    <t>DapuStor DPRP5108T0TF07T6000</t>
  </si>
  <si>
    <t>DapuStor DPRP5104T0TG03T2000</t>
  </si>
  <si>
    <t>DapuStor DPRP5108T0TF06T4000</t>
  </si>
  <si>
    <t>DapuStor DPRP51016TTF12T8000</t>
  </si>
  <si>
    <t>DAPUSTOR DPRP5102T0TG01T6000</t>
  </si>
  <si>
    <t>DAPUSTOR DPHV5104T0TA03T2000</t>
  </si>
  <si>
    <t>DapuStor DPHV5104T0TG03T8000</t>
  </si>
  <si>
    <t>DapuStor DPHV5108T0TF07T6000</t>
  </si>
  <si>
    <t>DapuStor DPHV5104T0TG03T2000</t>
  </si>
  <si>
    <t>DapuStor DPHV5108T0TF06T4000</t>
  </si>
  <si>
    <t>DapuStor DPHV51016TTF12T8000</t>
  </si>
  <si>
    <t>DapuStor DPAW3600T5G3TA00T4000</t>
  </si>
  <si>
    <t>DapuStor DPAW3601T0G3TA00T9000</t>
  </si>
  <si>
    <t>DapuStor DPAW3602T0G3TA01T9000</t>
  </si>
  <si>
    <t>DapuStor DPAW3D00T5G3TA00T4000</t>
  </si>
  <si>
    <t>DapuStor DPAW3D02T0G3TA01T9000</t>
  </si>
  <si>
    <t>Dell</t>
  </si>
  <si>
    <t>Intel Gigabit 4P I350-t Mezz</t>
  </si>
  <si>
    <t>Intel Gigabit 2P I350-t Adapter</t>
  </si>
  <si>
    <t>Intel Gigabit 4P I350-t rNDC</t>
  </si>
  <si>
    <t>Intel Gigabit 4P I350-t Adapter</t>
  </si>
  <si>
    <t>Intel Gigabit 4P X540/I350 rNDC</t>
  </si>
  <si>
    <t>Broadcom 5720 QP 1Gb NDC</t>
  </si>
  <si>
    <t>Broadcom 5719 Quad Port 1Gb Mezz</t>
  </si>
  <si>
    <t>Broadcom 5720 DP 1Gb</t>
  </si>
  <si>
    <t>Broadcom 5719 QP 1Gb</t>
  </si>
  <si>
    <t>PERC H830 Adapter</t>
  </si>
  <si>
    <t>PERC H730P Adapter</t>
  </si>
  <si>
    <t>PERC H730 Adapter</t>
  </si>
  <si>
    <t>PERC H330 Adapter</t>
  </si>
  <si>
    <t>12GB/s HBA external</t>
  </si>
  <si>
    <t>PERC H730P Mini</t>
  </si>
  <si>
    <t>PERC H730P Mini (for Blades)</t>
  </si>
  <si>
    <t>PERC H730 Mini</t>
  </si>
  <si>
    <t>PERC H730 Mini (for Blades)</t>
  </si>
  <si>
    <t>PERC H330 Mini</t>
  </si>
  <si>
    <t>PERC H330 Mini (for Blades)</t>
  </si>
  <si>
    <t>BCM5720</t>
  </si>
  <si>
    <t>HBA330 Adapter</t>
  </si>
  <si>
    <t>HBA330 Mini</t>
  </si>
  <si>
    <t>PERC H730P Slim</t>
  </si>
  <si>
    <t>FD332-PERC (Dual ROC)</t>
  </si>
  <si>
    <t>FD332-PERC(Single ROC)</t>
  </si>
  <si>
    <t>Intel(R) Ethernet Converged Network Adapter X710</t>
  </si>
  <si>
    <t>Intel(R) Ethernet 10G 4P X710 SFP+ rNDC</t>
  </si>
  <si>
    <t>Intel(R) Ethernet 10G X710 rNDC</t>
  </si>
  <si>
    <t>Intel(R) Ethernet 10G 4P X710/I350 rNDC</t>
  </si>
  <si>
    <t>Intel(R) Ethernet 10G 4P X710-k bNDC</t>
  </si>
  <si>
    <t>Intel(R) Ethernet 10G 2P X710-k bNDC</t>
  </si>
  <si>
    <t>Intel(R) Ethernet 10G X710-k bNDC</t>
  </si>
  <si>
    <t>Intel(R) Ethernet 40G 2P XL710 QSFP+ rNDC</t>
  </si>
  <si>
    <t>Intel(R) Ethernet Converged Network Adapter XL710-Q2</t>
  </si>
  <si>
    <t>Mellanox ConnectX-4 Dual Port VPI EDR QSFP PCIe Adapter</t>
  </si>
  <si>
    <t>Mellanox ConnectX-4 Single Port VPI EDR QSFP PCIe Adapter</t>
  </si>
  <si>
    <t>Mellanox ConnectX-4 Dual Port 100 GbE QSFP Network Adapter</t>
  </si>
  <si>
    <t>QLE2692-DEL</t>
  </si>
  <si>
    <t>QLE2690-DEL</t>
  </si>
  <si>
    <t>QLE2742-DEL</t>
  </si>
  <si>
    <t>QLE2740-DEL</t>
  </si>
  <si>
    <t>Emulex LightPulse LPe31002-M6-D 2-Port 16Gb Fibre Channel Adapter</t>
  </si>
  <si>
    <t>Emulex LightPulse LPe31000-M6-D 1-Port 16Gb Fibre Channel Adapter</t>
  </si>
  <si>
    <t>Dell PERC FD33xS</t>
  </si>
  <si>
    <t>Intel(R) Gigabit 2P I350-t LOM</t>
  </si>
  <si>
    <t>Intel(R) Gigabit 4P X710/I350 rNDC</t>
  </si>
  <si>
    <t>Gigabit 2P I350 LOM</t>
  </si>
  <si>
    <t>Gigabit 4P I350 bNDC</t>
  </si>
  <si>
    <t>Ethernet Connection I354 1.0 GbE Backplane</t>
  </si>
  <si>
    <t>Intel(R) Ethernet 10G 2P X550-t Adapter</t>
  </si>
  <si>
    <t>Mellanox ConnectX-4 LX Dual Port 25 GbE SFP Rack NDC</t>
  </si>
  <si>
    <t>Mellanox ConnectX-4 LX Dual Port 25 GbE SFP Network Adapter</t>
  </si>
  <si>
    <t>PERC H740P mini</t>
  </si>
  <si>
    <t>PERC H740P Adapter</t>
  </si>
  <si>
    <t>PERC H840 Adapter</t>
  </si>
  <si>
    <t>Dell Express Flash NVMe PM1725 800 GB PCIe SSD Controller</t>
  </si>
  <si>
    <t>Dell Express Flash NVMe PM1725 1.6 TB PCIe SSD Controller</t>
  </si>
  <si>
    <t>Dell Express Flash NVMe PM1725 3.2 TB PCIe SSD Controller</t>
  </si>
  <si>
    <t>Dell Express Flash NVMe PM1725 1.6 TB PCIe SSD Adapter by Samsung</t>
  </si>
  <si>
    <t>Dell Express Flash NVMe PM1725 3.2 TB PCIe SSD Adapter by Samsung</t>
  </si>
  <si>
    <t>Dell Express Flash NVMe PM1725 6.4 TB PCIe SSD Adapter by Samsung</t>
  </si>
  <si>
    <t>Dell Express Flash NVMe PM1725a 6.4 TB PCIe SSD Controller</t>
  </si>
  <si>
    <t>Dell Express Flash NVMe PM1725a 800 GB PCIe SSD Controller</t>
  </si>
  <si>
    <t>Dell Express Flash NVMe PM1725a 1.6 TB PCIe SSD Controller</t>
  </si>
  <si>
    <t>Dell Express Flash NVMe PM1725a 3.2 TB PCIe SSD Controller</t>
  </si>
  <si>
    <t>Dell Express Flash NVMe PM1725a 1.6TB PCIe SSD Adapter by Samsung</t>
  </si>
  <si>
    <t>Dell Express Flash NVMe PM1725a 3.2TB PCIe SSD Adapter by Samsung</t>
  </si>
  <si>
    <t>Dell Express Flash NVMe PM1725a 6.4TB PCIe SSD Adapter by Samsung</t>
  </si>
  <si>
    <t>Dell Express Flash NVMe SM1715 800 GB PCIe SSD Controller</t>
  </si>
  <si>
    <t>Dell Express Flash NVMe SM1715 1.6 TB PCIe SSD Controller</t>
  </si>
  <si>
    <t>Dell Express Flash NVMe SM1715 1.6 TB PCIe SSD Adapter by Samsung</t>
  </si>
  <si>
    <t>Dell Express Flash NVMe SM1715 3.2 TB PCIe SSD Adapter by Samsung</t>
  </si>
  <si>
    <t>Dell Express Flash NVMe XS1715 400GB PCIe SSD Controller</t>
  </si>
  <si>
    <t>Dell Express Flash NVMe XS1715 800GB PCIe SSD Controller</t>
  </si>
  <si>
    <t>Dell Express Flash NVMe XS1715 1.6TB PCIe SSD Controller</t>
  </si>
  <si>
    <t>Dell Express Flash NVMe SM1715 3.2 TB PCIe SSD Controller</t>
  </si>
  <si>
    <t>Intel(R) Gigabit I350-t LOM</t>
  </si>
  <si>
    <t>Intel(R) Gigabit 4P X550/I350 rNDC</t>
  </si>
  <si>
    <t>Intel(R) Ethernet 10G 4P X550/I350 rNDC¬†</t>
  </si>
  <si>
    <t>Intel(R) Ethernet 10G 4P X550 rNDC¬†</t>
  </si>
  <si>
    <t>Intel(R) Ethernet Server Adapter X710-DA2 for OCP</t>
  </si>
  <si>
    <t>Intel(R) Gigabit 2P I350 LOM</t>
  </si>
  <si>
    <t>Intel(R) Gigabit 4P I350 bNDC</t>
  </si>
  <si>
    <t>Intel(R) I350 Gigabit Network Connection</t>
  </si>
  <si>
    <t>Intel(R) Ethernet Converged Network Adapter X710-T</t>
  </si>
  <si>
    <t>Intel(R) Ethernet 25G 2P XXV710 Adapter¬†</t>
  </si>
  <si>
    <t>UCSC-NVMEM4-H800</t>
  </si>
  <si>
    <t>UCSC-NVMEM4-H1600</t>
  </si>
  <si>
    <t>Dell Express Flash NVMe P4500 SSDPE2KX010T7T (1.0 TB
  2.5 U.2)"</t>
  </si>
  <si>
    <t>Dell Express Flash NVMe P4500 SSDPE2KX020T7T (2.0 TB
  2.5 U.2)"</t>
  </si>
  <si>
    <t>Dell Express Flash NVMe P4500 SSDPE2KX0410T7T (4.0 TB
  2.5 U.2)"</t>
  </si>
  <si>
    <t>Dell Express Flash NVMe P4500 SSDPEDKX040T7T (4.0 TB
  AIC)</t>
  </si>
  <si>
    <t>Dell Express Flash NVMe P4600 SSDPE2KE016T7T (1.6 TB
  2.5 U.2)"</t>
  </si>
  <si>
    <t>Dell Express Flash NVMe P4600 SSDPE2KE020T7T (2.0 TB
  2.5 U.2)"</t>
  </si>
  <si>
    <t>Dell Express Flash NVMe P4600 SSDPE2KE032T7T (3.2 TB
  2.5 U.2)"</t>
  </si>
  <si>
    <t>Dell Express Flash NVMe P4600 SSDPEDKE020T7T (2.0 TB
  AIC)</t>
  </si>
  <si>
    <t>Dell Express Flash NVMe P4600 SSDPEDKE040T7T (4.0 TB
  AIC)</t>
  </si>
  <si>
    <t>Dell P3600 PCIe SSD U.2 800GB 09N17H</t>
  </si>
  <si>
    <t>Dell P3600 PCIe SSD U.2 1.6TB 0NFRJF</t>
  </si>
  <si>
    <t>Dell P3600 PCIe SSD U.2 2.0TB 0P98F6</t>
  </si>
  <si>
    <t>Dell P3600 PCIe SSD AIC 2.0TB 0JFRHP</t>
  </si>
  <si>
    <t>Dell P3700 PCIe SSD AIC 2.0TB 0CJY9F</t>
  </si>
  <si>
    <t>BCM57304 NetXtreme-C Ethernet Virtual Function</t>
  </si>
  <si>
    <t>Dell HBA330 MX</t>
  </si>
  <si>
    <t>Dell HBA330 MMZ</t>
  </si>
  <si>
    <t>MSCC SmartRAID 3162-8i/eDell</t>
  </si>
  <si>
    <t>PERC H745P MX</t>
  </si>
  <si>
    <t>PERC H840 Adapter ESDS</t>
  </si>
  <si>
    <t>PERC H740P Adapter ESDS</t>
  </si>
  <si>
    <t>PERC H740P Mini ESDS</t>
  </si>
  <si>
    <t>PERC H740P Mini (blade)</t>
  </si>
  <si>
    <t>PERC H740P Mini (blade) ESDS</t>
  </si>
  <si>
    <t>Mellanox ConnectX-5 Single Port VPI EDR QSFP Adapter</t>
  </si>
  <si>
    <t>Broadcom NetXtreme PCIe 1Gb 2-Port RJ45 Ethernet Adapter</t>
  </si>
  <si>
    <t>Intel(R) Ethernet 25G 2P XXV710 Mezz</t>
  </si>
  <si>
    <t>PERC H730P MX</t>
  </si>
  <si>
    <t>FD33xS-HBA</t>
  </si>
  <si>
    <t>FD33xD-HBA</t>
  </si>
  <si>
    <t>Emulex LightPulse LPm32002-D 2-Port 32Gb Fiber Channel Mezz Card</t>
  </si>
  <si>
    <t>QME2742-DEL</t>
  </si>
  <si>
    <t>QME2692-DEL</t>
  </si>
  <si>
    <t>BOSS-S1 Adapter</t>
  </si>
  <si>
    <t>BOSS S1-Modular</t>
  </si>
  <si>
    <t>Mellanox ConnectX¬Æ-4 LX Dual Port 25 GbE KR Mezzanine Card</t>
  </si>
  <si>
    <t>Mellanox ConnectX¬Æ-5 Ex Dual Port 100 GbE QSFP Network Adapter</t>
  </si>
  <si>
    <t>Emulex LPe35002-M2-D 2-Port 32Gb Fibre Channel Adapter</t>
  </si>
  <si>
    <t>Dell Express Flash NVMe P4800X SSDPE21K375GAT (375 GB
  2.5‚Äù U.2)</t>
  </si>
  <si>
    <t>Dell Express Flash NVMe P4800X SSDPE21K750GAT (750 GB
  2.5‚Äù U.2)</t>
  </si>
  <si>
    <t>Dell Express Flash NVMe P4800X SSDPED1K750GAT (750 GB
  AIC)</t>
  </si>
  <si>
    <t>Dell Express Flash PM1725b 1.6TB SFF</t>
  </si>
  <si>
    <t>Dell Express Flash PM1725b 3.2TB SFF</t>
  </si>
  <si>
    <t>Dell Express Flash PM1725b 6.4TB SFF</t>
  </si>
  <si>
    <t>Dell Express Flash PM1725b 12.8TB SFF</t>
  </si>
  <si>
    <t>Dell Express Flash PM1725b 1.6TB AIC</t>
  </si>
  <si>
    <t>Dell Express Flash PM1725b 3.2TB AIC</t>
  </si>
  <si>
    <t>Dell Express Flash PM1725b 6.4TB AIC</t>
  </si>
  <si>
    <t>Dell Express Flash NVMe P4510 SSDPE2KX010T8T (1TB 
  2.5 U.2)"</t>
  </si>
  <si>
    <t>Dell Express Flash NVMe P4510 SSDPE2KX020T8T (2TB 
  2.5 U.2)"</t>
  </si>
  <si>
    <t>Dell Express Flash NVMe P4510 SSDPE2KX040T8T (4TB 
  2.5 U.2)"</t>
  </si>
  <si>
    <t>Dell Express Flash NVMe P4510 SSDPE2KX080T8T (8TB 
  2.5 U.2)"</t>
  </si>
  <si>
    <t>Dell Express Flash NVMe P4610 SSDPE2KE016T8T (1.6TB 
  2.5 U.2)"</t>
  </si>
  <si>
    <t>Dell Express Flash NVMe P4610 SSDPE2KE032T8T (3.2TB 
  2.5 U.2)"</t>
  </si>
  <si>
    <t>Dell Express Flash NVMe P4610 SSDPE2KE064T8T (6.4TB 
  2.5 U.2)"</t>
  </si>
  <si>
    <t>Dell Express Flash NVMe P4800X SSDPED1K375GAT (375 GB
  AIC)</t>
  </si>
  <si>
    <t>Express Flash NVMe 960G (RI) U.2 /KCD5XLUG960G</t>
  </si>
  <si>
    <t>Express Flash NVMe 1.92T (RI) U.2/KCD5XLUG1T92</t>
  </si>
  <si>
    <t>Express Flash NVMe 3.84T (RI) U.2/KCD5XLUG3T84</t>
  </si>
  <si>
    <t>Express Flash NVMe 7.68T (RI) U.2/KCD5XLUG7T68</t>
  </si>
  <si>
    <t>Dell PERC H745 Adapter</t>
  </si>
  <si>
    <t>Dell PERC H745 Front PERC</t>
  </si>
  <si>
    <t>Dell PERC H345 Adapter</t>
  </si>
  <si>
    <t>Dell PERC H345 Front PERC</t>
  </si>
  <si>
    <t>Dell SAS3008 HBA</t>
  </si>
  <si>
    <t>X2522-25G</t>
  </si>
  <si>
    <t>QLogic 1x32Gb QLE2770 FC HBA</t>
  </si>
  <si>
    <t>QLogic 2x32Gb QLE2772 FC HBA</t>
  </si>
  <si>
    <t>Mellanox ConnectX-5 EN Dual Port 25GbE SFP Network Adapter</t>
  </si>
  <si>
    <t>ConnectX¬Æ-5 EN network interface card
  25GbE Dual-port SFP28 for OCP3.0</t>
  </si>
  <si>
    <t>Emulex LPe35000-M2-D 1-Port 32Gb Fibre Channel Adapter</t>
  </si>
  <si>
    <t>Intel(R) Ethernet 10G 2P X710 OCP</t>
  </si>
  <si>
    <t>Intel(R) Ethernet 10G 4P X710 OCP</t>
  </si>
  <si>
    <t>Intel(R) Ethernet 10G 2P X710-T2L-t Adapter</t>
  </si>
  <si>
    <t>Intel(R) Ethernet 10G 2P X710-T2L-t OCP</t>
  </si>
  <si>
    <t>Samsung NVMe SSD PM1733 Series MZWLJ1T9HBJR-00007 (1.92TB
  2.5-inch)</t>
  </si>
  <si>
    <t>Dell Ent NVMe AGN RI U.2 1.92TB</t>
  </si>
  <si>
    <t>Dell Ent NVMe AGN SED RI U.2 1.92TB</t>
  </si>
  <si>
    <t>Dell Ent NVMe AGN SED RI AIC 3.84TB</t>
  </si>
  <si>
    <t>Dell Ent NVMe AGN SED RI AIC 7.68TB</t>
  </si>
  <si>
    <t>Dell Ent NVMe AGN SED RI AIC 1.92TB</t>
  </si>
  <si>
    <t>Dell Ent NVMe AGN SED RI U.2 3.84TB</t>
  </si>
  <si>
    <t>Dell Ent NVMe AGN SED RI U.2 7.68TB</t>
  </si>
  <si>
    <t>Dell Ent NVMe AGN SED RI U.2 15.36TB</t>
  </si>
  <si>
    <t>Dell Ent NVMe AGN SED MU U.2 1.6TB</t>
  </si>
  <si>
    <t>Dell Ent NVMe AGN SED MU AIC 3.2TB</t>
  </si>
  <si>
    <t>Dell Ent NVMe AGN SED MU AIC 6.4TB</t>
  </si>
  <si>
    <t>Dell Ent NVMe AGN SED MU AIC 1.6TB</t>
  </si>
  <si>
    <t>Dell Ent NVMe AGN SED MU U.2 3.2TB</t>
  </si>
  <si>
    <t>Dell Ent NVMe AGN SED MU U.2 6.4TB</t>
  </si>
  <si>
    <t>Dell Ent NVMe AGN SED MU U.2 12.8TB</t>
  </si>
  <si>
    <t>Dell Ent NVMe AGN RI U.2 3.84 TB</t>
  </si>
  <si>
    <t>Dell Ent NVMe AGN RI U.2 7.68 TB</t>
  </si>
  <si>
    <t>Dell Ent NVMe AGN RI U.2 15.36 TB</t>
  </si>
  <si>
    <t>Dell Ent NVMe AGN RI AIC 1.92TB</t>
  </si>
  <si>
    <t>Dell Ent NVMe AGN RI AIC 3.84TB</t>
  </si>
  <si>
    <t>Dell Ent NVMe AGN RI AIC 7.68TB</t>
  </si>
  <si>
    <t>Dell Ent NVMe AGN MU U.2 1.6TB</t>
  </si>
  <si>
    <t>Dell Ent NVMe AGN MU U.2 3.2TB</t>
  </si>
  <si>
    <t>Dell Ent NVMe AGN MU U.2 6.4TB</t>
  </si>
  <si>
    <t>Dell Ent NVMe AGN MU U.2 12.8TB</t>
  </si>
  <si>
    <t>Dell Ent NVMe AGN MU AIC 1.6TB</t>
  </si>
  <si>
    <t>Dell Ent NVMe AGN MU AIC 3.2TB</t>
  </si>
  <si>
    <t>Dell Ent NVMe AGN MU AIC 6.4TB</t>
  </si>
  <si>
    <t>PERC H755 Adapter</t>
  </si>
  <si>
    <t>PERC H755 Front PERC</t>
  </si>
  <si>
    <t>PERC H755N Front PERC</t>
  </si>
  <si>
    <t>Dell HBA355i Adapter</t>
  </si>
  <si>
    <t>Dell HBA355i Front</t>
  </si>
  <si>
    <t>Mellanox Connect X-6 DX Dual Port 100Gbe QSFP56 Network Adapter</t>
  </si>
  <si>
    <t>Mellanox ConnectX¬Æ-6 Single Port VPI HDR100 QSFP Adapter</t>
  </si>
  <si>
    <t>Mellanox ConnectX¬Æ-6 Single Port VPI HDR QSFP Adapter</t>
  </si>
  <si>
    <t>X2562</t>
  </si>
  <si>
    <t>BOSS-S2</t>
  </si>
  <si>
    <t>Dell Ent NVMe P5500 RI U.2 1.92TB</t>
  </si>
  <si>
    <t>Dell Ent NVMe P5500 RI U.2 3.84TB</t>
  </si>
  <si>
    <t>Dell Ent NVMe P5500 RI U.2 7.68TB</t>
  </si>
  <si>
    <t>Dell Ent NVMe P5600 MU U.2 1.6TB</t>
  </si>
  <si>
    <t>Dell Ent NVMe P5600 MU U.2 3.2TB</t>
  </si>
  <si>
    <t>Dell Ent NVMe P5600 MU U.2 6.4TB</t>
  </si>
  <si>
    <t>Dell Ent NVMe SED P5500 RI U.2 1.92TB</t>
  </si>
  <si>
    <t>Dell Ent NVMe SED P5500 RI U.2 3.84TB</t>
  </si>
  <si>
    <t>Dell Ent NVMe SED P5500 RI U.2 7.68TB</t>
  </si>
  <si>
    <t>Dell Ent NVMe SED P5600 MU U.2 1.6TB</t>
  </si>
  <si>
    <t>Dell Ent NVMe SED P5600 MU U.2 3.2TB</t>
  </si>
  <si>
    <t>Dell Ent NVMe SED P5600 MU U.2 6.4TB</t>
  </si>
  <si>
    <t>Dell Ent NVMe CM6 RI 1.92TB / KCM6XRUL1T92</t>
  </si>
  <si>
    <t>Dell Ent NVMe CM6 RI 3.84TB / KCM6XRUL3T84</t>
  </si>
  <si>
    <t>Dell Ent NVMe CM6 RI 7.68TB / KCM6XRUL7T68</t>
  </si>
  <si>
    <t>Dell Ent NVMe CM6 RI 15.36TB / KCM6XRUL15T3</t>
  </si>
  <si>
    <t>Dell Ent NVMe CM6 MU 1.6TB / KCM6XVUL1T60</t>
  </si>
  <si>
    <t>Dell Ent NVMe CM6 MU 3.2TB / KCM6XVUL3T20</t>
  </si>
  <si>
    <t>Dell Ent NVMe CM6 MU 6.4TB / KCM6XVUL6T40</t>
  </si>
  <si>
    <t>Dell DC NVMe CD6 RI 1.92TB</t>
  </si>
  <si>
    <t>Dell Ent NVMe CM6 RI 1.92T</t>
  </si>
  <si>
    <t>Dell DC NVMe CD6 RI 960GB / KCD6XLUL960G</t>
  </si>
  <si>
    <t>Dell DC NVMe CD6 RI 1.92TB / KCD6XLUL1T92</t>
  </si>
  <si>
    <t>Dell DC NVMe CD6 RI 3.84TB / KCD6XLUL3T84</t>
  </si>
  <si>
    <t>Dell DC NVMe CD6 RI 7.68TB / KCD6XLUL7T68</t>
  </si>
  <si>
    <t>Dell DC NVMe CD6 RI 15.36TB / KCD6XLUL15T3</t>
  </si>
  <si>
    <t>Dell HBA355e Adapter</t>
  </si>
  <si>
    <t>Dell HBA350i MX</t>
  </si>
  <si>
    <t>Dell Ent NVMe v2 AGN RI U.2 1.92TB</t>
  </si>
  <si>
    <t>Dell Ent NVMe v2 AGN RI U.2 3.84TB</t>
  </si>
  <si>
    <t>Dell Ent NVMe v2 AGN RI U.2 7.68TB</t>
  </si>
  <si>
    <t>Dell Ent NVMe v2 AGN RI U.2 15.36TB</t>
  </si>
  <si>
    <t>Dell Ent NVMe v2 AGN MU U.2 1.6TB</t>
  </si>
  <si>
    <t>Dell Ent NVMe v2 AGN MU U.2 3.2TB</t>
  </si>
  <si>
    <t>Dell Ent NVMe v2 AGN MU U.2 6.4TB</t>
  </si>
  <si>
    <t>Dell Ent NVMe v2 AGN MU U.2 12.8TB</t>
  </si>
  <si>
    <t>Intel(R) Ethernet 10G 4P X710-T4L-t Adapter</t>
  </si>
  <si>
    <t>Intel(R) Ethernet 10G 4P X710-T4L-t OCP</t>
  </si>
  <si>
    <t>Intel(R) Ethernet 100G 2P E810-C Adapter</t>
  </si>
  <si>
    <t>Intel(R) Ethernet 25G 4P E810-XXV Adapter</t>
  </si>
  <si>
    <t>Intel(R) Ethernet 25G 2P E810-XXV OCP</t>
  </si>
  <si>
    <t>Intel(R) Ethernet 25G 2P E810-XXV Adapter</t>
  </si>
  <si>
    <t>Dell Ent NVMe v2 AGN FIPS RI U.2 1.92TB</t>
  </si>
  <si>
    <t>Dell Ent NVMe v2 AGN FIPS RI U.2 3.84TB</t>
  </si>
  <si>
    <t>Dell Ent NVMe v2 AGN FIPS RI U.2 7.68TB</t>
  </si>
  <si>
    <t>Dell Ent NVMe v2 AGN FIPS MU U.2 1.6TB</t>
  </si>
  <si>
    <t>Dell Ent NVMe v2 AGN FIPS MU U.2 3.2TB</t>
  </si>
  <si>
    <t>Dell Ent NVMe v2 AGN FIPS MU U.2 6.4TB</t>
  </si>
  <si>
    <t>Dell Ent NVMe v2 AGN FIPS MU U.2 12.8TB</t>
  </si>
  <si>
    <t>Intel(R) Ethernet 1G 4P I350-t OCP</t>
  </si>
  <si>
    <t>Intel(R) Gigabit¬† I350-t LOM</t>
  </si>
  <si>
    <t>Dell Ent NVMe P5800X SED WI U.2 400GB</t>
  </si>
  <si>
    <t>Dell Ent NVMe P5800X SED WI U.2 800GB</t>
  </si>
  <si>
    <t>Dell Ent NVMe P5800X SED WI U.2 1.6TB</t>
  </si>
  <si>
    <t>Dell Ent NVMe P5800X WI U.2 400GB</t>
  </si>
  <si>
    <t>Dell Ent NVMe P5800X WI U.2 800GB</t>
  </si>
  <si>
    <t>Dell Ent NVMe P5800X WI U.2 1.6TB</t>
  </si>
  <si>
    <t>HFS7T6GECTX088N</t>
  </si>
  <si>
    <t>HFS3T8GECTX088N</t>
  </si>
  <si>
    <t>HFS1T9GECTX088N</t>
  </si>
  <si>
    <t>HFS960GECTX088N</t>
  </si>
  <si>
    <t>HFS7T6GETFEI-D430A</t>
  </si>
  <si>
    <t>HFS3T8GETFEI-D430A</t>
  </si>
  <si>
    <t>HFS1T9GETFEI-D430A</t>
  </si>
  <si>
    <t>HFS960GETFEI-D430A</t>
  </si>
  <si>
    <t>Dell Ent NVMe FIPS CM6 MU 1.6TB/KCM6FVUL1T60</t>
  </si>
  <si>
    <t>Dell Ent NVMe FIPS CM6 MU 3.2TB/KCM6FVUL3T20</t>
  </si>
  <si>
    <t>Dell Ent NVMe FIPS CM6 MU 6.4TB/KCM6FVUL6T40</t>
  </si>
  <si>
    <t>Dell Ent NVMe FIPS CM6 RI 1.92TB/KCM6FRUL1T92</t>
  </si>
  <si>
    <t>Dell Ent NVMe FIPS CM6 RI 3.84TB/KCM6FRUL3T84</t>
  </si>
  <si>
    <t>Dell Ent NVMe FIPS CM6 RI 7.68TB/KCM6FRUL7T68</t>
  </si>
  <si>
    <t>Dell HBA350i Adapter</t>
  </si>
  <si>
    <t>PERC H750 Adapter</t>
  </si>
  <si>
    <t>PERC H755MX</t>
  </si>
  <si>
    <t>PERC H755 Front</t>
  </si>
  <si>
    <t>Intel(R) Ethernet 25G 4P E810-XXV OCP</t>
  </si>
  <si>
    <t>NVIDIA ConnectX-6 LX Dual Port 25 GbE SFP OCP3.0 Network Adapter</t>
  </si>
  <si>
    <t>NVIDIA ConnectX-6 LX Dual Port 25 GbE SFP Network Adapter</t>
  </si>
  <si>
    <t>PERC H350 Adapter</t>
  </si>
  <si>
    <t>PERC H355 Adapter</t>
  </si>
  <si>
    <t>PERC H355 Front</t>
  </si>
  <si>
    <t>Dell Ent NVMe FIPS CM6 RI 15.36TB/KCM6FRUL15T3</t>
  </si>
  <si>
    <t>Dell HBA350i MM</t>
  </si>
  <si>
    <t>Dell HBA350i MM LP</t>
  </si>
  <si>
    <t>Dell DC NVMe PM9A3 RIU.2 960GB</t>
  </si>
  <si>
    <t>Dell DC NVMe PM9A3 RIU.2 1.92TB</t>
  </si>
  <si>
    <t>Dell DC NVMe PM9A3 RIU.2 3.84TB</t>
  </si>
  <si>
    <t>Dell DC NVMe PM9A3 RIU.2 7.68TB</t>
  </si>
  <si>
    <t>Dell Ent NVMe PM1733a RI 1.92TB</t>
  </si>
  <si>
    <t>Dell Ent NVMe PM1733aRI 3.84TB</t>
  </si>
  <si>
    <t>Dell Ent NVMe PM1733aRI 7.68TB</t>
  </si>
  <si>
    <t>Dell Ent NVMe PM1733aRI 15.36TB</t>
  </si>
  <si>
    <t>HFS480GDC8X096N</t>
  </si>
  <si>
    <t>HFS960GDC8X096N</t>
  </si>
  <si>
    <t>HFS1T9GDC8X096N</t>
  </si>
  <si>
    <t>HFS480GDC8X099N</t>
  </si>
  <si>
    <t>HFS960GDC8X099N</t>
  </si>
  <si>
    <t>HFS1T9GDC8X099N</t>
  </si>
  <si>
    <t>HFS800GDC8X088N</t>
  </si>
  <si>
    <t>HFS800GDC8X096N</t>
  </si>
  <si>
    <t>HFS1T9GDE0X088N</t>
  </si>
  <si>
    <t>HFS1T9GDE0X089N</t>
  </si>
  <si>
    <t>HFS3T8GDE0X088N</t>
  </si>
  <si>
    <t>HFS3T8GDE0X089N</t>
  </si>
  <si>
    <t>Dell Ent NVMe FIPS PM1733a RI 1.92TB</t>
  </si>
  <si>
    <t>Dell Ent NVMe FIPS PM1733a RI 3.84TB</t>
  </si>
  <si>
    <t>Dell Ent NVMe FIPS PM1733a RI 7.68TB</t>
  </si>
  <si>
    <t>Dell Ent NVMe FIPS PM1733a RI 15.36TB</t>
  </si>
  <si>
    <t>Dell Ent NVMe FIPS PM1735a MU 1.6TB</t>
  </si>
  <si>
    <t>Dell Ent NVMe FIPS PM1735a MU 3.2TB</t>
  </si>
  <si>
    <t>Dell Ent NVMe FIPS PM1735a MU 6.4TB</t>
  </si>
  <si>
    <t>Dell Ent NVMe FIPS PM1735a MU 12.8TB</t>
  </si>
  <si>
    <t>Dell Ent NVMe PM1735a MU 1.6TB</t>
  </si>
  <si>
    <t>Dell Ent NVMe PM1735a MU 3.2TB</t>
  </si>
  <si>
    <t>Dell Ent NVMe PM1735a MU 6.4TB</t>
  </si>
  <si>
    <t>Dell Ent NVMe PM1735a MU 12.8TB</t>
  </si>
  <si>
    <t>Dell DC NVMe CD7 U.2 960GB</t>
  </si>
  <si>
    <t>Dell DC NVMe CD7 U.2 1.92TB</t>
  </si>
  <si>
    <t>Dell DC NVMe CD7 U.2 3.84TB</t>
  </si>
  <si>
    <t>Dell DC NVMe CD7 U.2 7.68TB</t>
  </si>
  <si>
    <t>Dell DC NVMe CD7 U.2 15.36TB</t>
  </si>
  <si>
    <t>Emulex LPe36002-M64-D 2-Port 64Gb Fibre Channel Adapter</t>
  </si>
  <si>
    <t>Dell HBA345 Adapter</t>
  </si>
  <si>
    <t>Dell HBA345 Front</t>
  </si>
  <si>
    <t>NetXtreme-E P410SDBT BCM57454 4x10G BT PCIE Ethernet Partition</t>
  </si>
  <si>
    <t>NetXtreme-E N410SDBT BCM57454 4x10G BT OCP3.0 Ethernet Partition</t>
  </si>
  <si>
    <t>NetXtreme-E P410SDBT BCM57454 4x10G BT PCIE Ethernet</t>
  </si>
  <si>
    <t>NetXtreme-E N410SDBT BCM57454 4x10G BT OCP3.0 Ethernet</t>
  </si>
  <si>
    <t>NetXtreme-E NGM2100D BCM57508 2x100G KR Mezz Ethernet</t>
  </si>
  <si>
    <t>NetXtreme-E P425D BCM57504 4x25G SFP28 PCIE Ethernet Partition</t>
  </si>
  <si>
    <t>NetXtreme-E P2100D BCM57508 2x100G QSFP PCIE Ethernet Partition</t>
  </si>
  <si>
    <t>NetXtreme-E NGM2100D BCM57508 2x100G KR Mezz Ethernet Partition</t>
  </si>
  <si>
    <t>NetXtreme-E P425D BCM57504 4x25G SFP28 PCIE RDMA Partition</t>
  </si>
  <si>
    <t>NetXtreme-E P2100D BCM57508 2x100G QSFP PCIE RDMA Partition</t>
  </si>
  <si>
    <t>NetXtreme-E NGM2100D BCM57508 2x100G KR Mezz RDMA Partition</t>
  </si>
  <si>
    <t>Dell DC NVMe CD7 U.2 SED 960GB</t>
  </si>
  <si>
    <t>Dell DC NVMe CD7 U.2 SED 1.92TB</t>
  </si>
  <si>
    <t>Dell DC NVMe CD7 U.2 SED 3.84TB</t>
  </si>
  <si>
    <t>Dell DC NVMe CD7 U.2 SED 7.68TB</t>
  </si>
  <si>
    <t>Dell DC NVMe CD7 U.2 SED 15.36TB</t>
  </si>
  <si>
    <t>Dell Ent NVMe P5520 RI 1.92TB</t>
  </si>
  <si>
    <t>Dell Ent NVMe P5520 RI 3.84TB</t>
  </si>
  <si>
    <t>Dell Ent NVMe P5520 RI 7.68TB</t>
  </si>
  <si>
    <t>Dell Ent NVMe P5520 RI 15.36TB</t>
  </si>
  <si>
    <t>Dell Ent NVMe P5620 MU 1.6TB</t>
  </si>
  <si>
    <t>Dell Ent NVMe P5620 MU 3.2TB1</t>
  </si>
  <si>
    <t>Dell Ent NVMe P5620 MU 6.4TB</t>
  </si>
  <si>
    <t>PERC H965i Front</t>
  </si>
  <si>
    <t>PERC H965i Adapter</t>
  </si>
  <si>
    <t>PERC H965i MX</t>
  </si>
  <si>
    <t>Dell Ent NVMe P5620 MU 12.8TB</t>
  </si>
  <si>
    <t>Dell Ent NVMe FIPS P5520 RI 1.92TB</t>
  </si>
  <si>
    <t>Dell Ent NVMe FIPS P5520 RI 3.84TB</t>
  </si>
  <si>
    <t>Dell Ent NVMe FIPS P5520 RI 7.68TB</t>
  </si>
  <si>
    <t>Dell Ent NVMe FIPS P5520 RI 15.36TB</t>
  </si>
  <si>
    <t>Dell Ent NVMe FIPS P5620 MU 1.6TB</t>
  </si>
  <si>
    <t>Dell Ent NVMe FIPS P5620 MU 3.2TB</t>
  </si>
  <si>
    <t>Dell Ent NVMe FIPS P5620 MU 6.4TB</t>
  </si>
  <si>
    <t>Dell Ent NVMe FIPS P5620 MU 12.8TB</t>
  </si>
  <si>
    <t>Pensando DSC2-25 Dual Port 25GbE SFP56 PCIe FH DPU</t>
  </si>
  <si>
    <t>DPU</t>
  </si>
  <si>
    <t>Pensando DSC2-100 Dual Port 100GbE QSFP56 PCIe FH DPU</t>
  </si>
  <si>
    <t>NVIDIA Bluefield-2 Dual Port 25GbE SFP28 PCIe FH DPU</t>
  </si>
  <si>
    <t>Intel(R) Ethernet Connection 25G 4P E823-C LOM</t>
  </si>
  <si>
    <t>BCM5719</t>
  </si>
  <si>
    <t>Dell NVMe CD7 E3.S 1.92TB</t>
  </si>
  <si>
    <t>Dell NVMe CD7 E3.S 3.84TB</t>
  </si>
  <si>
    <t>Dell NVMe CD7 E3.S 7.68TB</t>
  </si>
  <si>
    <t>HFS3T8GEETX0990N</t>
  </si>
  <si>
    <t>HFS7T6GEETX0990N</t>
  </si>
  <si>
    <t>HFS960GEETX070N</t>
  </si>
  <si>
    <t>HFS1T9GEETX070N</t>
  </si>
  <si>
    <t>HFS3T8GEETX070N</t>
  </si>
  <si>
    <t>HFS7T6GEETX070N</t>
  </si>
  <si>
    <t>HFS960GEETX0990N</t>
  </si>
  <si>
    <t>HFS1T9GEETX0990N</t>
  </si>
  <si>
    <t>Nvidia Bluefield-2 Dual Port 100GbE QSFP PCIe FH DPU</t>
  </si>
  <si>
    <t>PERC H965e Adapter</t>
  </si>
  <si>
    <t>Dell NVMe PM1743 RI E3.S 1.92TB</t>
  </si>
  <si>
    <t>Dell NVMe PM1743 RI E3.S 3.84TB</t>
  </si>
  <si>
    <t>Dell NVMe PM1743 RI E3.S 7.68TB</t>
  </si>
  <si>
    <t>Dell NVMe PM1743 RI E3.S 15.36TB</t>
  </si>
  <si>
    <t>Dell NVMe PM1745 MU E3.S 1.6TB</t>
  </si>
  <si>
    <t>Dell NVMe PM1745 MU E3.S 3.2TB</t>
  </si>
  <si>
    <t>Dell NVMe PM1745 MU E3.S 6.4TB</t>
  </si>
  <si>
    <t>Dell NVMe PM1745 MU E3.S 12.8TB</t>
  </si>
  <si>
    <t>BOSS-N1 Monolithic</t>
  </si>
  <si>
    <t>BOSS-N1 Modular ET</t>
  </si>
  <si>
    <t>BOSS-N1 Modular</t>
  </si>
  <si>
    <t>HFS1T9GEJVX171N</t>
  </si>
  <si>
    <t>HFS3T8GEJVX171N</t>
  </si>
  <si>
    <t>HFS7T6GEJVX171N</t>
  </si>
  <si>
    <t>HFS15T3EJVX171N</t>
  </si>
  <si>
    <t>HFS1T6GEJVX171N</t>
  </si>
  <si>
    <t>HFS3T2GEJVX171N</t>
  </si>
  <si>
    <t>HFS6T4GEJVX171N</t>
  </si>
  <si>
    <t>HFS12T8EJVX171N</t>
  </si>
  <si>
    <t>HFS480GDJ8X167N</t>
  </si>
  <si>
    <t>HFS800GDJ8X167N</t>
  </si>
  <si>
    <t>HFS960GDJ8X167N</t>
  </si>
  <si>
    <t>HFS1T9GDJ8X167N</t>
  </si>
  <si>
    <t>Dell Ent NVMe CM7 U.2 RI 30.72TB/8WK55</t>
  </si>
  <si>
    <t>Dell Ent NVMe CM7 U.2 RI 15.36TB/DX2PD</t>
  </si>
  <si>
    <t>Dell Ent NVMe CM7 U.2 RI 7.68TB/VV2M7</t>
  </si>
  <si>
    <t>Dell Ent NVMe CM7 U.2 RI 3.84TB/XHYGF</t>
  </si>
  <si>
    <t>Dell Ent NVMe CM7 U.2 RI 1.92TB/M8YW0</t>
  </si>
  <si>
    <t>Dell Ent NVMe CM7 U.2 MU 12.8TB/092P6</t>
  </si>
  <si>
    <t>Dell Ent NVMe CM7 U.2 MU 6.4TB/8RJJ9</t>
  </si>
  <si>
    <t>Dell Ent NVMe CM7 U.2 MU 3.2TB/XFNX0</t>
  </si>
  <si>
    <t>Dell Ent NVMe CM7 U.2 MU 1.6TB/MP4F2</t>
  </si>
  <si>
    <t>Dell DC NVMe CD8 U.2 960GB</t>
  </si>
  <si>
    <t>Dell DC NVMe CD8 U.2 1.92TB</t>
  </si>
  <si>
    <t>Dell DC NVMe CD8 U.2 3.84TB</t>
  </si>
  <si>
    <t>Dell DC NVMe CD8 U.2 7.68TB</t>
  </si>
  <si>
    <t>Dell DC NVMe CD8 U.2 15.36TB</t>
  </si>
  <si>
    <t>Dell DC NVMe CD8 U.2 MU 800GB</t>
  </si>
  <si>
    <t>Dell DC NVMe CD8 U.2 MU 1.6TB</t>
  </si>
  <si>
    <t>Dell DC NVMe CD8 U.2 MU 3.2TB</t>
  </si>
  <si>
    <t>Dell DC NVMe CD8 U.2 MU 6.4TB</t>
  </si>
  <si>
    <t>Dell DC NVMe CD8 U.2 MU 12.8TB</t>
  </si>
  <si>
    <t>Dell Ent NVMe CM7 FIPS U.2 RI 30.72TB</t>
  </si>
  <si>
    <t>Dell Ent NVMe CM7 FIPS U.2 RI 15.36TB</t>
  </si>
  <si>
    <t>Dell Ent NVMe CM7 FIPS U.2 RI 7.68TB</t>
  </si>
  <si>
    <t>Dell Ent NVMe CM7 FIPS U.2 RI 3.84TB</t>
  </si>
  <si>
    <t>Dell Ent NVMe CM7 FIPS U.2 RI 1.92TB</t>
  </si>
  <si>
    <t>Dell DC NVMe CD8 U.2 SED 960GB</t>
  </si>
  <si>
    <t>Dell DC NVMe CD8 U.2 SED 1.92TB</t>
  </si>
  <si>
    <t>Dell DC NVMe CD8 U.2 SED 3.84TB</t>
  </si>
  <si>
    <t>Dell DC NVMe CD8 U.2 SED 7.68TB</t>
  </si>
  <si>
    <t>Dell DC NVMe CD8 U.2 SED 15.36TB</t>
  </si>
  <si>
    <t>Dell Ent NVMe CM7 FIPS U.2 MU 12.8TB</t>
  </si>
  <si>
    <t>Dell Ent NVMe CM7 FIPS U.2 MU 6.4TB</t>
  </si>
  <si>
    <t>Dell Ent NVMe CM7 FIPS U.2 MU 3.2TB</t>
  </si>
  <si>
    <t>Dell Ent NVMe CM7 FIPS U.2 MU 1.6TB</t>
  </si>
  <si>
    <t>Dell DC NVMe CD8 U.2 SED MU 800GB</t>
  </si>
  <si>
    <t>Dell DC NVMe CD8 U.2 SED MU 1.6TB</t>
  </si>
  <si>
    <t>Dell DC NVMe CD8 U.2 SED MU 3.2TB</t>
  </si>
  <si>
    <t>Dell DC NVMe CD8 U.2 SED MU 6.4TB</t>
  </si>
  <si>
    <t>Dell DC NVMe CD8 U.2 SED MU 12.8TB</t>
  </si>
  <si>
    <t>ROR-N1</t>
  </si>
  <si>
    <t>Dell Ent NVMe CM7 FIPS E3.S RI 3.84TB</t>
  </si>
  <si>
    <t>Dell Ent NVMe CM7 FIPS E3.S RI 7.68TB</t>
  </si>
  <si>
    <t>Dell Ent NVMe CM7 FIPS E3.S RI 15.36TB</t>
  </si>
  <si>
    <t>Dell Ent NVMe CM7 FIPS E3.S MU 1.6TB</t>
  </si>
  <si>
    <t>Dell Ent NVMe CM7 FIPS E3.S MU 3.2TB</t>
  </si>
  <si>
    <t>Dell Ent NVMe CM7 FIPS E3.S MU 6.4TB</t>
  </si>
  <si>
    <t>Dell Ent NVMe CM7 FIPS E3.S MU 12.8TB</t>
  </si>
  <si>
    <t>Dell Ent NVMe CM7 E3.S RI 1.92TB</t>
  </si>
  <si>
    <t>Dell Ent NVMe CM7 E3.S RI 3.84TB</t>
  </si>
  <si>
    <t>Dell Ent NVMe CM7 E3.S RI 7.68TB</t>
  </si>
  <si>
    <t>Dell Ent NVMe CM7 E3.S RI 15.36TB</t>
  </si>
  <si>
    <t>Dell Ent NVMe CM7 E3.S MU 1.6TB</t>
  </si>
  <si>
    <t>Dell Ent NVMe CM7 E3.S MU 3.2TB</t>
  </si>
  <si>
    <t>Dell Ent NVMe CM7 E3.S MU 6.4TB</t>
  </si>
  <si>
    <t>Dell Ent NVMe CM7 E3.S MU 12.8TB</t>
  </si>
  <si>
    <t>Dell DC NVMe SED 7450 RI U.2 960GB</t>
  </si>
  <si>
    <t>Dell DC NVMe SED 7450 RI U.2 1.92TB</t>
  </si>
  <si>
    <t>Dell DC NVMe SED 7450 RI U.2 3.84TB</t>
  </si>
  <si>
    <t>Dell DC NVMe SED 7450 RI U.2 7.68TB</t>
  </si>
  <si>
    <t>Dell DC NVMe SED 7450 RI U.2 15.36TB</t>
  </si>
  <si>
    <t>Dell DC NVMe SED 7450 MU U.2 800GB</t>
  </si>
  <si>
    <t>Dell DC NVMe CD8P E3.S MU 12.8TB</t>
  </si>
  <si>
    <t>Dell DC NVMe CD8P E3.S MU 6.4TB</t>
  </si>
  <si>
    <t>Dell DC NVMe CD8P E3.S MU 3.2TB</t>
  </si>
  <si>
    <t>Dell DC NVMe CD8P E3.S MU 1.6TB</t>
  </si>
  <si>
    <t>Dell DC NVMe CD8P E3.S 15.36TB</t>
  </si>
  <si>
    <t>Dell DC NVMe CD8P E3.S 7.68TB</t>
  </si>
  <si>
    <t>Dell DC NVMe CD8P E3.S 3.84TB</t>
  </si>
  <si>
    <t>Dell DC NVMe CD8P E3.S 1.92TB</t>
  </si>
  <si>
    <t>NVIDIA ConnectX-7 Single Port VPI NDR OSFP Adapter</t>
  </si>
  <si>
    <t>NVIDIA ConnectX-7 Single Port VPI NDR200 OSFP Adapter</t>
  </si>
  <si>
    <t>Nvidia Connect X-6 DX Dual Port 100Gbe QSFP56 OCP 3.0 Network Adapter</t>
  </si>
  <si>
    <t>Intel(R) Ethernet 100G 2P E810-2C Adapter</t>
  </si>
  <si>
    <t>HFS480GEJ8X167N</t>
  </si>
  <si>
    <t>HFS800GEJ8X167N</t>
  </si>
  <si>
    <t>HFS960GEJ8X167N</t>
  </si>
  <si>
    <t>HFS1T9GEJ8X167N</t>
  </si>
  <si>
    <t>HFS480GEJ8X132N</t>
  </si>
  <si>
    <t>HFS800GEJ8X132N</t>
  </si>
  <si>
    <t>HFS960GEJ8X132N</t>
  </si>
  <si>
    <t>HFS1T9GEJ8X132N</t>
  </si>
  <si>
    <t>HFS480GEJ8X176N</t>
  </si>
  <si>
    <t>HFS800GEJ8X176N</t>
  </si>
  <si>
    <t>HFS960GEJ8X176N</t>
  </si>
  <si>
    <t>HFS1T9GEJ8X176N</t>
  </si>
  <si>
    <t>HFS7T6GFJCX171N</t>
  </si>
  <si>
    <t>HFS15T3FJCX171N</t>
  </si>
  <si>
    <t>HFS1T9GFJCX180N</t>
  </si>
  <si>
    <t>HFS3T8GFJCX180N</t>
  </si>
  <si>
    <t>HFS7T6GFJCX180N</t>
  </si>
  <si>
    <t>HFS15T3FJCX180N</t>
  </si>
  <si>
    <t>HFS1T9GFJCX171N</t>
  </si>
  <si>
    <t>HFS3T8GFJCX171N</t>
  </si>
  <si>
    <t>Dell DC NVMe PM9A3 RI 110M.2 960GB</t>
  </si>
  <si>
    <t>Dell DC NVMe PM9A3 RI 110M.2 1.92TB</t>
  </si>
  <si>
    <t>HBA465i Front</t>
  </si>
  <si>
    <t>HBA465i Adapter</t>
  </si>
  <si>
    <t>Dell DC NVMe 7500 U.2 ISE MU 800GB</t>
  </si>
  <si>
    <t>Dell DC NVMe 7500 U.2 ISE MU 1.6TB</t>
  </si>
  <si>
    <t>Dell DC NVMe 7500 U.2 ISE MU 3.2TB</t>
  </si>
  <si>
    <t>Dell DC NVMe 7500 U.2 ISE MU 6.4TB</t>
  </si>
  <si>
    <t>Dell DC NVMe 7500 U.2 ISE MU 12.8TB</t>
  </si>
  <si>
    <t>Dell DC NVMe 7500 U.2 SED RI 960GB</t>
  </si>
  <si>
    <t>Dell DC NVMe 7500 U.2 SED RI 1.92TB</t>
  </si>
  <si>
    <t>Dell DC NVMe 7500 U.2 SED RI 3.84TB</t>
  </si>
  <si>
    <t>Dell DC NVMe 7500 U.2 SED RI 7.68TB</t>
  </si>
  <si>
    <t>Dell DC NVMe 7500 U.2 SED RI 15.36TB</t>
  </si>
  <si>
    <t>Dell DC NVMe 7500 U.2 ISE RI 960GB</t>
  </si>
  <si>
    <t>Dell DC NVMe 7500 U.2 ISE RI 1.92TB</t>
  </si>
  <si>
    <t>Dell DC NVMe 7500 U.2 ISE RI 3.84TB</t>
  </si>
  <si>
    <t>Dell DC NVMe 7500 U.2 ISE RI 7.68TB</t>
  </si>
  <si>
    <t>Dell DC NVMe 7500 U.2 ISE RI 15.36TB</t>
  </si>
  <si>
    <t>HFS1T6GFJCX180N</t>
  </si>
  <si>
    <t>HFS3T2GFJCX180N</t>
  </si>
  <si>
    <t>HFS6T4GFJCX180N</t>
  </si>
  <si>
    <t>HFS12T8FJCX180N</t>
  </si>
  <si>
    <t>HFS1T6GFJCX171N</t>
  </si>
  <si>
    <t>HFS3T2GFJCX171N</t>
  </si>
  <si>
    <t>HFS6T4GFJCX171N</t>
  </si>
  <si>
    <t>HFS12T8FJCX171N</t>
  </si>
  <si>
    <t>H965i Front</t>
  </si>
  <si>
    <t>HBA465e Adapter</t>
  </si>
  <si>
    <t>Intel(R) Ethernet 25G 2P E810-XXV-k Mezz</t>
  </si>
  <si>
    <t>Dell NVMe FIPS PM1745 MU U.2 1.6TB</t>
  </si>
  <si>
    <t>Dell NVMe FIPS PM1745 MU U.2 3.2TB</t>
  </si>
  <si>
    <t>Dell NVMe FIPS PM1745 MU U.2 6.4TB</t>
  </si>
  <si>
    <t>Dell NVMe FIPS PM1745 MU U.2 12.8TB</t>
  </si>
  <si>
    <t>Dell NVMe PM1743 RI U.2 1.92TB</t>
  </si>
  <si>
    <t>Dell NVMe PM1743 RI U.2 3.84TB</t>
  </si>
  <si>
    <t>Dell NVMe PM1743 RI U.2 7.68TB</t>
  </si>
  <si>
    <t>Dell NVMe PM1743 RI U.2 15.36TB`</t>
  </si>
  <si>
    <t>Dell NVMe PM1745 MU U.2 3.2TB</t>
  </si>
  <si>
    <t>Dell NVMe PM1745 MU U.2 1.6TB</t>
  </si>
  <si>
    <t>Dell NVMe PM1745 MU U.2 6.4TB</t>
  </si>
  <si>
    <t>Dell NVMe PM1745 MU U.2 12.8TB</t>
  </si>
  <si>
    <t>Dell NVMe FIPS PM1743 RI U.2 1.92TB</t>
  </si>
  <si>
    <t>Dell NVMe FIPS PM1743 RI U.2 3.84TB</t>
  </si>
  <si>
    <t>Dell NVMe FIPS PM1743 RI U.2 7.68TB</t>
  </si>
  <si>
    <t>Dell NVMe FIPS PM1743 RI U.2 15.36TB</t>
  </si>
  <si>
    <t>Dell Ent NVMe P5620 MU 3.2TB</t>
  </si>
  <si>
    <t>MTFDLAL3T8THA-1BK1JABDA</t>
  </si>
  <si>
    <t>MTFDLAL7T6THA-1BK1JABDA</t>
  </si>
  <si>
    <t>MTFDLAL15T3THA-1BK1JABDA</t>
  </si>
  <si>
    <t>MTFDLAL3T2THB-1BK1JABDA</t>
  </si>
  <si>
    <t>MTFDLAL6T4THB-1BK1JABDA</t>
  </si>
  <si>
    <t>MTFDLAL12T8THB-1BK1JABDA</t>
  </si>
  <si>
    <t>MTFDLBQ3T8THA-1BK1JABDA</t>
  </si>
  <si>
    <t>MTFDLBQ7T6THA-1BK1JABDA</t>
  </si>
  <si>
    <t>MTFDLBQ15T3THA-1BK1JABDA</t>
  </si>
  <si>
    <t>MTFDLBQ3T2THB-1BK1JABDA</t>
  </si>
  <si>
    <t>MTFDLBQ6T4THB-1BK1JABDA</t>
  </si>
  <si>
    <t>MTFDLBQ12T8THB-1BK1JABDA</t>
  </si>
  <si>
    <t>MTFDLAL3T8THA-1BK1DFCDA</t>
  </si>
  <si>
    <t>MTFDLAL7T6THA-1BK1DFCDA</t>
  </si>
  <si>
    <t>MTFDLAL15T3THA-1BK1DFCDA</t>
  </si>
  <si>
    <t>MTFDLAL3T2THB-1BK1DFCDA</t>
  </si>
  <si>
    <t>MTFDLAL6T4THB-1BK1DFCDA</t>
  </si>
  <si>
    <t>MTFDLAL12T8THB-1BK1DFCDA</t>
  </si>
  <si>
    <t>BCM57608</t>
  </si>
  <si>
    <t>Perc H975i Front</t>
  </si>
  <si>
    <t>Perc H975i Adapter</t>
  </si>
  <si>
    <t>H365i Front</t>
  </si>
  <si>
    <t>H365i Adapter</t>
  </si>
  <si>
    <t>QLogic 2x32Gb QLE2772C FC HBA</t>
  </si>
  <si>
    <t>QLogic 2x32Gb QLE2772CL FC HBA</t>
  </si>
  <si>
    <t>QLogic 2x64Gb QLE2872C FC HBA</t>
  </si>
  <si>
    <t>QLogic 2x64Gb QLE2872CL FC HBA</t>
  </si>
  <si>
    <t>Emulex LPe37102-D 2-Port 32Gb Fibre Channel Adapter</t>
  </si>
  <si>
    <t>Emulex LPe38102-D 2-Port 64Gb Fibre Channel Adapter</t>
  </si>
  <si>
    <t>Dell Ent NVMe P5336 RI ISE 122.88TB</t>
  </si>
  <si>
    <t>Dell Ent NVMe P5336 RI FIPS 122.88TB</t>
  </si>
  <si>
    <t>MTFDLBQ3T8THA-1BK1DFCDA</t>
  </si>
  <si>
    <t>MTFDLBQ7T6THA-1BK1DFCDA</t>
  </si>
  <si>
    <t>MTFDLBQ15T3THA-1BK1DFCDA</t>
  </si>
  <si>
    <t>MTFDLBQ3T2THB-1BK1DFCDA</t>
  </si>
  <si>
    <t>MTFDLBQ6T4THB-1BK1DFCDA</t>
  </si>
  <si>
    <t>MTFDLBQ12T8THB-1BK1DFCDA</t>
  </si>
  <si>
    <t>BOSS-N1 DC-MHS Modular</t>
  </si>
  <si>
    <t>BOSS-N1 DC-MHS</t>
  </si>
  <si>
    <t>Dell DC NVMe PM9D5a MU U.2 800GB</t>
  </si>
  <si>
    <t>Dell DC NVMe PM9D5a MU U.2 1.6TB</t>
  </si>
  <si>
    <t>Dell DC NVMe PM9D5a MU U.2 3.2TB</t>
  </si>
  <si>
    <t>Dell DC NVMe PM9D5a MU U.2 6.4TB</t>
  </si>
  <si>
    <t>Dell DC NVMe PM9D3a RI U.2 960GB</t>
  </si>
  <si>
    <t>Dell DC NVMe PM9D3a RI U.2 1.92TB</t>
  </si>
  <si>
    <t>Dell DC NVMe PM9D3a RI U.2 3.84TB</t>
  </si>
  <si>
    <t>Dell DC NVMe PM9D3a RI U.2 7.68GTB</t>
  </si>
  <si>
    <t>Dell DC NVMe PM9D3a RI U.2 15.36TB„ÄÄ</t>
  </si>
  <si>
    <t>Dell DC NVMe FIPS PM9D3a RI U.2 960GB</t>
  </si>
  <si>
    <t>Dell DC NVMe FIPS PM9D3a RI U.2 1.92TB</t>
  </si>
  <si>
    <t>Dell DC NVMe FIPS PM9D3a RI U.2 3.84TB</t>
  </si>
  <si>
    <t>Dell DC NVMe FIPS PM9D3a RI U.2 7.68TB</t>
  </si>
  <si>
    <t>Dell DC NVMe FIPS PM9D3a RI U.2 15.36TB</t>
  </si>
  <si>
    <t>Dell DC NVMe PM9D3a RI E3.S 1.92TB</t>
  </si>
  <si>
    <t>Dell DC NVMe PM9D3a RI E3.S 3.84TB„ÄÄ„ÄÄ</t>
  </si>
  <si>
    <t>Dell DC NVMe PM9D3a RI E3.S 7.68 TB</t>
  </si>
  <si>
    <t>Dell DC NVMe PM9D3a RI E3.S 15.36TB</t>
  </si>
  <si>
    <t>Dell DC NVMe PM9D5a MU E3.S 1.6TB</t>
  </si>
  <si>
    <t>Dell DC NVMe PM9D5a MU E3.S 3.2TB</t>
  </si>
  <si>
    <t>Dell DC NVMe PM9D5a MU E3.S 6.4TB</t>
  </si>
  <si>
    <t>Dell DC NVMe PM9D3a RI M.2 480GB</t>
  </si>
  <si>
    <t>Dell DC NVMe PM9D3a RI M.2 960GB</t>
  </si>
  <si>
    <t>Dell DC NVMe PM9D3a RI M.2 1.92TB</t>
  </si>
  <si>
    <t>Dell Ent NVMe P5336 RI ISE 61.44TB</t>
  </si>
  <si>
    <t>Dell Ent NVMe P5336 RI FIPS 61.44TB</t>
  </si>
  <si>
    <t>Dell Ent NVMe P5336 RI ISE 7.68TB</t>
  </si>
  <si>
    <t>Dell Ent NVMe P5336 RI FIPS 7.68TB</t>
  </si>
  <si>
    <t>Dell Ent NVMe P5336 RI ISE 15.36TB</t>
  </si>
  <si>
    <t>Dell Ent NVMe P5336 RI FIPS 15.36TB</t>
  </si>
  <si>
    <t>Dell Ent NVMe P5336 RI ISE 30.72TB</t>
  </si>
  <si>
    <t>Dell Ent NVMe P5336 RI FIPS 30.72TB</t>
  </si>
  <si>
    <t>MTFDLBQ7T6THG-1BP1DFCDA</t>
  </si>
  <si>
    <t>MTFDLBQ7T6THG-1BP1JABDA</t>
  </si>
  <si>
    <t>Dell NVMe PM1753 RI U.2 1.92TB</t>
  </si>
  <si>
    <t>Dell NVMe PM1753 RI E3.S 1.92TB</t>
  </si>
  <si>
    <t>Dell NVMe PM1753 RI E3.S 7.68TB</t>
  </si>
  <si>
    <t>Dell NVMe PM1753 RI E3.S 15.36TB</t>
  </si>
  <si>
    <t>Dell NVMe PM1753 RI E3.S 30.72TB</t>
  </si>
  <si>
    <t>Dell NVMe PM1755 MU E3.S 1.6TB</t>
  </si>
  <si>
    <t>Dell NVMe PM1755 MU E3.S 3.2TB</t>
  </si>
  <si>
    <t>Dell NVMe PM1755 MU E3.S 6.4TB</t>
  </si>
  <si>
    <t>Dell NVMe PM1753 RI U.2 3.84TB</t>
  </si>
  <si>
    <t>Dell NVMe PM1753 RI U.2 7.68TB</t>
  </si>
  <si>
    <t>Dell NVMe PM1753 RI U.2 15.36TB</t>
  </si>
  <si>
    <t>Dell NVMe PM1753 RI U.2 30.72TB</t>
  </si>
  <si>
    <t>Dell NVMe PM1755 MU U.2 1.6TB</t>
  </si>
  <si>
    <t>Dell NVMe PM1755 MU U.2 3.2TB</t>
  </si>
  <si>
    <t>Dell NVMe PM1755 MU U.2 6.4TB</t>
  </si>
  <si>
    <t>Dell NVMe PM1753 RI E3.S 3.84TB</t>
  </si>
  <si>
    <t>MTFDLBQ30T7THA-1BK1JABDA</t>
  </si>
  <si>
    <t>MTFDLBQ1T9THG-1BP1JABDA</t>
  </si>
  <si>
    <t>MTFDLBQ3T8THG-1BP1JABDA</t>
  </si>
  <si>
    <t>MTFDLBQ15T3THG-1BP1JABDA</t>
  </si>
  <si>
    <t>MTFDLBQ6T4THS-1BP1JABDA</t>
  </si>
  <si>
    <t>MTFDLBQ3T2THS-1BP1JABDA</t>
  </si>
  <si>
    <t>MTFDLAL3T8THG-1BP1JABDA</t>
  </si>
  <si>
    <t>MTFDLAL7T6THG-1BP1JABDA</t>
  </si>
  <si>
    <t>MTFDLAL15T3THG-1BP1JABDA</t>
  </si>
  <si>
    <t>MTFDLAL1T9THG-1BP1JABDA</t>
  </si>
  <si>
    <t>MTFDLAL3T2THS-1BP1JABDA</t>
  </si>
  <si>
    <t>MTFDLAL6T4THS-1BP1JABDA</t>
  </si>
  <si>
    <t>MTFDLAL12T8THS-1BP1JABDA</t>
  </si>
  <si>
    <t>MTFDLAL1T6THS-1BP1JABDA</t>
  </si>
  <si>
    <t>MTFDLBQ1T6THS-1BP1JABDA</t>
  </si>
  <si>
    <t>MTFDLBQ12T8THS-1BP1JABDA</t>
  </si>
  <si>
    <t>MTFDLAL1T9THG-1BP1DFCDA</t>
  </si>
  <si>
    <t>MTFDLAL3T8THG-1BP1DFCDA</t>
  </si>
  <si>
    <t>MTFDLAL15T3THG-1BP1DFCDA</t>
  </si>
  <si>
    <t>MTFDLAL12T8THS-1BP1DFCDA</t>
  </si>
  <si>
    <t>MTFDLAL6T4THS-1BP1DFCDA</t>
  </si>
  <si>
    <t>MTFDLAL3T2THS-1BP1DFCDA</t>
  </si>
  <si>
    <t>MTFDLAL1T6THS-1BP1DFCDA</t>
  </si>
  <si>
    <t>MTFDLAL7T6THG-1BP1DFCDA</t>
  </si>
  <si>
    <t>MTFDLBQ1T9THG-1BP1DFCDA</t>
  </si>
  <si>
    <t>MTFDLBQ3T8THG-1BP1DFCDA</t>
  </si>
  <si>
    <t>MTFDLBQ15T3THG-ABP1DFCDA</t>
  </si>
  <si>
    <t>MTFDLBQ12T8THS-1BP1DFCDA</t>
  </si>
  <si>
    <t>MTFDLBQ6T4THS-1BP1DFCDA</t>
  </si>
  <si>
    <t>MTFDLBQ3T2THS-1BP1DFCDA</t>
  </si>
  <si>
    <t>MTFDLBQ1T6THS-1BP1DFCDA</t>
  </si>
  <si>
    <t>DELL NVMe SSD CM9 FIPS U.2 KCM9FRUL1T92 1.92TB</t>
  </si>
  <si>
    <t>DELL NVMe SSD CM9 FIPS U.2 KCM9FRUL3T84 3.84TB</t>
  </si>
  <si>
    <t>DELL NVMe SSD CM9 FIPS U.2 KCM9FRUL7T68 7.68TB</t>
  </si>
  <si>
    <t>DELL NVMe SSD CM9 FIPS U.2 KCM9FRUL15T3 15.36TB</t>
  </si>
  <si>
    <t>DELL NVMe SSD CM9 FIPS U.2 KCM9FRUL30T7 30.72TB</t>
  </si>
  <si>
    <t>DELL NVMe SSD CM9 FIPS U.2 KCM9FRUL61T4 61.44TB</t>
  </si>
  <si>
    <t>DELL NVMe SSD CM9 SIE U.2 KCM9XVUL1T60 1.6TB</t>
  </si>
  <si>
    <t>DELL NVMe SSD CM9 SIE U.2 KCM9XVUL3T20 3.2TB</t>
  </si>
  <si>
    <t>DELL NVMe SSD CM9 SIE U.2 KCM9XVUL6T40 6.4TB</t>
  </si>
  <si>
    <t>DELL NVMe SSD CM9 SIE U.2 KCM9XVUL12T8 12.8TB</t>
  </si>
  <si>
    <t>DELL NVMe SSD CD9P SIE E3.S KCD9XPJE1T60 1.6TB</t>
  </si>
  <si>
    <t>DELL NVMe SSD CD9P SIE E3.S KCD9XPJE3T20 3.2TB</t>
  </si>
  <si>
    <t>DELL NVMe SSD CD9P SIE E3.S KCD9XPJE6T40 6.4TB</t>
  </si>
  <si>
    <t>DELL NVMe SSD CD9P SIE E3.S KCD9XPJE12T8 12.8TB</t>
  </si>
  <si>
    <t>DELL NVMe SSD CD9P SIE U.2 KCD9XPUG1T60 1.6TB</t>
  </si>
  <si>
    <t>DELL NVMe SSD CD9P SIE U.2 KCD9XPUG3T20 3.2TB</t>
  </si>
  <si>
    <t>DELL NVMe SSD CD9P SIE U.2 KCD9XPUG6T40 6.4TB</t>
  </si>
  <si>
    <t>DELL NVMe SSD CD9P SIE U.2 KCD9XPUG12T8 12.8TB</t>
  </si>
  <si>
    <t>DELL NVMe SSD CM9 FIPS E3.S KCM9FVJE1T60 1.6TB</t>
  </si>
  <si>
    <t>DELL NVMe SSD CM9 FIPS E3.S KCM9FVJE3T20 3.2TB</t>
  </si>
  <si>
    <t>DELL NVMe SSD CD9P SED E3.S KCD9DPJE1T92 1.92TB</t>
  </si>
  <si>
    <t>DELL NVMe SSD CM9 FIPS E3.S KCM9FVJE6T40 6.4TB</t>
  </si>
  <si>
    <t>DELL NVMe SSD CD9P SED E3.S KCD9DPJE3T84 3.84TB</t>
  </si>
  <si>
    <t>DELL NVMe SSD CM9 FIPS E3.S KCM9FVJE12T8 12.8TB</t>
  </si>
  <si>
    <t>DELL NVMe SSD CD9P SED E3.S KCD9DPJE7T68 7.68TB</t>
  </si>
  <si>
    <t>DELL NVMe SSD CD9P SED E3.S KCD9DPJE15T3 15.36TB</t>
  </si>
  <si>
    <t>DELL NVMe SSD CD9P SED E3.S KCD9DPJE30T7 30.72TB</t>
  </si>
  <si>
    <t>DELL NVMe SSD CM9 SIE E3.S KCM9XVJE1T60 1.6TB</t>
  </si>
  <si>
    <t>DELL NVMe SSD CM9 SIE E3.S KCM9XVJE3T20 3.2TB</t>
  </si>
  <si>
    <t>DELL NVMe SSD CM9 SIE E3.S KCM9XVJE6T40 6.4TB</t>
  </si>
  <si>
    <t>DELL NVMe SSD CM9 FIPS U.2 KCM9FVUL1T60 1.6TB</t>
  </si>
  <si>
    <t>DELL NVMe SSD CM9 SIE E3.S KCM9XVJE12T8 12.8TB</t>
  </si>
  <si>
    <t>DELL NVMe SSD CM9 FIPS U.2 KCM9FVUL3T20 3.2TB</t>
  </si>
  <si>
    <t>DELL NVMe SSD CM9 FIPS U.2 KCM9FVUL6T40 6.4TB</t>
  </si>
  <si>
    <t>DELL NVMe SSD CM9 FIPS U.2 KCM9FVUL12T8 12.8TB</t>
  </si>
  <si>
    <t>DELL NVMe SSD CD9P SIE U.2 KCD9XPUG1T92 1.92TB</t>
  </si>
  <si>
    <t>DELL NVMe SSD CD9P SIE U.2 KCD9XPUG3T84 3.84TB</t>
  </si>
  <si>
    <t>DELL NVMe SSD CD9P SED E3.S KCD9DPJE1T60 1.6TB</t>
  </si>
  <si>
    <t>DELL NVMe SSD CD9P SED E3.S KCD9DPJE3T20 3.2TB</t>
  </si>
  <si>
    <t>DELL NVMe SSD CD9P SIE U.2 KCD9XPUG7T68 7.68TB</t>
  </si>
  <si>
    <t>DELL NVMe SSD CD9P SED E3.S KCD9DPJE6T40 6.4TB</t>
  </si>
  <si>
    <t>DELL NVMe SSD CD9P SIE U.2 KCD9XPUG15T3 15.36TB</t>
  </si>
  <si>
    <t>DELL NVMe SSD CD9P SED E3.S KCD9DPJE12T8 12.8TB</t>
  </si>
  <si>
    <t>DELL NVMe SSD CD9P SED U.2 KCD9DPUG1T60 1.6TB</t>
  </si>
  <si>
    <t>DELL NVMe SSD CD9P SIE U.2 KCD9XPUG30T7 30.72TB</t>
  </si>
  <si>
    <t>DELL NVMe SSD CD9P SIE U.2 KCD9XPUG61T4 61.44TB</t>
  </si>
  <si>
    <t>DELL NVMe SSD CD9P SED U.2 KCD9DPUG3T20 3.2TB</t>
  </si>
  <si>
    <t>DELL NVMe SSD CD9P SED U.2 KCD9DPUG6T40 6.4TB</t>
  </si>
  <si>
    <t>DELL NVMe SSD CD9P SED U.2 KCD9DPUG12T8 12.8TB</t>
  </si>
  <si>
    <t>DELL NVMe SSD CM9 SIE E3.S KCM9XRJE1T92 1.92TB</t>
  </si>
  <si>
    <t>DELL NVMe SSD CM9 SIE E3.S KCM9XRJE3T84 3.84TB</t>
  </si>
  <si>
    <t>DELL NVMe SSD CM9 SIE E3.S KCM9XRJE7T68 7.68TB</t>
  </si>
  <si>
    <t>DELL NVMe SSD CM9 SIE E3.S KCM9XRJE15T3 15.36TB</t>
  </si>
  <si>
    <t>DELL NVMe SSD CM9 SIE E3.S KCM9XRJE30T7 30.72TB</t>
  </si>
  <si>
    <t>DELL NVMe SSD CD9P SED U.2 KCD9DPUG1T92 1.92TB</t>
  </si>
  <si>
    <t>DELL NVMe SSD CD9P SED U.2 KCD9DPUG3T84 3.84TB</t>
  </si>
  <si>
    <t>DELL NVMe SSD CD9P SED U.2 KCD9DPUG15T3 15.36TB</t>
  </si>
  <si>
    <t>DELL NVMe SSD CD9P SED U.2 KCD9DPUG7T68 7.68TB</t>
  </si>
  <si>
    <t>DELL NVMe SSD CD9P SED U.2 KCD9DPUG30T7 30.72TB</t>
  </si>
  <si>
    <t>DELL NVMe SSD CD9P SED U.2 KCD9DPUG61T4 61.44TB</t>
  </si>
  <si>
    <t>DELL NVMe SSD CM9 SIE U.2 KCM9XRUL1T92 1.92TB</t>
  </si>
  <si>
    <t>DELL NVMe SSD CM9 SIE U.2 KCM9XRUL3T84 3.84TB</t>
  </si>
  <si>
    <t>DELL NVMe SSD CM9 SIE U.2 KCM9XRUL7T68 7.68TB</t>
  </si>
  <si>
    <t>DELL NVMe SSD CM9 SIE U.2 KCM9XRUL15T3 15.36TB</t>
  </si>
  <si>
    <t>DELL NVMe SSD CM9 SIE U.2 KCM9XRUL30T7 30.72TB</t>
  </si>
  <si>
    <t>DELL NVMe SSD CM9 SIE U.2 KCM9XRUL61T4 61.44TB</t>
  </si>
  <si>
    <t>DELL NVMe SSD CM9 FIPS E3.S KCM9FRJE1T92 1.92TB</t>
  </si>
  <si>
    <t>DELL NVMe SSD CD9P SIE E3.S KCD9XPJE1T92 1.92TB</t>
  </si>
  <si>
    <t>DELL NVMe SSD CD9P SIE E3.S KCD9XPJE3T84 3.84TB</t>
  </si>
  <si>
    <t>DELL NVMe SSD CD9P SIE E3.S KCD9XPJE7T68 7.68TB</t>
  </si>
  <si>
    <t>DELL NVMe SSD CD9P SIE E3.S KCD9XPJE15T3 15.36TB</t>
  </si>
  <si>
    <t>DELL NVMe SSD CD9P SIE E3.S KCD9XPJE30T7 30.72TB</t>
  </si>
  <si>
    <t>DELL NVMe SSD CM9 FIPS E3.S KCM9FRJE3T84 3.84TB</t>
  </si>
  <si>
    <t>DELL NVMe SSD CM9 FIPS E3.S KCM9FRJE7T68 7.68TB</t>
  </si>
  <si>
    <t>DELL NVMe SSD CM9 FIPS E3.S KCM9FRJE15T3 15.36TB</t>
  </si>
  <si>
    <t>DELL NVMe SSD CM9 FIPS E3.S KCM9FRJE30T7 30.72TB</t>
  </si>
  <si>
    <t>Dell NVMe FIPS PM1753 RI E3.S 1.92TB</t>
  </si>
  <si>
    <t>Dell NVMe FIPS PM1753 RI E3.S 3.84TB</t>
  </si>
  <si>
    <t>Dell NVMe FIPS PM1753 RI E3.S 7.68TB</t>
  </si>
  <si>
    <t>Dell NVMe FIPS PM1753 RI E3.S 15.36TB</t>
  </si>
  <si>
    <t>Dell NVMe FIPS PM1753 RI E3.S 30.72TB</t>
  </si>
  <si>
    <t>Dell NVMe FIPS PM1755 MU E3.S 1.6TB</t>
  </si>
  <si>
    <t>Dell NVMe FIPS PM1755 MU E3.S 3.2TB</t>
  </si>
  <si>
    <t>Dell NVMe FIPS PM1755 MU E3.S 6.4TB</t>
  </si>
  <si>
    <t>Dell NVMe FIPS PM1753 RI U.2 30.72TB</t>
  </si>
  <si>
    <t>Emulex</t>
  </si>
  <si>
    <t>Emulex OneConnect OCe10102-NX 10GbE NIC</t>
  </si>
  <si>
    <t>OneConnect OCe14102-U</t>
  </si>
  <si>
    <t>OneConnect OCe14101-NX</t>
  </si>
  <si>
    <t>OneConnect OCe14101-NM</t>
  </si>
  <si>
    <t>OneConnect OCe14102-NX</t>
  </si>
  <si>
    <t>OneConnect OCe14102-NM</t>
  </si>
  <si>
    <t>OneConnect OCe14102-UX</t>
  </si>
  <si>
    <t>OneConnect OCe14102-UM</t>
  </si>
  <si>
    <t>OneConnect OCe14401-U</t>
  </si>
  <si>
    <t>OneConnect OCe14401-NX</t>
  </si>
  <si>
    <t>OneConnect OCe14401-UX</t>
  </si>
  <si>
    <t>OneConnect OCec14102-UX</t>
  </si>
  <si>
    <t>OneConnect OCm14102-UX-OCP</t>
  </si>
  <si>
    <t>Emulex OneConnect OCe14102-NT 10GbaseT 2-Port RJ45 PCIe 3.0 Ethernet Adapter</t>
  </si>
  <si>
    <t>Emulex OneConnect OCe14102-UT 10GbaseT 2-Port RJ45 PCIe 3.0 Converged Network Adapter</t>
  </si>
  <si>
    <t>Emulex OneConnect OCe14104-NX 4-Port 10GbE Ethernet Adapter</t>
  </si>
  <si>
    <t>Emulex OneConnect OCe14104-UX 4-Port 10GbE Converged Network Adapter</t>
  </si>
  <si>
    <t>Emulex OneConnect OCe14104-NM 4-Port 10GbE Ethernet Adapter</t>
  </si>
  <si>
    <t>Emulex OneConnect OCe14104-UM 4-Port 10GbE Converged Network Adapter</t>
  </si>
  <si>
    <t>Emulex OneConnect OCm14101-NX-OCP 10GbE 1-Port SFP+ Ethernet OCP Mezz Card</t>
  </si>
  <si>
    <t>Emulex OneConnect OCm14102-NX-OCP 10GbE 2-Port SFP+ Ethernet OCP Mezz Card</t>
  </si>
  <si>
    <t>OCe14101B-NM</t>
  </si>
  <si>
    <t>OCe14101B-NX</t>
  </si>
  <si>
    <t>OCe14102B-NT</t>
  </si>
  <si>
    <t>OCe14102B-UT</t>
  </si>
  <si>
    <t>OCe14102B-UM</t>
  </si>
  <si>
    <t>OCe14102B-UX</t>
  </si>
  <si>
    <t>OneConnect OCe14102B-NM</t>
  </si>
  <si>
    <t>OneConnect OCe14102B-NX</t>
  </si>
  <si>
    <t>OneConnect OCe14104B-UX</t>
  </si>
  <si>
    <t>OneConnect OCe14104B-UM</t>
  </si>
  <si>
    <t>OneConnect OCe14104B-NM</t>
  </si>
  <si>
    <t>OneConnect OCe14104B-NX</t>
  </si>
  <si>
    <t>OCe14401B-NX</t>
  </si>
  <si>
    <t>OCe14401B-UX</t>
  </si>
  <si>
    <t>Emulex LightPulse LPe32002-M2 2-Port 32Gb Fibre Channel Adapter</t>
  </si>
  <si>
    <t>Emulex LightPulse LPe32000-M2 1-Port 32Gb Fibre Channel Adapter</t>
  </si>
  <si>
    <t>Emulex LightPulse LPe31002-M6 2-Port 16Gb Fibre Channel Adapter</t>
  </si>
  <si>
    <t>Emulex LightPulse LPe31000-M6 1-Port 16Gb Fibre Channel Adapter</t>
  </si>
  <si>
    <t>Emulex LightPulse LPe32000 PCIe Fibre Channel Adapter</t>
  </si>
  <si>
    <t>Emulex LPe35000-M2 1-Port 32Gb Fibre Channel Adapter</t>
  </si>
  <si>
    <t>Emulex LPe35002-M2 2-Port 32Gb Fibre Channel Adapter</t>
  </si>
  <si>
    <t>Emulex LPe36002-M64 2-Port 64Gb Fibre Channel Adapter</t>
  </si>
  <si>
    <t>Emulex LPe36000-M64 1-Port 64Gb Fibre Channel Adapter</t>
  </si>
  <si>
    <t>Emulex LPe37102 2-port 32Gb SecureHBA FC Adapter</t>
  </si>
  <si>
    <t>Emulex LPe38102 2-port 64Gb SecureHBA FC Adapter</t>
  </si>
  <si>
    <t>Emulex LPe37100S/LPe38100S Fibre Channel Adapter</t>
  </si>
  <si>
    <t>Emulex LPe37100 1-port 32Gb SecureHBA FC Adapter</t>
  </si>
  <si>
    <t>Emulex LPe38100 1-port 64Gb SecureHBA FC Adapter</t>
  </si>
  <si>
    <t>Emulex LPe35004-M2 4-Port 32Gb Fibre Channel Adapter</t>
  </si>
  <si>
    <t>Emulex LPe38104-S4-LP-SEC 4-Port 64Gb SecureHBA FC Adapter</t>
  </si>
  <si>
    <t>Exascend Co. Ltd</t>
  </si>
  <si>
    <t>EXPE4U7680GB</t>
  </si>
  <si>
    <t>EXPE4U0153TB</t>
  </si>
  <si>
    <t>EXPE4E7680GB</t>
  </si>
  <si>
    <t>EXPE4E0153TB</t>
  </si>
  <si>
    <t>EXSE4A7680GB</t>
  </si>
  <si>
    <t>EXPD5U7680GBRM4</t>
  </si>
  <si>
    <t>EXPE4U0307TB</t>
  </si>
  <si>
    <t>EXSE4A0153TB</t>
  </si>
  <si>
    <t>Foxconn</t>
  </si>
  <si>
    <t>Foxconn Galaxy HBA 8238-16i</t>
  </si>
  <si>
    <t>Foxconn Galaxy HBA 8242-24i</t>
  </si>
  <si>
    <t>Fsas Technologies Inc.</t>
  </si>
  <si>
    <t>PRAID CP700i</t>
  </si>
  <si>
    <t>PSAS CP700i</t>
  </si>
  <si>
    <t>Fujitsu</t>
  </si>
  <si>
    <t>Fujitsu D3045 Ethernet LAN Adapter</t>
  </si>
  <si>
    <t>Fujitsu D3035 Ethernet LAN Adapter</t>
  </si>
  <si>
    <t>PRAID CP400i</t>
  </si>
  <si>
    <t>PRAID CM400i</t>
  </si>
  <si>
    <t>PRAID EM400i</t>
  </si>
  <si>
    <t>PRAID EP420i</t>
  </si>
  <si>
    <t>PRAID EP400i</t>
  </si>
  <si>
    <t>PRAID EP420e</t>
  </si>
  <si>
    <t>PSAS CP400i</t>
  </si>
  <si>
    <t>PSAS CP400e</t>
  </si>
  <si>
    <t>PCNA EP OCe14102 2x10GB</t>
  </si>
  <si>
    <t>PLAN EP OCe14102-NX</t>
  </si>
  <si>
    <t>Emulex OCl14102-LOM 10Gb CNA</t>
  </si>
  <si>
    <t>Fujitsu DynamicLoM Emulex OCl14000-LOM</t>
  </si>
  <si>
    <t>PFC EP QLE2692</t>
  </si>
  <si>
    <t>PFC EP QLE2690</t>
  </si>
  <si>
    <t>PSAS CP402i</t>
  </si>
  <si>
    <t>Emulex LightPulse LPe31002-M6-F 2-Port 16Gb Fibre Channel Adapter</t>
  </si>
  <si>
    <t>Emulex LightPulse LPe31000-M6-F 1-Port 16Gb Fibre Channel Adapter</t>
  </si>
  <si>
    <t>PFC EP QLE2740</t>
  </si>
  <si>
    <t>PFC EP QLE2742</t>
  </si>
  <si>
    <t>PRAID EP540i (D3850)</t>
  </si>
  <si>
    <t>PRAID EP520i (D3850)</t>
  </si>
  <si>
    <t>PRAID EP580i (D3850)</t>
  </si>
  <si>
    <t>Emulex LightPulse LPe32002-M2-F 2-Port 32Gb Fibre Channel Adapter</t>
  </si>
  <si>
    <t>Emulex LightPulse LPe32000-M2-F 1-Port 32Gb Fibre Channel Adapter</t>
  </si>
  <si>
    <t>PSAS CM402i</t>
  </si>
  <si>
    <t>PRAID EP440i</t>
  </si>
  <si>
    <t>PLAN EP MCX4-LX 25Gb 2p SFP28</t>
  </si>
  <si>
    <t>PLAN EP MCX4-EN 40Gb 2p QSFP</t>
  </si>
  <si>
    <t>PLAN EP MCX4-EN 100Gb 1p QSFP28</t>
  </si>
  <si>
    <t>PRAID EP540e (D3850)</t>
  </si>
  <si>
    <t>PLAN EP MCX4-LX 25Gb 2p SFP28 OCP</t>
  </si>
  <si>
    <t>PSAS CP403i</t>
  </si>
  <si>
    <t>PDUAL CP200</t>
  </si>
  <si>
    <t>PFC EP QLE2770</t>
  </si>
  <si>
    <t>PFC EP QLE2772</t>
  </si>
  <si>
    <t>PSAS CP503i</t>
  </si>
  <si>
    <t>Emulex LightPulse LPe35000-M2-F 1-Port 32Gb Fibre Channel Adapter</t>
  </si>
  <si>
    <t>Emulex LightPulse LPe35002-M2-F 2-Port 32Gb Fibre Channel Adapter</t>
  </si>
  <si>
    <t>PRAID CP500i</t>
  </si>
  <si>
    <t>PRAID EP680e</t>
  </si>
  <si>
    <t>PSAS CP500e</t>
  </si>
  <si>
    <t>PRAID CM500i</t>
  </si>
  <si>
    <t>PRAID EP680i</t>
  </si>
  <si>
    <t>PLAN EP MCX6-DX 2X 100G QSFP28 OCPv3</t>
  </si>
  <si>
    <t>PDUAL CP100</t>
  </si>
  <si>
    <t>PLAN EP XXV710-DA2 25Gb 2p SFP28</t>
  </si>
  <si>
    <t>PLAN EP E810-XXVDA2 2X 25G SFP28 PCIe</t>
  </si>
  <si>
    <t>PSAS CP2100-8i</t>
  </si>
  <si>
    <t>Emulex LPe36002-M64-F 2-Port 64Gb Fibre Channel Adapter</t>
  </si>
  <si>
    <t>Emulex LPe36000-M64-F 1-Port 64Gb Fibre Channel Adapter</t>
  </si>
  <si>
    <t>PSAS CP600e</t>
  </si>
  <si>
    <t>PSAS CP600i</t>
  </si>
  <si>
    <t>PRAID CP600i</t>
  </si>
  <si>
    <t>PRAID EP 3258-16i</t>
  </si>
  <si>
    <t>PRAID EP 3254-8i</t>
  </si>
  <si>
    <t>PRAID EP 3252-8i</t>
  </si>
  <si>
    <t>PSAS CP 2200-16i</t>
  </si>
  <si>
    <t>PFC EP QLE2870</t>
  </si>
  <si>
    <t>PFC EP QLE2872</t>
  </si>
  <si>
    <t>PDUAL CP300</t>
  </si>
  <si>
    <t>PRAID EP640i</t>
  </si>
  <si>
    <t>PRAID EP740i</t>
  </si>
  <si>
    <t>PRAID EP781i</t>
  </si>
  <si>
    <t>PLAN EM 10Gb SFP+ OCP</t>
  </si>
  <si>
    <t>PLAN EM 1Gb T OCP</t>
  </si>
  <si>
    <t>PLAN EM 10Gb T OCP</t>
  </si>
  <si>
    <t>Giga Computing Technology Co.
 Ltd.</t>
  </si>
  <si>
    <t>PASCARI X201</t>
  </si>
  <si>
    <t>Google LLC</t>
  </si>
  <si>
    <t>Google-Persistent-Disk-1457</t>
  </si>
  <si>
    <t>Google Smart Network Adapter ES2000</t>
  </si>
  <si>
    <t>Google NVMe M.2 PM173X [3 DWPD]</t>
  </si>
  <si>
    <t>Google NVMe M.2 PM174X [3 DWPD]</t>
  </si>
  <si>
    <t>Hewlett Packard Enterprise</t>
  </si>
  <si>
    <t>HPE Ethernet 1Gb 4-port 331FLR Adapter</t>
  </si>
  <si>
    <t>HPE Ethernet 1Gb 4-port 331T Adapter</t>
  </si>
  <si>
    <t>HPE Ethernet 1Gb 2-port 332T Adapter</t>
  </si>
  <si>
    <t>764904-B21 HPE 400GB NVMe x4 RI SFF SCN SSD</t>
  </si>
  <si>
    <t>764906-B21 HPE 1.2TB NVMe x4 RI SFF SCN SSD</t>
  </si>
  <si>
    <t>764908-B21 HPE 2TB NVMe x4 RI SFF SCN SSD</t>
  </si>
  <si>
    <t>765034-B21 HPE 400GB NVMe x4 MU SFF SCN SSD</t>
  </si>
  <si>
    <t>765036-B21 HPE 800GB NVMe x4 MU SFF SCN SSD</t>
  </si>
  <si>
    <t>765038-B21 HPE 1.6TB NVMe x4 MU SFF SCN SSD</t>
  </si>
  <si>
    <t>765044-B21 HPE 2TB NVMe x4 MU SFF SCN SSD</t>
  </si>
  <si>
    <t>764894-B21 HPE 2TB NVMe x4 WI SFF SCN SSD</t>
  </si>
  <si>
    <t>764892-B21 HPE 1.6TB NVMe x4 WI SFF SCN SSD</t>
  </si>
  <si>
    <t>803195-B21 HPE 800GB PCIe x4 WI HH Card</t>
  </si>
  <si>
    <t>803197-B21 HPE 1.6TB PCIe x4 WI HH Card</t>
  </si>
  <si>
    <t>803200-B21 HPE 800GB PCIe x4 MU HH Card</t>
  </si>
  <si>
    <t>803202-B21 HPE 1.6TB PCIe x4 MU HH Card</t>
  </si>
  <si>
    <t>803204-B21 HPE 2.0TB PCIe x4 MU HH Card</t>
  </si>
  <si>
    <t>HPE Ethernet 4x25Gb 1-port 620QSFP28 Adapter</t>
  </si>
  <si>
    <t>HPE InfiniBand EDR/Ethernet 100Gb 1-port 840QSFP28 Adapter</t>
  </si>
  <si>
    <t>HPE InfiniBand EDR/Ethernet 100Gb 2-port 840QSFP28 Adapter</t>
  </si>
  <si>
    <t>HPE Ethernet 10/25Gb 2-port 640FLR-SFP28 Adapter</t>
  </si>
  <si>
    <t>HPE Ethernet 10/25Gb 2-port 640SFP28 Adapter</t>
  </si>
  <si>
    <t>SN1600Q-1P</t>
  </si>
  <si>
    <t>SN1600Q-2P</t>
  </si>
  <si>
    <t>SN1100Q-1P</t>
  </si>
  <si>
    <t>SN1100Q-2P</t>
  </si>
  <si>
    <t>HPE Smart Array E208i-p SR Gen10 Controller</t>
  </si>
  <si>
    <t>HPE Ethernet 10Gb 2-port 568FLR-MMT Adapter</t>
  </si>
  <si>
    <t>HPE Smart Array P408i-p SR Gen10</t>
  </si>
  <si>
    <t>HPE Smart Array P408e-p SR Gen10</t>
  </si>
  <si>
    <t>HPE Smart Array P408i-a SR Gen10</t>
  </si>
  <si>
    <t>HPE Smart Array P408i-c SR Gen10</t>
  </si>
  <si>
    <t>HPE Smart Array P408e-m SR Gen10</t>
  </si>
  <si>
    <t>HPE Smart Array P204i-c SR Gen10</t>
  </si>
  <si>
    <t>HPE Smart Array P204i-b SR Gen10</t>
  </si>
  <si>
    <t>HPE Ethernet 10Gb 2-port 568FLR-MMSFP+ Adapter</t>
  </si>
  <si>
    <t>HPE Ethernet 10Gb 2-port 568i Adapter</t>
  </si>
  <si>
    <t>HPE Ethernet 1Gb 2-port 368FLR-MMT Adapter</t>
  </si>
  <si>
    <t>HPE Ethernet 1Gb 2-port 368i Adapter</t>
  </si>
  <si>
    <t>HPE Ethernet 1Gb 4-port 369i Adapter</t>
  </si>
  <si>
    <t>HPE Smart Array E208e-p SR Gen10 Controller</t>
  </si>
  <si>
    <t>HPE Smart Array E208i-a SR Gen10 Controller</t>
  </si>
  <si>
    <t>HPE Smart Array E208i-c SR Gen10 Controller</t>
  </si>
  <si>
    <t>HPE Smart Array P816i-a SR Gen10 Controller</t>
  </si>
  <si>
    <t>HPE Smart Array P416ie-m SR Gen10 Controller</t>
  </si>
  <si>
    <t>HPE Ethernet 10Gb 2-port 535T Adapter</t>
  </si>
  <si>
    <t>HPE Ethernet 10Gb 2-port 535FLR-T Adapter</t>
  </si>
  <si>
    <t>HPE Ethernet 10/25Gb 2-port 631SFP28 Adapter</t>
  </si>
  <si>
    <t>HPE Ethernet 10/25Gb 2-port 631FLR-SFP28 Adapter</t>
  </si>
  <si>
    <t>Synergy 6810C 25/50Gb Ethernet Adptr ( SRIOV )</t>
  </si>
  <si>
    <t>HPE Eth 10Gb 2p 522FLR-T CNA ( SRIOV )</t>
  </si>
  <si>
    <t>HPE Eth 10/25Gb 2p 622FLR-SFP28 CNA ( SRIOV )</t>
  </si>
  <si>
    <t>HPE Ethernet 10/25Gb 2-port SFP28 QL41401-A2G Adapter (621SFP28) [SR-IOV]</t>
  </si>
  <si>
    <t>HPE Ethernet 10Gb 2-port BASE-T QL41401-A2G Adapter (521T) [SR-IOV]</t>
  </si>
  <si>
    <t>Synergy 6810C 25/50Gb Ethernet Adptr</t>
  </si>
  <si>
    <t>HPE Eth 10Gb 2p 522FLR-T CNA</t>
  </si>
  <si>
    <t>HPE Eth 10/25Gb 2p 622FLR-SFP28 CNA</t>
  </si>
  <si>
    <t>HPE Ethernet 10/25Gb 2-port SFP28 QL41401-A2G Adapter (621SFP28)</t>
  </si>
  <si>
    <t>HPE Ethernet 10Gb 2-port BASE-T QL41401-A2G Adapter (521T)</t>
  </si>
  <si>
    <t>HPE Smart Array E208i-p SR Gen10</t>
  </si>
  <si>
    <t>HPE InfiniBand EDR/Ethernet 100Gb 2-port 841QSFP28 Adapter</t>
  </si>
  <si>
    <t>HPE Smart Array P824i-p MR Gen10</t>
  </si>
  <si>
    <t>HPE 1.6TB PCIe x4 MU HH DS Card</t>
  </si>
  <si>
    <t>HPE 3.2TB PCIe x4 MU HH DS Card</t>
  </si>
  <si>
    <t>HPE 6.4TB PCIe x4 MU HH DS Card</t>
  </si>
  <si>
    <t>877984-B21¬† HPE 1TB NVMe x4 RI SFF SCN DS SSD</t>
  </si>
  <si>
    <t>877986-B21¬† HPE 2TB NVMe x4 RI SFF SCN DS SSD</t>
  </si>
  <si>
    <t>877988-B21¬† HPE 4TB NVMe x4 RI SFF SCN DS SSD</t>
  </si>
  <si>
    <t>877831-B21¬† HPE 4TB PCIe x4 RI HH DS Card</t>
  </si>
  <si>
    <t>877994-B21¬† HPE 1.6TB NVMe x4 MU SFF SCN DS SSD</t>
  </si>
  <si>
    <t>877998-B21¬† HPE 3.2TB NVMe x4 MU SFF SCN DS SSD</t>
  </si>
  <si>
    <t>P03616-B21 HPE 1TB NVMe x4 RI SFF RW DS SSD</t>
  </si>
  <si>
    <t>P03618-B21 HPE 2TB NVMe x4 RI SFF RW DS SSD</t>
  </si>
  <si>
    <t>P03612-B21 HPE 1.6TB NVMe x4 MU SFF RW DS SSD</t>
  </si>
  <si>
    <t>P03614-B21 HPE 3.2TB NVMe x4 MU SFF RW DS SSD</t>
  </si>
  <si>
    <t>HPE 375GB NVMe x4 WI SFF SCN DS SSD</t>
  </si>
  <si>
    <t>P06952-B21 HPE 750GB NVMe x4 WI SFF SCN DS SSD</t>
  </si>
  <si>
    <t>HPE 750GB PCIe x4 WI HH DS Card</t>
  </si>
  <si>
    <t>HPE Synergy 6410C 25/50Gb Ethernet Adapter</t>
  </si>
  <si>
    <t>HPE Ethernet 100Gb 1-port 842QSFP28 Adapter</t>
  </si>
  <si>
    <t>HPE InfiniBand FDR/Ethernet 40/50Gb 2-port 547FLR-QSFP Adapter</t>
  </si>
  <si>
    <t>878000-B21 HPE 6.4TB NVMe x4 MU SFF SCN DS SSD</t>
  </si>
  <si>
    <t>HPE Ethernet 10/25Gb 2-port FLR-SFP28 QL41401-A2G Converged Network Adapter (622FLR)</t>
  </si>
  <si>
    <t>HPE Ethernet 10/25Gb 2-port FLR-SFP28 QL41401-A2G Converged Network Adapter (622FLR) [SR-IOV]</t>
  </si>
  <si>
    <t>HPE StoreFabric CN1300R 10/25Gb Dual Port Converged Network Adapter</t>
  </si>
  <si>
    <t>HPE StoreFabric CN1300R 10/25Gb Dual Port Converged Network Adapter (SR-IOV)</t>
  </si>
  <si>
    <t>iSCSI</t>
  </si>
  <si>
    <t>HPE StoreFabric CN1200R 10Gb Base-T Converged Network Adapter</t>
  </si>
  <si>
    <t>HPE StoreFabric CN1300R 10/25Gb Dual Port Converged Network Adapter (iSCSI)</t>
  </si>
  <si>
    <t>HPE StoreFabric CN1200R 10Gb Base-T Converged Network Adapter (iSCSI)</t>
  </si>
  <si>
    <t>HPE StoreFabric CN1200R 10Gb Base-T Converged Network Adapter (SR-IOV)</t>
  </si>
  <si>
    <t>HPE StoreFabric CN1300R 10/25Gb Dual Port Converged Network Adapter (FCoE)</t>
  </si>
  <si>
    <t>HPE StoreFabric CN1200R 10Gb Base-T Converged Network Adapter (FCoE)</t>
  </si>
  <si>
    <t>HPE Ethernet 10Gb 2-port 562T Adapter</t>
  </si>
  <si>
    <t>HPE Ethernet 10Gb 2-port 562FLR-T Adapter</t>
  </si>
  <si>
    <t>P10222-B21 HPE 1.6TB NVMe x4 MU SFF SCN DS SSD</t>
  </si>
  <si>
    <t>P10224-B21 HPE 3.2TB NVMe x4 MU SFF SCN DS SSD</t>
  </si>
  <si>
    <t>P10226-B21 HPE 6.4TB NVMe x4 MU SFF SCN DS SSD</t>
  </si>
  <si>
    <t>P10214-B21 HPE 1.92TB NVMe x4 RI SFF SCN DS SSD</t>
  </si>
  <si>
    <t>P10216-B21 HPE 3.84TB NVMe x4 RI SFF SCN DS SSD</t>
  </si>
  <si>
    <t>P10218-B21 HPE 7.68TB NVMe x4 RI SFF SCN DS SSD</t>
  </si>
  <si>
    <t>P10268-B21 HPE 6.4TB NVMe x8 MU HH DS Card</t>
  </si>
  <si>
    <t>P10266-B21 HPE 3.2TB NVMe x8 MU HH DS Card</t>
  </si>
  <si>
    <t>P10264-B21 HPE 1.6TB NVMe x8 MU HH DS Card</t>
  </si>
  <si>
    <t>P13695-B21 HPE 2TB NVMe x4 RI SFF SCN DS SSD</t>
  </si>
  <si>
    <t>P13697-B21 HPE 4TB NVMe x4 RI SFF SCN DS SSD</t>
  </si>
  <si>
    <t>P13699-B21 HPE 1.6TB NVMe x4 MU SFF SCN DS SSD</t>
  </si>
  <si>
    <t>P13701-B21 HPE 3.2TB NVMe x4 MU SFF SCN DS SSD</t>
  </si>
  <si>
    <t>P13703-B21 HPE 6.4TB NVMe x4 MU SFF SCN DS SSD</t>
  </si>
  <si>
    <t>HPE 10/25Gb Ethernet Adapter</t>
  </si>
  <si>
    <t>HPE Synergy 4610C 10/25Gb Ethernet Adapter</t>
  </si>
  <si>
    <t>HPE Synergy 5330C 32Gb FC HBA</t>
  </si>
  <si>
    <t>HPE Synergy 4820c 10/20/25Gb Converged Network Adapter</t>
  </si>
  <si>
    <t>HPE Synergy 4820c 10/20/25Gb Converged Network Adapter (SR-IOV)</t>
  </si>
  <si>
    <t>HPE Synergy 4820c 10/20/25Gb Converged Network Adapter (iSCSI)</t>
  </si>
  <si>
    <t>HPE Synergy 4820c 10/20/25Gb Converged Network Adapter (FCoE)</t>
  </si>
  <si>
    <t>HPE 750GB NVMe x4 WI SFF SCN DS SSD</t>
  </si>
  <si>
    <t>P12114-B21 HPE 1.6TB NVMe x4 MU SFF RW DS SSD</t>
  </si>
  <si>
    <t>HPE Synergy 5830C 32Gb FC HBA</t>
  </si>
  <si>
    <t>HPE Ethernet 10Gb 2-port SFP+ QL41401-A2G Adapter (524SFP+)</t>
  </si>
  <si>
    <t>HPE Ethernet 10Gb 2-port SFP+ QL41401-A2G Adapter (524SFP+) [SR-IOV]</t>
  </si>
  <si>
    <t>HPE Eth 10Gb 4p 563SFP+ Adptr</t>
  </si>
  <si>
    <t>HPE Ethernet 10/25Gb 2-port 661SFP28 Adapter</t>
  </si>
  <si>
    <t>HPE Ethernet 40Gb 2-port 565QSFP+ adapter</t>
  </si>
  <si>
    <t>P13676-B21 HPE 960GB NVMe x4 RI SFF SCN DS SSD</t>
  </si>
  <si>
    <t>P13678-B21 HPE 1.92TB NVMe x4 RI SFF SCN DS SSD</t>
  </si>
  <si>
    <t>P13680-B21 HPE 3.84TB NVMe x4 RI SFF SCN DS SSD</t>
  </si>
  <si>
    <t>P13682-B21 HPE 7.68TB NVMe x4 RI SFF SCN DS SSD</t>
  </si>
  <si>
    <t>P13668-B21 HPE 800GB NVMe x4 MU SFF SCN DS SSD</t>
  </si>
  <si>
    <t>P13670-B21 HPE 1.6TB NVMe x4 MU SFF SCN DS SSD</t>
  </si>
  <si>
    <t>P13672-B21 HPE 3.2TB NVMe x4 MU SFF SCN DS SSD</t>
  </si>
  <si>
    <t>P13674-B21 HPE 6.4TB NVMe x4 MU SFF SCN DS SSD</t>
  </si>
  <si>
    <t>HPE Synergy 6820c 25/50GbE Converged Network Adapter (FCoE)</t>
  </si>
  <si>
    <t>HPE Synergy 6820c 25/50GbE Converged Network Adapter</t>
  </si>
  <si>
    <t>HPE Synergy 6820c 25/50GbE Converged Network Adapter (SR-IOV)</t>
  </si>
  <si>
    <t>HPE Synergy 6820c 25/50GbE Converged Network Adapter (iSCSI)</t>
  </si>
  <si>
    <t>SN1610Q ‚Äì 1P Enhanced 32GFC Single Port Fibre Channel Host Bus Adapter</t>
  </si>
  <si>
    <t>SN1610Q ‚Äì 2P Enhanced 32GFC Dual Port Fibre Channel Host Bus Adapter</t>
  </si>
  <si>
    <t>HPE Edgeline 960GB NVMe x4 MU M.2 22110 XTEMP SSD P05892-B21</t>
  </si>
  <si>
    <t>HPE Edgeline 1.92TB NVMe x4 MU M.2 22110 XTEMP SSD P05896-B21</t>
  </si>
  <si>
    <t>HPE Edgeline 3.84TB NVMe x4 MU M.2 22110 XTEMP SSD P05900-B21</t>
  </si>
  <si>
    <t>Marvell FastLinQ 41000 Series - 2P 10GbE¬† SFP+ QL41132HQCU-HC OCP3 Adapter</t>
  </si>
  <si>
    <t>Marvell FastLinQ 41000 Series - 2P 10GbE¬† SFP+ QL41132HQCU-HC OCP3 Adapter (SR-IOV)</t>
  </si>
  <si>
    <t>Marvell FastLinQ 41000 Series - 4P 10GbE SFP+ QL41134HLCU-HC MD2 Adapter</t>
  </si>
  <si>
    <t>Marvell FastLinQ 41000 Series - 4P 10GbE SFP+ QL41134HLCU-HC MD2 Adapter (SR-IOV)</t>
  </si>
  <si>
    <t>Marvell FastLinQ 41000 Series - 2P 25GbE SFP28 QL41232HQCU-HC OCP3 Adapter</t>
  </si>
  <si>
    <t>Marvell FastLinQ 41000 Series - 2P 25GbE SFP28 QL41232HQCU-HC OCP3 Adapter (SR-IOV)</t>
  </si>
  <si>
    <t>Marvell FastLinQ 41000 Series - 2P 25GbE SFP28 QL41232HLCU-HC MD2 Adapter</t>
  </si>
  <si>
    <t>Marvell FastLinQ 41000 Series - 2P 25GbE SFP28 QL41232HLCU-HC MD2 Adapter (SR-IOV)</t>
  </si>
  <si>
    <t>Marvell FastLinQ 41000 Series - 2P 10GbE SFP+ QL41132HLCU-HC MD2 Adapter</t>
  </si>
  <si>
    <t>Marvell FastLinQ 41000 Series - 2P 10GbE SFP+ QL41132HLCU-HC MD2 Adapter (SR-IOV)</t>
  </si>
  <si>
    <t>Marvell FastLinQ 41000 Series - 2P 10GbE 10GBASE-T QL41132HQRJ-HC OCP3 Adapter</t>
  </si>
  <si>
    <t>Marvell FastLinQ 41000 Series - 2P 10GbE 10GBASE-T QL41132HQRJ-HC OCP3 Adapter (SR-IOV)</t>
  </si>
  <si>
    <t>Marvell FastLinQ 41000 Series - 2P 10GbE 10GBASE-T QL41132HLRJ-HC MD2 Adapter</t>
  </si>
  <si>
    <t>Marvell FastLinQ 41000 Series - 2P 10GbE 10GBASE-T QL41132HLRJ-HC MD2 Adapter (SR-IOV)</t>
  </si>
  <si>
    <t>877986-K21 HPE 2TB NVMe x4 RI SFF SCN DS SSD</t>
  </si>
  <si>
    <t>P03614-H21 HPE 3.2TB NVMe x4 MU SFF RW DS SSD</t>
  </si>
  <si>
    <t>P03614-K21 HPE 3.2TB NVMe x4 MU SFF RW DS SSD</t>
  </si>
  <si>
    <t>P13695-K21 HPE 2TB NVMe x4 RI SFF SCN DS SSD</t>
  </si>
  <si>
    <t>P13697-K21 HPE 4TB NVMe x4 RI SFF SCN DS SSD</t>
  </si>
  <si>
    <t>P13699-K21 HPE 1.6TB NVMe x4 MU SFF SCN DS SSD</t>
  </si>
  <si>
    <t>P13701-K21 HPE 3.2TB NVMe x4 MU SFF SCN DS SSD</t>
  </si>
  <si>
    <t>P13703-K21 HPE 6.4TB NVMe x4 MU SFF SCN DS SSD</t>
  </si>
  <si>
    <t>P24188-B21 HPE 480GB NVMe x4 RI M.2 22110 DS SSD</t>
  </si>
  <si>
    <t>P13689-B21 HPE 960GB NVMe x4 RI M.2 22110 DS SSD</t>
  </si>
  <si>
    <t>P13691-B21 HPE 1.92TB NVMe x4 RI M.2 22110 DS SSD</t>
  </si>
  <si>
    <t>P13693-B21 HPE 3.84TB NVMe x4 RI M.2 22110 DS SSD</t>
  </si>
  <si>
    <t>P24188-H21 HPE 480GB NVMe x4 RI M.2 22110 DS SSD</t>
  </si>
  <si>
    <t>P13689-H21 HPE 960GB NVMe x4 RI M.2 22110 DS SSD</t>
  </si>
  <si>
    <t>P13691-H21 HPE 1.92TB NVMe x4 RI M.2 22110 DS SSD</t>
  </si>
  <si>
    <t>P13693-H21 HPE 3.84TB NVMe x4 RI M.2 22110 DS SSD</t>
  </si>
  <si>
    <t>P24188-K21 HPE 480GB NVMe x4 RI M.2 22110 DS SSD</t>
  </si>
  <si>
    <t>P13689-K21 HPE 960GB NVMe x4 RI M.2 22110 DS SSD</t>
  </si>
  <si>
    <t>P13691-K21 HPE 1.92TB NVMe x4 RI M.2 22110 DS SSD</t>
  </si>
  <si>
    <t>P13693-K21 HPE 3.84TB NVMe x4 RI M.2 22110 DS SSD</t>
  </si>
  <si>
    <t>P13695-H21 HPE 2TB NVMe x4 RI SFF SCN DS SSD</t>
  </si>
  <si>
    <t>P13697-H21 HPE 4TB NVMe x4 RI SFF SCN DS SSD</t>
  </si>
  <si>
    <t>P13699-H21 HPE 1.6TB NVMe x4 MU SFF SCN DS SSD</t>
  </si>
  <si>
    <t>P13701-H21 HPE 3.2TB NVMe x4 MU SFF SCN DS SSD</t>
  </si>
  <si>
    <t>P13703-H21 HPE 6.4TB NVMe x4 MU SFF SCN DS SSD</t>
  </si>
  <si>
    <t>877986-H21 HPE 2TB NVMe x4 RI SFF SCN DS SSD</t>
  </si>
  <si>
    <t>HPE Ethernet 10/25Gb 2-port 641SFP28 Adapter</t>
  </si>
  <si>
    <t>HPE Ethernet 10Gb 2-port 548SFP+ Adapter</t>
  </si>
  <si>
    <t>HPE Ethernet 10Gb 2-port SFP+ MCX4121A-XCHT Adapter</t>
  </si>
  <si>
    <t>HPE Ethernet 10/25Gb 2-port SFP28 MCX512F-ACHT Adapter</t>
  </si>
  <si>
    <t>HPE Ethernet 100Gb 2-port QSFP28 MCX516A-CCHT Adapter</t>
  </si>
  <si>
    <t>HPE Ethernet 10/25Gb 2-port SFP28 MCX562A-ACAI OCP3 Adapter</t>
  </si>
  <si>
    <t>HPE Ethernet 10/25Gb 2-port SFP28 MCX4621A-ACAB OCP3 Adapter</t>
  </si>
  <si>
    <t>HPE Ethernet 10/25Gb 2-port 642SFP28 Adapter</t>
  </si>
  <si>
    <t>HPE Ethernet 100Gb 2-port QSFP56 MCX623106AS-CDAT Adapter(P25962-001/P25960-B21)</t>
  </si>
  <si>
    <t>HPE Ethernet 200Gb 1-port QSFP56 MCX623105AS-VDAT Adapter(P10180-B21)</t>
  </si>
  <si>
    <t>HPE NS204i-p Gen10+ Boot Controller</t>
  </si>
  <si>
    <t>HPE NS204i-s Gen10+ Boot Controller</t>
  </si>
  <si>
    <t>HPE NS204i-t Gen10+ Boot Controller</t>
  </si>
  <si>
    <t>HPE NS204i-d Gen10+ Boot Controller</t>
  </si>
  <si>
    <t>HPE NS204i-r Gen10+ Boot Controller</t>
  </si>
  <si>
    <t>P22331-B21 HPE 960GB NVMe x4 RI SFF SCN U.3 SSD</t>
  </si>
  <si>
    <t>P22278-H21 HPE 3.84TB NVMe x4 RI SFF SCN U.3 SSD</t>
  </si>
  <si>
    <t>P22278-B21 HPE 3.84TB NVMe x4 RI SFF SCN U.3 SSD</t>
  </si>
  <si>
    <t>P22276-K21 HPE 1.92TB NVMe x4 RI SFF SCN U.3 SSD</t>
  </si>
  <si>
    <t>P22276-H21 HPE 1.92TB NVMe x4 RI SFF SCN U.3 SSD</t>
  </si>
  <si>
    <t>P22276-B21 HPE 1.92TB NVMe x4 RI SFF SCN U.3 SSD</t>
  </si>
  <si>
    <t>P22278-K21 HPE 3.84TB NVMe x4 RI SFF SCN U.3 SSD</t>
  </si>
  <si>
    <t>P26538-H21 HPE 960GB NVMe x4 RI SFF SC U.3 SSD</t>
  </si>
  <si>
    <t>P26538-B21 HPE 960GB NVMe x4 RI SFF SC U.3 SSD</t>
  </si>
  <si>
    <t>P22331-K21 HPE 960GB NVMe x4 RI SFF SCN U.3 SSD</t>
  </si>
  <si>
    <t>P22331-H21 HPE 960GB NVMe x4 RI SFF SCN U.3 SSD</t>
  </si>
  <si>
    <t>P22280-B21 HPE 7.68TB NVMe x4 RI SFF SCN U.3 SSD</t>
  </si>
  <si>
    <t>P22280-H21 HPE 7.68TB NVMe x4 RI SFF SCN U.3 SSD</t>
  </si>
  <si>
    <t>P22280-K21 HPE 7.68TB NVMe x4 RI SFF SCN U.3 SSD</t>
  </si>
  <si>
    <t>P26104-B21 HPE 7.68TB NVMe x4 RI SFF SC U.3 SSD</t>
  </si>
  <si>
    <t>P26104-H21 HPE 7.68TB NVMe x4 RI SFF SC U.3 SSD</t>
  </si>
  <si>
    <t>P22282-B21 HPE 15.36TB NVMe x4 RI SFF SCN U.3 SSD</t>
  </si>
  <si>
    <t>P22282-H21 HPE 15.36TB NVMe x4 RI SFF SCN U.3 SSD</t>
  </si>
  <si>
    <t>P22282-K21 HPE 15.36TB NVMe x4 RI SFF SCN U.3 SSD</t>
  </si>
  <si>
    <t>P26109-B21 HPE 15.36TB NVMe x4 RI SFF SC U.3 SSD</t>
  </si>
  <si>
    <t>P22268-K21 HPE 1.6TB NVMe x4 MU SFF SCN U.3 SSD</t>
  </si>
  <si>
    <t>P22270-B21 HPE 3.2TB NVMe x4 MU SFF SCN U.3 SSD</t>
  </si>
  <si>
    <t>P22270-H21 HPE 3.2TB NVMe x4 MU SFF SCN U.3 SSD</t>
  </si>
  <si>
    <t>P22270-K21 HPE 3.2TB NVMe x4 MU SFF SCN U.3 SSD</t>
  </si>
  <si>
    <t>P22272-B21 HPE 6.4TB NVMe x4 MU SFF SCN U.3 SSD</t>
  </si>
  <si>
    <t>P22272-H21 HPE 6.4TB NVMe x4 MU SFF SCN U.3 SSD</t>
  </si>
  <si>
    <t>P19809-B21 (SC2) HPE 960GB NVMe MAIN RI SFF SCN U.3 SSD</t>
  </si>
  <si>
    <t>P19807-H21 HPE 960GB NVMe MAIN RI SFF SC U.3 SSD</t>
  </si>
  <si>
    <t>P19809-K21 HPE 960GB NVMe MAIN RI SFF SCN U.3 SSD</t>
  </si>
  <si>
    <t>P19813-B21 (SC2) HPE 1.92TB NVMe MAIN RI SFF SCN U.3 SSD</t>
  </si>
  <si>
    <t>P19811-H21 HPE 1.92TB NVMe MAIN RI SFF SC U.3 SSD</t>
  </si>
  <si>
    <t>P19813-K21 HPE 1.92TB NVMe MAIN RI SFF SCN U.3 SSD</t>
  </si>
  <si>
    <t>P19815-B21 HPE 3.84TB NVMe MAIN RI SFF SC U.3 SSD</t>
  </si>
  <si>
    <t>P19815-H21 HPE 3.84TB NVMe MAIN RI SFF SC U.3 SSD</t>
  </si>
  <si>
    <t>P19817-B21 (SC2) HPE 3.84TB NVMe MAIN RI SFF SCN U.3 SSD</t>
  </si>
  <si>
    <t>P19819-B21 HPE 7.68TB NVMe MAIN RI SFF SC U.3 SSD</t>
  </si>
  <si>
    <t>P19819-H21 HPE 7.68TB NVMe MAIN RI SFF SC U.3 SSD</t>
  </si>
  <si>
    <t>P19809-H21 HPE 960GB NVMe MAIN RI SFF SCN U.3 SSD</t>
  </si>
  <si>
    <t>P19823-B21 HPE 800GB NVMe MAIN MU SFF SC U.3 SSD</t>
  </si>
  <si>
    <t>P19823-H21 HPE 800GB NVMe MAIN MU SFF SC U.3 SSD</t>
  </si>
  <si>
    <t>P19813-H21 HPE 1.92TB NVMe MAIN RI SFF SCN U.3 SSD</t>
  </si>
  <si>
    <t>P19827-B21 HPE 1.6TB NVMe MAIN MU SFF SC U.3 SSD</t>
  </si>
  <si>
    <t>P19827-H21 HPE 1.6TB NVMe MAIN MU SFF SC U.3 SSD</t>
  </si>
  <si>
    <t>P19831-H21 HPE 3.2TB NVMe MAIN MU SFF SC U.3 SSD</t>
  </si>
  <si>
    <t>P19831-B21 HPE 3.2TB NVMe MAIN MU SFF SC U.3 SSD</t>
  </si>
  <si>
    <t>P19835-H21 HPE 6.4TB NVMe MAIN MU SFF SC U.3 SSD</t>
  </si>
  <si>
    <t>P26109-H21 HPE 15.36TB NVMe x4 RI SFF SC U.3 SSD</t>
  </si>
  <si>
    <t>P16501-B21 HPE 1.92TB NVMe x4 RI SFF SC U.3 DS SSD</t>
  </si>
  <si>
    <t>P16501-H21 HPE 1.92TB NVMe x4 RI SFF SC U.3 DS SSD</t>
  </si>
  <si>
    <t>P16503-B21 HPE 3.84TB NVMe x4 RI SFF SC U.3 DS SSD</t>
  </si>
  <si>
    <t>P16503-H21 HPE 3.84TB NVMe x4 RI SFF SC U.3 DS SSD</t>
  </si>
  <si>
    <t>P22329-B21 HPE 800GB NVMe x4 MU SFF SCN U.3 SSD</t>
  </si>
  <si>
    <t>P26129-B21 HPE 12.8TB NVMe x4 MU SFF U.3 SC SSD</t>
  </si>
  <si>
    <t>P26129-H21 HPE 12.8TB NVMe x4 MU SFF U.3 SC SSD</t>
  </si>
  <si>
    <t>P16497-B21 HPE 1.6TB NVMe x4 MU SFF SC U.3 DS SSD</t>
  </si>
  <si>
    <t>P16497-H21 HPE 1.6TB NVMe x4 MU SFF SC U.3 DS SSD</t>
  </si>
  <si>
    <t>P16499-B21 HPE 3.2TB NVMe x4 MU SFF SC U.3 DS SSD</t>
  </si>
  <si>
    <t>P16499-H21 HPE 3.2TB NVMe x4 MU SFF SC U.3 DS SSD</t>
  </si>
  <si>
    <t>P22272-K21 HPE 6.4TB NVMe x4 MU SFF SCN U.3 SSD</t>
  </si>
  <si>
    <t>P26124-B21 HPE 6.4TB NVMe x4 MU SFF U.3 SC SSD</t>
  </si>
  <si>
    <t>P26124-H21 HPE 6.4TB NVMe x4 MU SFF U.3 SC SSD</t>
  </si>
  <si>
    <t>P22274-B21 HPE 12.8TB NVMe x4 MU SFF SCN U.3 SSD</t>
  </si>
  <si>
    <t>P22274-H21 HPE 12.8TB NVMe x4 MU SFF SCN U.3 SSD</t>
  </si>
  <si>
    <t>P22274-K21 HPE 12.8TB NVMe x4 MU SFF SCN U.3 SSD</t>
  </si>
  <si>
    <t>P22329-H21 HPE 800GB NVMe x4 MU SFF SCN U.3 SSD</t>
  </si>
  <si>
    <t>P22329-K21 HPE 800GB NVMe x4 MU SFF SCN U.3 SSD</t>
  </si>
  <si>
    <t>P26543-B21 HPE 800GB NVMe x4 MU SFF U.3 SC SSD</t>
  </si>
  <si>
    <t>P26543-H21 HPE 800GB NVMe x4 MU SFF U.3 SC SSD</t>
  </si>
  <si>
    <t>P22268-B21 HPE 1.6TB NVMe x4 MU SFF SCN U.3 SSD</t>
  </si>
  <si>
    <t>P22268-H21 HPE 1.6TB NVMe x4 MU SFF SCN U.3 SSD</t>
  </si>
  <si>
    <t>HPE Ethernet 10Gb 2-port 537SFP+ Adapter</t>
  </si>
  <si>
    <t>HPE Ethernet 10Gb 2-port 537FLR SFP+ Adapter</t>
  </si>
  <si>
    <t>P19817-H21 HPE 3.84TB NVMe MAIN RI SFF SCN U.3 SSD</t>
  </si>
  <si>
    <t>P19817-K21 HPE 3.84TB NVMe MAIN RI SFF SCN U.3 SSD</t>
  </si>
  <si>
    <t>P19821-B21 (SC2) HPE 7.68TB NVMe MAIN FI SFF SCN U.3 SSD</t>
  </si>
  <si>
    <t>P19825-B21 HPE 800GB NVMe MAIN MU SFF SCN U.3 SSD</t>
  </si>
  <si>
    <t>P19821-H21 HPE 7.68TB NVMe MAIN FI SFF SCN U.3 SSD</t>
  </si>
  <si>
    <t>P19821-K21 HPE 7.68TB NVMe MAIN FI SFF SCN U.3 SSD</t>
  </si>
  <si>
    <t>P19825-H21 HPE 800GB NVMe MAIN MU SFF SCN U.3 SSD</t>
  </si>
  <si>
    <t>P19825-K21 HPE 800GB NVMe MAIN MU SFF SCN U.3 SSD</t>
  </si>
  <si>
    <t>P19829-B21 HPE 1.6TB NVMe MAIN MU SFF SCN U.3 SSD</t>
  </si>
  <si>
    <t>P19829-H21 HPE 1.6TB NVMe MAIN MU SFF SCN U.3 SSD</t>
  </si>
  <si>
    <t>P19829-K21 HPE 1.6TB NVMe MAIN MU SFF SCN U.3 SSD</t>
  </si>
  <si>
    <t>P19833-H21 HPE 3.2TB NVMe MAIN MU SFF SCN U.3 SSD</t>
  </si>
  <si>
    <t>P19833-K21 HPE 3.2TB NVMe MAIN MU SFF SCN U.3 SSD</t>
  </si>
  <si>
    <t>P19833-B21 HPE 3.2TB NVMe MAIN MU SFF SCN U.3 SSD</t>
  </si>
  <si>
    <t>P19837-B21 HPE 6.4TB NVMe MAIN MU SFF SCN U.3 SSD</t>
  </si>
  <si>
    <t>P19837-H21 HPE 6.4TB NVMe MAIN MU SFF SCN U.3 SSD</t>
  </si>
  <si>
    <t>P19837-K21 HPE 6.4TB NVMe MAIN MU SFF SCN U.3 SSD</t>
  </si>
  <si>
    <t>HPE Storefabric SN1610E 32Gb 1P FC HBA</t>
  </si>
  <si>
    <t>HPE Storefabric SN1610E 32Gb 2P FC HBA</t>
  </si>
  <si>
    <t>HPE InfiniBand HDR/Ethernet 200Gb 1-port QSFP56 MCX653435A-HDAI OCP3 PCIe4 x16 Adapter</t>
  </si>
  <si>
    <t>HPE InfiniBand HDR/Ethernet 200Gb 2-port QSFP56 MCX653106A-HDAT PCIe4 x16 Adapter</t>
  </si>
  <si>
    <t>HPE InfiniBand HDR/Ethernet 200Gb 2-port QSFP56 MCX653436A-HDAI OCP3 PCIe4 x16 Adapter</t>
  </si>
  <si>
    <t>HPE Ethernet 100Gb 1-port QSFP28 MCX515A-CCAT PCIe3 x16 Adapter</t>
  </si>
  <si>
    <t>P26934-B21 HPE 1.6TB PCIe x8 MU HH DS Card</t>
  </si>
  <si>
    <t>P26936-B21 HPE 3.2TB PCIe x8 MU HH DS Card</t>
  </si>
  <si>
    <t>P26938-B21 HPE 6.4TB PCIe x8 MU HH DS Card</t>
  </si>
  <si>
    <t>P16501-H21 HPE 1.92TB NVMe x4 RI SFF SCN U.3 DS SSD</t>
  </si>
  <si>
    <t>P16501-B21 HPE 1.92TB NVMe x4 RI SFF SCN U.3 DS SSD</t>
  </si>
  <si>
    <t>P16501-K21 HPE 1.92TB NVMe x4 RI SFF SCN U.3 DS SSD</t>
  </si>
  <si>
    <t>P16503-B21 HPE 3.84TB NVMe x4 RI SFF SCN U.3 DS SSD</t>
  </si>
  <si>
    <t>P16503-H21 HPE 3.84TB NVMe x4 RI SFF SCN U.3 DS SSD</t>
  </si>
  <si>
    <t>P16503-K21 HPE 3.84TB NVMe x4 RI SFF SCN U.3 DS SSD</t>
  </si>
  <si>
    <t>P16497-B21 HPE 1.6TB NVMe x4 MU SFF SCN U.3 DS SSD</t>
  </si>
  <si>
    <t>P16497-H21 HPE 1.6TB NVMe x4 MU SFF SCN U.3 DS SSD</t>
  </si>
  <si>
    <t>P16497-K21 HPE 1.6TB NVMe x4 MU SFF SCN U.3 DS SSD</t>
  </si>
  <si>
    <t>P16499-B21 HPE 3.2TB NVMe x4 MU SFF SCN U.3 DS SSD</t>
  </si>
  <si>
    <t>P16499-H21 HPE 3.2TB NVMe x4 MU SFF SCN U.3 DS SSD</t>
  </si>
  <si>
    <t>P16499-K21 HPE 3.2TB NVMe x4 MU SFF SCN U.3 DS SSD</t>
  </si>
  <si>
    <t>P26934-H21 HPE 1.6TB PCIe x8 MU HH DS Card</t>
  </si>
  <si>
    <t>P26936-H21 HPE 3.2TB PCIe x8 MU HH DS Card</t>
  </si>
  <si>
    <t>P26934-K21 HPE 1.6TB PCIe x8 MU HH DS Card</t>
  </si>
  <si>
    <t>P26936-K21 HPE 3.2TB PCIe x8 MU HH DS Card</t>
  </si>
  <si>
    <t>P26938-H21 HPE 6.4TB PCIe x8 MU HH DS Card</t>
  </si>
  <si>
    <t>P26938-K21 HPE 6.4TB PCIe x8 MU HH DS Card</t>
  </si>
  <si>
    <t>736939-B21 HPE 800GB NVMe x4 WI SFF SCN SSD</t>
  </si>
  <si>
    <t>736936-B21 HPE 400GB NVMe x4 WI SFF SCN SSD</t>
  </si>
  <si>
    <t>KCM6XRUL960G</t>
  </si>
  <si>
    <t>KCD6XLUL1T92</t>
  </si>
  <si>
    <t>P20133-B21 HPE 3.84TB NVMe MAIN RI SFF SC U.3 SSD/KCD6XLUL3T84</t>
  </si>
  <si>
    <t>P20141-K21 HPE 3.84TB NVMe MAIN RI SFF SCN U.3 SSD/KCD6XLUL3T84</t>
  </si>
  <si>
    <t>P20133-H21 HPE 3.84TB NVMe MAIN RI SFF SC U.3 SSD/KCD6XLUL3T84</t>
  </si>
  <si>
    <t>P20141-H21 HPE 3.84TB NVMe MAIN RI SFF SCN U.3 SSD/KCD6XLUL3T84</t>
  </si>
  <si>
    <t>P20141-B21 HPE 3.84TB NVMe MAIN RI SFF SCN U.3 SSD/KCD6XLUL3T84</t>
  </si>
  <si>
    <t>P20084-B21 HPE 800GB NVMe PERF MU SFF U.3 SC DS SSD/KCM6XVUL800G</t>
  </si>
  <si>
    <t>P20094-B21 HPE 800GB NVMe PERF MU SFF U.3 SCN SSD/KCM6XVUL800G</t>
  </si>
  <si>
    <t>P20094-H21 HPE 800GB NVMe PERF MU SFF U.3 SCN SSD/KCM6XVUL800G</t>
  </si>
  <si>
    <t>P20094-K21 HPE 800GB NVMe PERF MU SFF U.3 SCN SSD/KCM6XVUL800G</t>
  </si>
  <si>
    <t>HPE 2TB NVMe RI SFF BC U.2 SSD</t>
  </si>
  <si>
    <t>HPE 4TB NVMe RI SFF BC U.2 SSD</t>
  </si>
  <si>
    <t>HPE 1.6TB NVMe MU SFF BC U.2 SSD</t>
  </si>
  <si>
    <t>HPE 3.2TB NVMe MU SFF BC U.2 SSD</t>
  </si>
  <si>
    <t>HPE 6.4TB NVMe MU SFF BC U.2 SSD</t>
  </si>
  <si>
    <t>P22331-B21 ; P22331-H21 ; P22331-K21 HPE 960GB NVMe x4 RI SFF SCN U.3 SSD</t>
  </si>
  <si>
    <t>HPE SR416i-a Gen10+</t>
  </si>
  <si>
    <t>HPE SR932i-p Gen10+</t>
  </si>
  <si>
    <t>P16497-B21 ; P16497-H21 HPE 1.6TB NVMe x4 MU SFF SC U.3 DS SSD</t>
  </si>
  <si>
    <t>P22268-B21 ; P22268-H21 ; P22268-K21 HPE 1.6TB NVMe x4 MU SFF SCN U.3 SSD</t>
  </si>
  <si>
    <t>P40570-B21 ; P40570-K21 HPE 1.6TB NVMe MU SFF BC U.3 PM1735 SSD</t>
  </si>
  <si>
    <t>P16499-B21; P16499-H21 HPE 3.2TB NVMe x4 MU SFF SC U.3 DS SSD</t>
  </si>
  <si>
    <t>P22270-B21 ; P22270-H21 ; P22270-K21 HPE 3.2TB NVMe x4 MU SFF SCN U.3 SSD</t>
  </si>
  <si>
    <t>P40571-B21 ; P40571-K21 HPE 3.2TB NVMe MU SFF BC U.3 PM1735 SSD</t>
  </si>
  <si>
    <t>P22282-B21 ; P22278-H21 ; P22278-K21 HPE 15.36TB NVMe x4 RI SFF SCN U.3 SSD</t>
  </si>
  <si>
    <t>P26109-B21 ; P26109-H21 HPE 15.36TB NVMe x4 RI SFF SC U.3 SSD</t>
  </si>
  <si>
    <t>P26538-B21 ; P26538-H21 HPE 960GB NVMe x4 RI SFF SC U.3 SSD</t>
  </si>
  <si>
    <t>P40568-B21 ; P40568-K21 HPE 15.36TB NVMe RI BC U.3 PM1733 SSD</t>
  </si>
  <si>
    <t>P40564-B21 ; P40564-K21 HPE 960GB NVMe RI SFF BC U.3 PM1733 SSD</t>
  </si>
  <si>
    <t>P16501-B21 ; P16501-H21 HPE 1.92TB NVMe x4 RI SFF SC U.3 DS SSD</t>
  </si>
  <si>
    <t>P22329-B21 ; P22329-H21 ; P22329-K21 HPE 800GB NVMe x4 MU SFF SCN U.3 SSD</t>
  </si>
  <si>
    <t>P20195-B21 HPE 1.6TB NVMe MAIN MU SFF SC U.3 SSD/KCD6XVUL1T60</t>
  </si>
  <si>
    <t>P20195-H21 HPE 1.6TB NVMe MAIN MU SFF SC U.3 SSD/KCD6XVUL1T60</t>
  </si>
  <si>
    <t>P20203-B21 HPE 1.6TB NVMe MAIN MU SFF SCN U.3 SSD/KCD6XVUL1T60</t>
  </si>
  <si>
    <t>P20203-H21 HPE 1.6TB NVMe MAIN MU SFF SCN U.3 SSD/KCD6XVUL1T60</t>
  </si>
  <si>
    <t>P20203-K21 HPE 1.6TB NVMe MAIN MU SFF SCN U.3 SSD/KCD6XVUL1T60</t>
  </si>
  <si>
    <t>P22276-B21 ; P22276-H21 ; P22276-K21 HPE 1.92TB NVMe x4 RI SFF SCN U.3 SSD</t>
  </si>
  <si>
    <t>P26543-B21 ; P26543-H21 HPE 800GB NVMe x4 MU SFF SC U.3 SSD</t>
  </si>
  <si>
    <t>P40565-B21 ; P40565-K21 HPE 1.92TB NVMe RI BC U.3 PM1733 SSD</t>
  </si>
  <si>
    <t>P40569-B21 ; P40569-K21 HPE 800GB NVMe MU SFF BC U.3 PM1735 SSD</t>
  </si>
  <si>
    <t>P25939-H21 HPE 960GB NVMe MAIN RI SFF SC U.3 SSD/KCD6XLUL960G</t>
  </si>
  <si>
    <t>P25939-B21 HPE 960GB NVMe MAIN RI SFF SC U.3 SSD/KCD6XLUL960G</t>
  </si>
  <si>
    <t>P25944-B21 HPE 960GB NVMe MAIN RI SFF SCN U.3 SSD/KCD6XLUL960G</t>
  </si>
  <si>
    <t>P25944-H21 HPE 960GB NVMe MAIN RI SFF SCN U.3 SSD/KCD6XLUL960G</t>
  </si>
  <si>
    <t>P25944-K21 HPE 960GB NVMe MAIN RI SFF SCN U.3 SSD/KCD6XLUL960G</t>
  </si>
  <si>
    <t>P25948-B21 HPE 800GB NVMe MAIN MU SFF SC U.3 SSD/KCD6XVUL800G</t>
  </si>
  <si>
    <t>P25948-H21 HPE 800GB NVMe MAIN MU SFF SC U.3 SSD/KCD6XVUL800G</t>
  </si>
  <si>
    <t>P25953-B21 HPE 800GB NVMe MAIN MU SFF SCN U.3 SSD/KCD6XVUL800G</t>
  </si>
  <si>
    <t>P20137-B21 HPE 15.36TB NVMe MAIN RI SFF SC U.3 SSD/KCD6XLUL15T3</t>
  </si>
  <si>
    <t>P25953-H21 HPE 800GB NVMe MAIN MU SFF SCN U.3 SSD/KCD6XVUL800G</t>
  </si>
  <si>
    <t>P20137-H21 HPE 15.36TB NVMe MAIN RI SFF SC U.3 SSD/KCD6XLUL15T3</t>
  </si>
  <si>
    <t>P20145-B21 HPE 15.36TB NVMe MAIN RI SFF SCN U.3 SSD/KCD6XLUL15T3</t>
  </si>
  <si>
    <t>P20145-H21 HPE 15.36TB NVMe MAIN RI SFF SCN U.3 SSD/KCD6XLUL15T3</t>
  </si>
  <si>
    <t>P20145-K21 HPE 15.36TB NVMe MAIN RI SFF SCN U.3 SSD/KCD6XLUL15T3</t>
  </si>
  <si>
    <t>P25953-K21 HPE 800GB NVMe MAIN MU SFF SCN U.3 SSD/KCD6XVUL800G</t>
  </si>
  <si>
    <t>P20197-B21 HPE 3.2TB NVMe MAIN MU SFF SC U.3 SSD/KCD6XVUL3T20</t>
  </si>
  <si>
    <t>P20197-H21 HPE 3.2TB NVMe MAIN MU SFF SC U.3 SSD/KCD6XVUL3T20</t>
  </si>
  <si>
    <t>P20205-B21 HPE 3.2TB NVMe MAIN MU SFF SCN U.3 SSD/KCD6XVUL3T20</t>
  </si>
  <si>
    <t>P20205-K21 HPE 3.2TB NVMe MAIN MU SFF SCN U.3 SSD/KCD6XVUL3T20</t>
  </si>
  <si>
    <t>P20205-H21 HPE 3.2TB NVMe MAIN MU SFF SCN U.3 SSD/KCD6XVUL3T20</t>
  </si>
  <si>
    <t>P20199-B21 HPE 6.4TB NVMe MAIN MU SFF SC U.3 SSD/KCD6XVUL6T40</t>
  </si>
  <si>
    <t>P20199-H21 HPE 6.4TB NVMe MAIN MU SFF SC U.3 SSD/KCD6XVUL6T40</t>
  </si>
  <si>
    <t>P20207-B21 HPE 6.4TB NVMe MAIN MU SFF SCN U.3 SSD/KCD6XVUL6T40</t>
  </si>
  <si>
    <t>P20207-H21 HPE 6.4TB NVMe MAIN MU SFF SCN U.3 SSD/KCD6XVUL6T40</t>
  </si>
  <si>
    <t>P20207-K21 HPE 6.4TB NVMe MAIN MU SFF SCN U.3 SSD/KCD6XVUL6T40</t>
  </si>
  <si>
    <t>P20135-B21 HPE 7.68TB NVMe MAIN RI SFF SC U.3 SSD/KCD6XLUL7T68</t>
  </si>
  <si>
    <t>P20135-H21 HPE 7.68TB NVMe MAIN RI SFF SC U.3 SSD/KCD6XLUL7T68</t>
  </si>
  <si>
    <t>P20143-B21 HPE 7.68TB NVMe MAIN RI SFF SCN U.3 SSD/KCD6XLUL7T68</t>
  </si>
  <si>
    <t>P20143-H21 HPE 7.68TB NVMe MAIN RI SFF SCN U.3 SSD/KCD6XLUL7T68</t>
  </si>
  <si>
    <t>P20143-K21 HPE 7.68TB NVMe MAIN RI SFF SCN U.3 SSD/KCD6XLUL7T68</t>
  </si>
  <si>
    <t>P20201-B21 HPE 12.8TB NVMe MAIN MU SFF SC U.3 SSD/KCD6XVUL12T8</t>
  </si>
  <si>
    <t>P20201-H21 HPE 12.8TB NVMe MAIN MU SFF SC U.3 SSD/KCD6XVUL12T8</t>
  </si>
  <si>
    <t>P20209-B21 HPE 12.8TB NVMe MAIN MU SFF SCN U.3 SSD/KCD6XVUL12T8</t>
  </si>
  <si>
    <t>P20209-H21 HPE 12.8TB NVMe MAIN MU SFF SCN U.3 SSD/KCD6XVUL12T8</t>
  </si>
  <si>
    <t>P20209-K21 HPE 12.8TB NVMe MAIN MU SFF SCN U.3 SSD/KCD6XVUL12T8</t>
  </si>
  <si>
    <t>P16503-B21 ; P16503-H21 HPE 3.84TB NVMe x4 RI SFF SC U.3 DS SSD</t>
  </si>
  <si>
    <t>P22278-B21 ; P22278-H21 ; P22278-K21 HPE 3.84TB NVMe x4 RI SFF SCN U.3 SSD</t>
  </si>
  <si>
    <t>P40566-B21 ; P40566-K21 HPE 3.84TB NVMe RI BC U.3 PM1733 SSD</t>
  </si>
  <si>
    <t>P22280-B21 ; P22278-H21 ; P22278-K21 HPE 7.68TB NVMe x4 RI SFF SCN U.3 SSD</t>
  </si>
  <si>
    <t>P26104-B21 ; P26104-H21 HPE 7.68TB NVMe x4 RI SFF SC U.3 SSD</t>
  </si>
  <si>
    <t>P40567-B21 ; P40567-K21 HPE 7.68TB NVMe RI BC U.3 PM1733 SSD</t>
  </si>
  <si>
    <t>P22272-B21 ; P22272-H21
  P22272-K21 HPE 6.4TB NVMe x4 MU SFF SC U.3 SSD</t>
  </si>
  <si>
    <t>P26124-B21 ; P26124-H21 HPE 6.4TB NVMe x4 MU SFF SCN U.3 SSD</t>
  </si>
  <si>
    <t>P40572-B21 ; P40572-K21 HPE 6.4TB NVMe MU SFF BC U.3 PM1735 SSD</t>
  </si>
  <si>
    <t>P22274-B21 ; P22274-H21 ; P22274-K21 HPE 12.8TB NVMe x4 MU SFF SCN U.3 SSD</t>
  </si>
  <si>
    <t>P26129-B21 ; P26129-H21 HPE 12.8TB NVMe x4 MU SFF SC U.3 SSD</t>
  </si>
  <si>
    <t>P20131-B21 HPE 1.92TB NVMe MAIN RI SFF SC U.3 SSD/KCD6XLUL1T92</t>
  </si>
  <si>
    <t>P20131-H21 HPE 1.92TB NVMe MAIN RI SFF SC U.3 SSD/KCD6XLUL1T92</t>
  </si>
  <si>
    <t>P20139-B21 HPE 1.92TB NVMe MAIN RI SFF SCN U.3 SSD/KCD6XLUL1T92</t>
  </si>
  <si>
    <t>P20139-H21 HPE 1.92TB NVMe MAIN RI SFF SCN U.3 SSD/KCD6XLUL1T92</t>
  </si>
  <si>
    <t>P20139-K21 HPE 1.92TB NVMe MAIN RI SFF SCN U.3 SSD/KCD6XLUL1T92</t>
  </si>
  <si>
    <t>P20011-B21 HPE 7.68TB NVMe PERF RI SFF SC U.3 SSD/KCM6XRUL7T68</t>
  </si>
  <si>
    <t>P20011-H21 HPE 7.68TB NVMe PERF RI SFF SC U.3 SSD/KCM6XRUL7T68</t>
  </si>
  <si>
    <t>P20021-B21 HPE 7.68TB NVMe PERF RI SFF SCN U.3 SSD/KCM6XRUL7T68</t>
  </si>
  <si>
    <t>P20021-H21 HPE 7.68TB NVMe PERF RI SFF SCN U.3 SSD/KCM6XRUL7T68</t>
  </si>
  <si>
    <t>P20021-K21 HPE 7.68TB NVMe PERF RI SFF SCN U.3 SSD/KCM6XRUL7T68</t>
  </si>
  <si>
    <t>P20088-B21 HPE 3.2TB NVMe PERF MU SFF U.3 SC SSD/KCM6XVUL3T20</t>
  </si>
  <si>
    <t>P20088-H21 HPE 3.2TB NVMe PERF MU SFF U.3 SC SSD/KCM6XVUL3T20</t>
  </si>
  <si>
    <t>P20098-B21 HPE 3.2TB NVMe PERF MU SFF U.3 SCN SSD/KCM6XVUL3T20</t>
  </si>
  <si>
    <t>P20098-H21 HPE 3.2TB NVMe PERF MU SFF U.3 SCN SSD/KCM6XVUL3T20</t>
  </si>
  <si>
    <t>P20090-B21 HPE 6.4TB NVMe PERF MU SFF U.3 SC SSD/KCM6XVUL6T40</t>
  </si>
  <si>
    <t>P20090-H21 HPE 6.4TB NVMe PERF MU SFF U.3 SC SSD/KCM6XVUL6T40</t>
  </si>
  <si>
    <t>P20100-B21 HPE 6.4TB NVMe PERF MU SFF U.3 SCN SSD/KCM6XVUL6T40</t>
  </si>
  <si>
    <t>P20100-H21 HPE 6.4TB NVMe PERF MU SFF U.3 SCN SSD/KCM6XVUL6T40</t>
  </si>
  <si>
    <t>P20100-K21 HPE 6.4TB NVMe PERF MU SFF U.3 SCN SSD/KCM6XVUL6T40</t>
  </si>
  <si>
    <t>P20023-K21 HPE 15.36TB NVMe PERF RI SFF SCN U.3 SSD/KCM6XRUL15T3</t>
  </si>
  <si>
    <t>P20098-K21 HPE 3.2TB NVMe PERF MU SFF U.3 SCN SSD/KCM6XVUL3T20</t>
  </si>
  <si>
    <t>P20023-B21 HPE 15.36TB NVMe PERF RI SFF SCN U.3 SSD/KCM6XRUL15T3</t>
  </si>
  <si>
    <t>P20009-B21 HPE 3.84TB NVMe PERF RI SFF SC U.3 SSD/KCM6XRUL3T84</t>
  </si>
  <si>
    <t>P20019-B21 HPE 3.84TB NVMe PERF RI SFF SCN U.3 SSD/KCM6XRUL3T84</t>
  </si>
  <si>
    <t>P20009-H21 HPE 3.84TB NVMe PERF RI SFF SC U.3 SSD/KCM6XRUL3T84</t>
  </si>
  <si>
    <t>P20019-H21 HPE 3.84TB NVMe PERF RI SFF SCN U.3 SSD/KCM6XRUL3T84</t>
  </si>
  <si>
    <t>P20019-K21 HPE 3.84TB NVMe PERF RI SFF SCN U.3 SSD/KCM6XRUL3T84</t>
  </si>
  <si>
    <t>P20023-H21 HPE 15.36TB NVMe PERF RI SFF SCN U.3 SSD/KCM6XRUL15T3</t>
  </si>
  <si>
    <t>HPE 375GB NVMe WI SFF BC U.2 SSD</t>
  </si>
  <si>
    <t>HPE 750GB NVMe WI SFF BC U.2 SSD</t>
  </si>
  <si>
    <t>P20005-B21 HPE 960GB NVMe PERF RI SFF SC U.3 SSD/KCM6XRUL960G</t>
  </si>
  <si>
    <t>P20005-H21 HPE 960GB NVMe PERF RI SFF SC U.3 SSD/KCM6XRUL960G</t>
  </si>
  <si>
    <t>P20015-B21 HPE 960GB NVMe PERF RI SFF SCN U.3 SSD/KCM6XRUL960G</t>
  </si>
  <si>
    <t>P20015-H21 HPE 960GB NVMe PERF RI SFF SCN U.3 SSD/KCM6XRUL960G</t>
  </si>
  <si>
    <t>P20015-K21 HPE 960GB NVMe PERF RI SFF SCN U.3 SSD/KCM6XRUL960G</t>
  </si>
  <si>
    <t>P20084-H21 HPE 800GB NVMe PERF MU SFF U.3 SCN SSD/KCM6XVUL800G</t>
  </si>
  <si>
    <t>P20007-B21 HPE 1.92TB NVMe PERF RI SFF SC U.3 SSD/KCM6XRUL1T92</t>
  </si>
  <si>
    <t>P20007-H21 HPE 1.92TB NVMe PERF RI SFF SC U.3 SSD/KCM6XRUL1T92</t>
  </si>
  <si>
    <t>P20017-B21 HPE 1.92TB NVMe PERF RI SFF SCN U.3 SSD/KCM6XRUL1T92</t>
  </si>
  <si>
    <t>P20017-H21 HPE 1.92TB NVMe PERF RI SFF SCN U.3 SSD/KCM6XRUL1T92</t>
  </si>
  <si>
    <t>P20017-K21 HPE 1.92TB NVMe PERF RI SFF SCN U.3 SSD/KCM6XRUL1T92</t>
  </si>
  <si>
    <t>P20013-H21 HPE 15.36TB NVMe PERF RI SFF SC U.3 SSD/KCM6XRUL15T3</t>
  </si>
  <si>
    <t>P20092-B21 HPE 12.8TB NVMe PERF MU SFF U.3 SC SSD/KCM6XVUL12T8</t>
  </si>
  <si>
    <t>P20092-H21 HPE 12.8TB NVMe PERF MU SFF U.3 SC SSD/KCM6XVUL12T8</t>
  </si>
  <si>
    <t>P20102-B21 HPE 12.8TB NVMe PERF MU SFF U.3 SCN SSD/KCM6XVUL12T8</t>
  </si>
  <si>
    <t>P20102-H21 HPE 12.8TB NVMe PERF MU SFF U.3 SCN SSD/KCM6XVUL12T8</t>
  </si>
  <si>
    <t>P20102-K21 HPE 12.8TB NVMe PERF MU SFF U.3 SCN SSD/KCM6XVUL12T8</t>
  </si>
  <si>
    <t>P20086-B21 HPE 1.6TB NVMe PERF MU SFF U.3 SC SSD/KCM6XVUL1T60</t>
  </si>
  <si>
    <t>P20086-H21 HPE 1.6TB NVMe PERF MU SFF U.3 SC SSD/KCM6XVUL1T60</t>
  </si>
  <si>
    <t>P20096-B21 HPE 1.6TB NVMe PERF MU SFF U.3 SCN SSD/KCM6XVUL1T60</t>
  </si>
  <si>
    <t>P20096-K21 HPE 1.6TB NVMe PERF MU SFF U.3 SCN SSD/KCM6XVUL1T60</t>
  </si>
  <si>
    <t>P20013-B21 HPE 15.36TB NVMe PERF RI SFF SC U.3 SSD/KCM6XRUL15T3</t>
  </si>
  <si>
    <t>P20096-H21 HPE 1.6TB NVMe PERF MU SFF U.3 SCN SSD/KCM6XVUL1T60</t>
  </si>
  <si>
    <t>HPE 1.6TB NVMe x4 MU SFF SCN DS SSD/MO001600KWUDT</t>
  </si>
  <si>
    <t>HPE 3.2TB NVMe x4 MU SFF SCN DS SSD/MO003200KWUDU</t>
  </si>
  <si>
    <t>HPE 6.4TB NVMe x4 MU SFF SCN DS SSD/MO006400KWUDV</t>
  </si>
  <si>
    <t>HPE 960GB NVMe x4 RI SFF SCN DS SSD/VO000960KWVBR</t>
  </si>
  <si>
    <t>HPE 1.92TB NVMe x4 RI SFF SCN DS SSD/VO001920KWVBT</t>
  </si>
  <si>
    <t>HPE 3.84TB NVMe x4 RI SFF SCN DS SSD/VO003840KWVBU</t>
  </si>
  <si>
    <t>HPE 960GB NVMe x4 RI SFF SCN DS SSD/VO000960KWUEA</t>
  </si>
  <si>
    <t>HPE 1.92TB NVMe x4 RI SFF SCN DS SSD/VO001920KWUEB</t>
  </si>
  <si>
    <t>HPE 3.84TB NVMe x4 RI SFF SCN DS SSD/VO003840KWUEC</t>
  </si>
  <si>
    <t>HPE 7.68TB NVMe x4 RI SFF SCN DS SSD/VO007680KWUED</t>
  </si>
  <si>
    <t>HPE 15.36TB NVMe x4 RI SFF SCN DS SSD/VO015360KWUEE</t>
  </si>
  <si>
    <t>HPE 800GB NVMe x4 MU SFF SCN DS SSD/MO000800KWUDR</t>
  </si>
  <si>
    <t>HPE 7.68TB NVMe MAIN RI SFF SCN U.3 SSD/KCD6XLUL7T68</t>
  </si>
  <si>
    <t>HPE 7.68TB NVMe MAIN RI SFF SC U.3 SSD/KCD6XLUL7T68</t>
  </si>
  <si>
    <t>HPE 800GB NVMe MAIN MU SFF SC U.3 SSD/KCD6XVUL800G</t>
  </si>
  <si>
    <t>HPE 800GB NVMe MAIN MU SFF SCN U.3 SSD/KCD6XVUL800G</t>
  </si>
  <si>
    <t>HPE 1.6TB NVMe MAIN MU SFF SC U.3 SSD/KCD6XVUL1T60</t>
  </si>
  <si>
    <t>HPE 1.6TB NVMe MAIN MU SFF SCN U.3 SSD/KCD6XVUL1T60</t>
  </si>
  <si>
    <t>HPE 3.2TB NVMe MAIN MU SFF SC U.3 SSD/KCD6XVUL3T20</t>
  </si>
  <si>
    <t>HPE 3.2TB NVMe MAIN MU SFF SCN U.3 SSD/KCD6XVUL3T20</t>
  </si>
  <si>
    <t>HPE 6.4TB NVMe MAIN MU SFF SC U.3 SSD/KCD6XVUL6T40</t>
  </si>
  <si>
    <t>HPE 6.4TB NVMe MAIN MU SFF SCN U.3 SSD/KCD6XVUL6T40</t>
  </si>
  <si>
    <t>HPE 960GB NVMe PERF RI SFF SC U.3 SSD/KCM6XRUL960G</t>
  </si>
  <si>
    <t>HPE 960GB NVMe PERF RI SFF SCN U.3 SSD/KCM6XRUL960G</t>
  </si>
  <si>
    <t>HPE 1.92TB NVMe PERF RI SFF SC U.3 SSD/KCM6XRUL1T92</t>
  </si>
  <si>
    <t>HPE 1.92TB NVMe PERF RI SFF SCN U.3 SSD/KCM6XRUL1T92</t>
  </si>
  <si>
    <t>HPE 3.84TB NVMe PERF RI SFF SC U.3 SSD/KCM6XRUL3T84</t>
  </si>
  <si>
    <t>HPE 3.84TB NVMe PERF RI SFF SCN U.3 SSD/KCM6XRUL3T84</t>
  </si>
  <si>
    <t>HPE 3.2TB NVMe PERF MU SFF U.3 SC SSD/KCM6XVUL3T20</t>
  </si>
  <si>
    <t>HPE 3.2TB NVMe PERF MU SFF U.3 SCN SSD/KCM6XVUL3T20</t>
  </si>
  <si>
    <t>HPE 6.4TB NVMe PERF MU SFF U.3 SC SSD/KCM6XVUL6T40</t>
  </si>
  <si>
    <t>HPE 6.4TB NVMe PERF MU SFF U.3 SCN SSD/KCM6XVUL6T40</t>
  </si>
  <si>
    <t>HPE 7.68TB NVMe PERF RI SFF SC U.3 SSD/KCM6XRUL7T68</t>
  </si>
  <si>
    <t>HPE 7.68TB NVMe PERF RI SFF SCN U.3 SSD/KCM6XVUL7T68</t>
  </si>
  <si>
    <t>HPE 800GB NVMe PERF MU SFF U.3 SC DS SSD/KCM6XVUL800G</t>
  </si>
  <si>
    <t>HPE 800GB NVMe PERF MU SFF U.3 SCN SSD/KCM6XVUL800G</t>
  </si>
  <si>
    <t>HPE 1.6TB NVMe PERF MU SFF U.3 SC SSD/KCM6XVUL1T60</t>
  </si>
  <si>
    <t>HPE 1.6TB NVMe PERF MU SFF U.3 SCN SSD/KCM6XVUL1T60</t>
  </si>
  <si>
    <t>HPE 960GB NVMe MAIN RI SFF SC U.3 SSD/KCD6XLUL960G</t>
  </si>
  <si>
    <t>HPE 960GB NVMe MAIN RI SFF SCN U.3 SSD/KCD6XLUL960G</t>
  </si>
  <si>
    <t>HPE 1.92TB NVMe MAIN RI SFF SC U.3 SSD/KCD6XLUL1T92</t>
  </si>
  <si>
    <t>HPE 1.92TB NVMe MAIN RI SFF SCN U.3 SSD/KCD6XLUL1T92</t>
  </si>
  <si>
    <t>HPE 3.84TB NVMe MAIN RI SFF SC U.3 SSD/KCD6XLUL3T84</t>
  </si>
  <si>
    <t>HPE 3.84TB NVMe MAIN RI SFF SCN U.3 SSD/KCD6XLUL3T84</t>
  </si>
  <si>
    <t>HPE MR416i-p Gen 10+</t>
  </si>
  <si>
    <t>HPE MR416i-a Gen10+</t>
  </si>
  <si>
    <t>HPE MR216i-p Gen10+</t>
  </si>
  <si>
    <t>HPE MR216i-a Gen10+</t>
  </si>
  <si>
    <t>HPE Ethernet 10/25Gb 2-port SFP28 BCM57414 OCP3 Adapter</t>
  </si>
  <si>
    <t>HPE Ethernet 10/25Gb 2-port SFP28 BCM57414 Adapter</t>
  </si>
  <si>
    <t>HPE Ethernet 10Gb 2-port BaseT BCM57416 Adapter</t>
  </si>
  <si>
    <t>HPE Ethernet 10Gb 2-port BaseT BCM57416 OCP3 Adapter</t>
  </si>
  <si>
    <t>HPE Ethernet 10Gb 2-port SFP+ BCM57412 Adapter</t>
  </si>
  <si>
    <t>HPE Ethernet 10Gb 2-port SFP+ BCM57412 OCP3 Adapter</t>
  </si>
  <si>
    <t>Intel E810-CQDA2 Ethernet 100Gb 2-port QSFP28 Adapter for HPE</t>
  </si>
  <si>
    <t>Intel E810-CQDA2 Ethernet 100Gb 2-port QSFP28 OCP3 Adapter for HPE</t>
  </si>
  <si>
    <t>Intel E810-XXVDA2 Ethernet 10/25Gb 2-port SFP28 Adapter for HPE</t>
  </si>
  <si>
    <t>Intel E810-XXVDA2 Ethernet 10/25Gb 2-port SFP28 OCP3 Adapter for HPE</t>
  </si>
  <si>
    <t>Intel E810-2CQDA2 Ethernet 100Gb 2-port QSFP28 Adapter for HPE</t>
  </si>
  <si>
    <t>P40494-B21 HPE 3.2TB NVMe MU SFF BC U.3 CM6 SSD</t>
  </si>
  <si>
    <t>P40494-K21 HPE 3.2TB NVMe MU SFF BC U.3 CM6 SSD</t>
  </si>
  <si>
    <t>P40494-H21 HPE 3.2TB NVMe MU SFF BC U.3 CM6 SSD</t>
  </si>
  <si>
    <t>P40495-B21 HPE 6.4TB NVMe MU SFF BC U.3 CM6 SSD</t>
  </si>
  <si>
    <t>P40495-K21 HPE 6.4TB NVMe MU SFF BC U.3 CM6 SSD</t>
  </si>
  <si>
    <t>P40495-H21 HPE 6.4TB NVMe MU SFF BC U.3 CM6 SSD</t>
  </si>
  <si>
    <t>P40492-B21 HPE 800GB NVMe MU SFF BC U.3 CM6 SSD</t>
  </si>
  <si>
    <t>P40492-K21 HPE 800GB NVMe MU SFF BC U.3 CM6 SSD</t>
  </si>
  <si>
    <t>P40492-H21 HPE 800GB NVMe MU SFF BC U.3 CM6 SSD</t>
  </si>
  <si>
    <t>P40493-B21 HPE 1.6TB NVMe MU SFF BC U.3 CM6 SSD</t>
  </si>
  <si>
    <t>P40493-K21 HPE 1.6TB NVMe MU SFF BC U.3 CM6 SSD</t>
  </si>
  <si>
    <t>P40493-H21 HPE 1.6TB NVMe MU SFF BC U.3 CM6 SSD</t>
  </si>
  <si>
    <t>P40490-B21 HPE 1.92TB NVMe RI SFF BC U.3 CM6 SSD</t>
  </si>
  <si>
    <t>P40490-K21 HPE 1.92TB NVMe RI SFF BC U.3 CM6 SSD</t>
  </si>
  <si>
    <t>P40491-B21 HPE 3.84TB NVMe RI SFF BC U.3 CM6 SSD</t>
  </si>
  <si>
    <t>P40491-K21 HPE 3.84TB NVMe RI SFF BC U.3 CM6 SSD</t>
  </si>
  <si>
    <t>P40483-B21 HPE 1.92TB NVMe RI SFF BC U.3 CD6 SSD</t>
  </si>
  <si>
    <t>P40483-K21 HPE 1.92TB NVMe RI SFF BC U.3 CD6 SSD</t>
  </si>
  <si>
    <t>P40484-B21 HPE 3.84TB NVMe RI SFF BC U.3 CD6 SSD</t>
  </si>
  <si>
    <t>P40484-K21 HPE 3.84TB NVMe RI SFF BC U.3 CD6 SSD</t>
  </si>
  <si>
    <t>P40485-B21 HPE 7.68TB NVMe RI SFF BC U.3 CD6 SSD</t>
  </si>
  <si>
    <t>P40485-K21 HPE 7.68TB NVMe RI SFF BC U.3 CD6 SSD</t>
  </si>
  <si>
    <t>P40488-B21 HPE 3.2TB NVMe MU SFF BC U.3 CD6 SSD</t>
  </si>
  <si>
    <t>P40488-H21 HPE 3.2TB NVMe MU SFF BC U.3 CD6 SSD</t>
  </si>
  <si>
    <t>P40488-K21 HPE 3.2TB NVMe MU SFF BC U.3 CD6 SSD</t>
  </si>
  <si>
    <t>P40489-B21 HPE 6.4TB NVMe MU SFF BC U.3 CD6 SSD</t>
  </si>
  <si>
    <t>P40489-H21 HPE 6.4TB NVMe MU SFF BC U.3 CD6 SSD</t>
  </si>
  <si>
    <t>P40489-K21 HPE 6.4TB NVMe MU SFF BC U.3 CD6 SSD</t>
  </si>
  <si>
    <t>P40486-B21 HPE 800GB NVMe MU SFF BC U.3 CD6 SSD</t>
  </si>
  <si>
    <t>P40486-H21 HPE 800GB NVMe MU SFF BC U.3 CD6 SSD</t>
  </si>
  <si>
    <t>P40486-K21 HPE 800GB NVMe MU SFF BC U.3 CD6 SSD</t>
  </si>
  <si>
    <t>P40487-B21 HPE 1.6TB NVMe MU SFF BC U.3 CD6 SSD</t>
  </si>
  <si>
    <t>P40487-H21 HPE 1.6TB NVMe MU SFF BC U.3 CD6 SSD</t>
  </si>
  <si>
    <t>P40487-K21 HPE 1.6TB NVMe MU SFF BC U.3 CD6 SSD</t>
  </si>
  <si>
    <t>P44568-B21 HPE 1.92TB NVMe RI SC FIPS U.3 CM6 SSD</t>
  </si>
  <si>
    <t>P44568-K21 HPE 1.92TB NVMe RI SC FIPS U.3 CM6 SSD</t>
  </si>
  <si>
    <t>P44568-H21 HPE 1.92TB NVMe RI SC FIPS U.3 CM6 SSD</t>
  </si>
  <si>
    <t>P44572-B21 HPE 1.92TB NVMe RI SCN FIPS U.3 CM6 SSD</t>
  </si>
  <si>
    <t>P44572-H21 HPE 1.92TB NVMe RI SCN FIPS U.3 CM6 SSD</t>
  </si>
  <si>
    <t>P44572-K21 HPE 1.92TB NVMe RI SCN FIPS U.3 CM6 SSD</t>
  </si>
  <si>
    <t>P41404-B21 HPE 1.6TB NVMe MU BC FIPS U.3 CM6 SSD</t>
  </si>
  <si>
    <t>P41404-K21 HPE 1.6TB NVMe MU BC FIPS U.3 CM6 SSD</t>
  </si>
  <si>
    <t>P41405-B21 HPE 3.2TB NVMe MU BC FIPS U.3 CM6 SSD</t>
  </si>
  <si>
    <t>P41405-K21 HPE 3.2TB NVMe MU BC FIPS U.3 CM6 SSD</t>
  </si>
  <si>
    <t>P44584-B21 HPE 1.6TB NVMe MU SC FIPS U.3 CM6 SSD</t>
  </si>
  <si>
    <t>P44584-K21 HPE 1.6TB NVMe MU SC FIPS U.3 CM6 SSD</t>
  </si>
  <si>
    <t>P44584-H21 HPE 1.6TB NVMe MU SC FIPS U.3 CM6 SSD</t>
  </si>
  <si>
    <t>P44592-B21 HPE 3.2TB NVMe MU SC FIPS U.3 CM6 SSD</t>
  </si>
  <si>
    <t>P44592-K21 HPE 3.2TB NVMe MU SC FIPS U.3 CM6 SSD</t>
  </si>
  <si>
    <t>P44592-H21 HPE 3.2TB NVMe MU SC FIPS U.3 CM6 SSD</t>
  </si>
  <si>
    <t>P44596-B21 HPE 3.2TB NVMe MU SCN FIPS U.3 CM6 SSD</t>
  </si>
  <si>
    <t>P44596-H21 HPE 3.2TB NVMe MU SCN FIPS U.3 CM6 SSD</t>
  </si>
  <si>
    <t>P44596-K21 HPE 3.2TB NVMe MU SCN FIPS U.3 CM6 SSD</t>
  </si>
  <si>
    <t>P44576-B21 HPE 3.84TB NVMe RI SC FIPS U.3 CM6 SSD</t>
  </si>
  <si>
    <t>P44576-K21 HPE 3.84TB NVMe RI SC FIPS U.3 CM6 SSD</t>
  </si>
  <si>
    <t>P44580-K21 HPE 3.84TB NVMe RI SCN FIPS U.3 CM6 SSD</t>
  </si>
  <si>
    <t>P44580-B21 HPE 3.84TB NVMe RI SCN FIPS U.3 CM6 SSD</t>
  </si>
  <si>
    <t>P44576-H21 HPE 3.84TB NVMe RI SC FIPS U.3 CM6 SSD</t>
  </si>
  <si>
    <t>P44580-H21 HPE 3.84TB NVMe RI SCN FIPS U.3 CM6 SSD</t>
  </si>
  <si>
    <t>P44588-B21 HPE 1.6TB NVMe MU SCN FIPS U.3 CM6 SSD</t>
  </si>
  <si>
    <t>P44588-H21 HPE 1.6TB NVMe MU SCN FIPS U.3 CM6 SSD</t>
  </si>
  <si>
    <t>P44588-K21 HPE 1.6TB NVMe MU SCN FIPS U.3 CM6 SSD</t>
  </si>
  <si>
    <t>P41402-B21 HPE 1.92TB NVMe RI BC FIPS U.3 CM6 SSD</t>
  </si>
  <si>
    <t>P41402-K21 HPE 1.92TB NVMe RI BC FIPS U.3 CM6 SSD</t>
  </si>
  <si>
    <t>P41403-B21 HPE 3.84TB NVMe RI BC FIPS U.3 CM6 SSD</t>
  </si>
  <si>
    <t>P41403-K21 HPE 3.84TB NVMe RI BC FIPS U.3 CM6 SSD</t>
  </si>
  <si>
    <t>P47844-B21 HPE 960GB NVMe RI SFF SC U.3ST MV SSD</t>
  </si>
  <si>
    <t>P47844-K21 HPE 960GB NVMe RI SFF SC U.3ST MV SSD</t>
  </si>
  <si>
    <t>P47845-B21 HPE 1.92TB NVMe RI SFF BC U.3ST MV SSD</t>
  </si>
  <si>
    <t>P47845-K21 HPE 1.92TB NVMe RI SFF BC U.3ST MV SSD</t>
  </si>
  <si>
    <t>P47841-B21 HPE 1.92TB NVMe RI SFF SC U.3ST MV SSD</t>
  </si>
  <si>
    <t>P47841-H21 HPE 1.92TB NVMe RI SFF SC U.3ST MV SSD</t>
  </si>
  <si>
    <t>P47842-B21 HPE 3.84TB NVMe RI SFF SC U.3ST MV SSD</t>
  </si>
  <si>
    <t>P47842-H21 HPE 3.84TB NVMe RI SFF SC U.3ST MV SSD</t>
  </si>
  <si>
    <t>P47843-B21 HPE 7.68TB NVMe RI SFF SC U.3ST MV SSD</t>
  </si>
  <si>
    <t>P47843-H21 HPE 7.68TB NVMe RI SFF SC U.3ST MV SSD</t>
  </si>
  <si>
    <t>P47824-B21 HPE 3.84TB NVMe RI SFF SCN U.2 MV SSD</t>
  </si>
  <si>
    <t>P47824-H21 HPE 3.84TB NVMe RI SFF SCN U.2 MV SSD</t>
  </si>
  <si>
    <t>P47824-K21 HPE 3.84TB NVMe RI SFF SCN U.2 MV SSD</t>
  </si>
  <si>
    <t>P47825-B21 HPE 7.68TB NVMe RI SFF SCN U.2 MV SSD</t>
  </si>
  <si>
    <t>P47825-H21 HPE 7.68TB NVMe RI SFF SCN U.2 MV SSD</t>
  </si>
  <si>
    <t>P47825-K21 HPE 7.68TB NVMe RI SFF SCN U.2 MV SSD</t>
  </si>
  <si>
    <t>P47822-B21 HPE 6.4TB NVMe MU SFF SCN U.2 MV SSD</t>
  </si>
  <si>
    <t>P47822-H21 HPE 6.4TB NVMe MU SFF SCN U.2 MV SSD</t>
  </si>
  <si>
    <t>P47822-K21 HPE 6.4TB NVMe MU SFF SCN U.2 MV SSD</t>
  </si>
  <si>
    <t>P47823-B21 HPE 1.92TB NVMe RI SFF SCN U.2 MV SSD</t>
  </si>
  <si>
    <t>P47823-H21 HPE 1.92TB NVMe RI SFF SCN U.2 MV SSD</t>
  </si>
  <si>
    <t>P47823-K21 HPE 1.92TB NVMe RI SFF SCN U.2 MV SSD</t>
  </si>
  <si>
    <t>P47839-B21 HPE 3.2TB NVMe MU SFF BC U.3ST MV SSD</t>
  </si>
  <si>
    <t>P47846-B21 HPE 3.84TB NVMe RI SFF BC U.3ST MV SSD</t>
  </si>
  <si>
    <t>P47839-H21 HPE 3.2TB NVMe MU SFF BC U.3ST MV SSD</t>
  </si>
  <si>
    <t>P47839-K21 HPE 3.2TB NVMe MU SFF BC U.3ST MV SSD</t>
  </si>
  <si>
    <t>P47840-B21 HPE 6.4TB NVMe MU SFF BC U.3ST MV SSD</t>
  </si>
  <si>
    <t>P47846-K21 HPE 3.84TB NVMe RI SFF BC U.3ST MV SSD</t>
  </si>
  <si>
    <t>P47847-B21 HPE 7.68TB NVMe RI SFF BC U.3ST MV SSD</t>
  </si>
  <si>
    <t>P47847-K21 HPE 7.68TB NVMe RI SFF BC U.3ST MV SSD</t>
  </si>
  <si>
    <t>P47840-H21 HPE 6.4TB NVMe MU SFF BC U.3ST MV SSD</t>
  </si>
  <si>
    <t>P47840-K21 HPE 6.4TB NVMe MU SFF BC U.3ST MV SSD</t>
  </si>
  <si>
    <t>P47834-B21 HPE 1.6TB NVMe MU SFF SC U.3ST MV SSD</t>
  </si>
  <si>
    <t>P47834-H21 HPE 1.6TB NVMe MU SFF SC U.3ST MV SSD</t>
  </si>
  <si>
    <t>P47835-B21 HPE 3.2TB NVMe MU SFF SC U.3ST MV SSD</t>
  </si>
  <si>
    <t>P47835-H21 HPE 3.2TB NVMe MU SFF SC U.3ST MV SSD</t>
  </si>
  <si>
    <t>P47836-B21 HPE 6.4TB NVMe MU SFF SC U.3ST MV SSD</t>
  </si>
  <si>
    <t>P47836-H21 HPE 6.4TB NVMe MU SFF SC U.3ST MV SSD</t>
  </si>
  <si>
    <t>P47820-B21 HPE 1.6TB NVMe MU SFF SCN U.2 MV SSD</t>
  </si>
  <si>
    <t>P47820-H21 HPE 1.6TB NVMe MU SFF SCN U.2 MV SSD</t>
  </si>
  <si>
    <t>P47820-K21 HPE 1.6TB NVMe MU SFF SCN U.2 MV SSD</t>
  </si>
  <si>
    <t>P47837-B21 HPE 800GB NVMe MU SFF BC U.3ST MV SSD</t>
  </si>
  <si>
    <t>P47821-B21 HPE 3.2TB NVMe MU SFF SCN U.2 MV SSD</t>
  </si>
  <si>
    <t>P47821-H21 HPE 3.2TB NVMe MU SFF SCN U.2 MV SSD</t>
  </si>
  <si>
    <t>P47821-K21 HPE 3.2TB NVMe MU SFF SCN U.2 MV SSD</t>
  </si>
  <si>
    <t>P47837-H21 HPE 800GB NVMe MU SFF BC U.3ST MV SSD</t>
  </si>
  <si>
    <t>P47837-K21 HPE 800GB NVMe MU SFF BC U.3ST MV SSD</t>
  </si>
  <si>
    <t>P47838-B21 HPE 1.6TB NVMe MU SFF BC U.3ST MV SSD</t>
  </si>
  <si>
    <t>P47838-H21 HPE 1.6TB NVMe MU SFF BC U.3ST MV SSD</t>
  </si>
  <si>
    <t>P47838-K21 HPE 1.6TB NVMe MU SFF BC U.3ST MV SSD</t>
  </si>
  <si>
    <t>Mellanox MCX631102AS-ADAT Ethernet 10/25Gb 2-port SFP28 Adapter for HPE</t>
  </si>
  <si>
    <t>Mellanox MCX631432AS-ADAI Ethernet 10/25Gb 2-port SFP28 OCP3 Adapter for HPE</t>
  </si>
  <si>
    <t>HPE NV60100M 100Gb 2-port Storage Offload Adapter</t>
  </si>
  <si>
    <t>P29161-B21 HPE 960GB NVMe RI SFF BC U.3 PE8010 SSD</t>
  </si>
  <si>
    <t>P29161-K21 HPE 960GB NVMe RI SFF BC U.3 PE8010 SSD</t>
  </si>
  <si>
    <t>P47844-B21 HPE 960GB NVMe RI SFF BC U.3ST MV SSD</t>
  </si>
  <si>
    <t>P47844-K21 HPE 960GB NVMe RI SFF BC U.3ST MV SSD</t>
  </si>
  <si>
    <t>P31185-B21 HPE 1.92TB NVMe RI BC U.3 PE8010 SSD</t>
  </si>
  <si>
    <t>P31185-K21 HPE 1.92TB NVMe RI BC U.3 PE8010 SSD</t>
  </si>
  <si>
    <t>PE47825-K21 HPE 7.68TB NVMe RI SFF SCN U.2 MV SSD</t>
  </si>
  <si>
    <t>P29166-B21 HPE 800GB NVMe MU SFF BC U.3 PE8030 SSD</t>
  </si>
  <si>
    <t>P29166-K21 HPE 800GB NVMe MU SFF BC U.3 PE8030 SSD</t>
  </si>
  <si>
    <t>PE47843-B21 HPE 7.68TB NVMe RI SFF SC U.3ST MV SSD</t>
  </si>
  <si>
    <t>PE47843-H21 HPE 7.68TB NVMe RI SFF SC U.3ST MV SSD</t>
  </si>
  <si>
    <t>PE47847-B21 HPE 7.68TB NVMe RI SFF BC U.3ST MV SSD</t>
  </si>
  <si>
    <t>PE47847-K21 HPE 7.68TB NVMe RI SFF BC U.3ST MV SSD</t>
  </si>
  <si>
    <t>PE47825-B21 HPE 7.68TB NVMe RI SFF SCN U.2 MV SSD</t>
  </si>
  <si>
    <t>PE47825-H21 HPE 7.68TB NVMe RI SFF SCN U.2 MV SSD</t>
  </si>
  <si>
    <t>P47841-h21 HPE 1.92TB NVMe RI SFF SC U.3ST MV SSD</t>
  </si>
  <si>
    <t>P31187-B21 HPE 3.84TB NVMe RI BC U.3 PE8010 SSD</t>
  </si>
  <si>
    <t>P31187-K21 HPE 3.84TB NVMe RI BC U.3 PE8010 SSD</t>
  </si>
  <si>
    <t>P4846-B21 HPE 3.84TB NVMe RI SFF BC U.3ST MV SSD</t>
  </si>
  <si>
    <t>P31191-B21 HPE 1.6TB NVMe MU SFF BC U.3 PE8030 SSD</t>
  </si>
  <si>
    <t>P31191-K21 HPE 1.6TB NVMe MU SFF BC U.3 PE8030 SSD</t>
  </si>
  <si>
    <t>P47837-B21 HPE 1.6TB NVMe MU SFF BC U.3ST MV SSD</t>
  </si>
  <si>
    <t>P47837-H21 HPE 1.6TB NVMe MU SFF BC U.3ST MV SSD</t>
  </si>
  <si>
    <t>P4846-K21 HPE 3.84TB NVMe RI SFF BC U.3ST MV SSD</t>
  </si>
  <si>
    <t>P31189-B21 HPE 7.68TB NVMe RI BC U.3 PE8010 SSD</t>
  </si>
  <si>
    <t>P31189-K21 HPE 7.68TB NVMe RI BC U.3 PE8010 SSD</t>
  </si>
  <si>
    <t>P47837-K21 HPE 1.6TB NVMe MU SFF BC U.3ST MV SSD</t>
  </si>
  <si>
    <t>P31193-B21 HPE 3.2TB NVMe MU SFF BC U.3 PE8030 SSD</t>
  </si>
  <si>
    <t>P31193-K21 HPE 3.2TB NVMe MU SFF BC U.3 PE8030 SSD</t>
  </si>
  <si>
    <t>P31195-B21 HPE 6.4TB NVMe MU SFF BC U.3 PE8030 SSD</t>
  </si>
  <si>
    <t>P31195-K21 HPE 6.4TB NVMe MU SFF BC U.3 PE8030 SSD</t>
  </si>
  <si>
    <t>HPE 400GB NVMe WI U.2 SSD</t>
  </si>
  <si>
    <t>HPE 800GB NVMe WI U.2 SSD</t>
  </si>
  <si>
    <t>Intel E810-XXVDA4 Ethernet 10/25Gb 4-port SFP28 Adapter for HPE</t>
  </si>
  <si>
    <t>Intel E810-XXVDA4 Ethernet 10/25Gb 4-port SFP28 OCP3 Adapter for HPE</t>
  </si>
  <si>
    <t>HPE EL 960GB NVMe MU M.2 22110 PM9A3 SSD</t>
  </si>
  <si>
    <t>HPE EL 1.92TB NVMe MU M.2 22110 PM9A3 SSD</t>
  </si>
  <si>
    <t>HPE EL 3.84TB NVMe MU M.2 22110 PM9A3 SSD</t>
  </si>
  <si>
    <t>Intel I350-T4 Ethernet 1Gb 4-port BASE-T OCP3 Adapter for HPE</t>
  </si>
  <si>
    <t>Intel I350-T4 Ethernet 1Gb 4-port BASE-T Adapter for HPE</t>
  </si>
  <si>
    <t>Intel X710-DA2 Ethernet 10Gb 2-port SFP+ Adapter for HPE</t>
  </si>
  <si>
    <t>Intel X710-DA2 Ethernet 10Gb 2-port SFP+ OCP3 Adapter for HPE</t>
  </si>
  <si>
    <t>DRV
  960GB NVMe RI SFF PE8110 SSD-SKH
  VO000960KXPRU</t>
  </si>
  <si>
    <t>DRV
  1.92TB NVMe RI SFF PE8110 SSD-SKH
  VO001920KXPTN</t>
  </si>
  <si>
    <t>DRV
  3.84TB NVMe RI SFF PE8110 SSD-SKH
  VO003840KXPTP</t>
  </si>
  <si>
    <t>DRV
  7.68TB NVMe RI SFF PE8110 SSD-SKH
  VO007680KXPTQ</t>
  </si>
  <si>
    <t>DRV
  800GB NVMe MU SFF PE8130 SSD-SKH
  MO000800KXPRV</t>
  </si>
  <si>
    <t>DRV
  1.6TB NVMe MU SFF PE8130 SSD-SKH
  MO001600KXPTR</t>
  </si>
  <si>
    <t>DRV
  3.2TB NVMe MU SFF PE8130 SSD-SKH
  MO003200KXPTT</t>
  </si>
  <si>
    <t>DRV
  6.4TB NVMe MU SFF PE8130 SSD-SKH
  MO006400KXPTU</t>
  </si>
  <si>
    <t>HPE 3154-8e RAID Controller</t>
  </si>
  <si>
    <t>HPE 3162-8i/e Encryption RAID Controller</t>
  </si>
  <si>
    <t>HPE 3154-16i 12G SAS PCIe3 RAID Controller</t>
  </si>
  <si>
    <t>HPE 3154-24i 12G SAS PCIe3 RAID Controller</t>
  </si>
  <si>
    <t>HPE 3258p-32i/e 24G Tri-Mode PCIe4 RAID</t>
  </si>
  <si>
    <t>P50225-B21;P50225-H21;P50225-K21 HPE 1.6TB NVMe MU SCN U.3 PM1735a SSD</t>
  </si>
  <si>
    <t>P50226-B21;P50226-H21;P50226-K21 HPE 1.6TB NVMe MU SFF SC U.3 PM1735a SSD</t>
  </si>
  <si>
    <t>P50227-B21;P50227-H21;P50227-K21 HPE 1.6TB NVMe MU SFF BC U.3 PM1735a SSD</t>
  </si>
  <si>
    <t>P50228-B21;P50228-H21;P50228-K21 HPE 3.2TB NVMe MU SCN U.3 PM1735a SSD</t>
  </si>
  <si>
    <t>P50229-B21;P50229-H21;P50229-K21 HPE 3.2TB NVMe MU SFF SC U.3 PM1735a SSD</t>
  </si>
  <si>
    <t>P50230-B21;P50230-H21;P50230-K21 HPE 3.2TB NVMe MU SFF BC U.3 PM1735a SSD</t>
  </si>
  <si>
    <t>P50214-B21;P50214-H21;P50214-K21 HPE 1.92TB NVMe RI SCN U.3 PM1733a SSD</t>
  </si>
  <si>
    <t>P50215-B21;P50215-H21;P50215-K21 HPE 1.92TB NVMe RI SC U.3 PM1733a SSD</t>
  </si>
  <si>
    <t>P50216-B21;P50216-H21;P50216-K21 HPE 1.92TB NVMe RI BC U.3 PM1733a SSD</t>
  </si>
  <si>
    <t>P50217-B21;P50217-H21;P50217-K21 HPE 3.84TB NVMe RI SCN U.3 PM1733a SSD</t>
  </si>
  <si>
    <t>P50218-B21;P50218-H21;P50218-K21 HPE 3.84TB NVMe RI SC U.3 PM1733a SSD</t>
  </si>
  <si>
    <t>P50219-B21;P50219-H21;P50219-K21 HPE 3.84TB NVMe RI BC U.3 PM1733a SSD</t>
  </si>
  <si>
    <t>P50231-B21;P50231-H21;P50231-K21 HPE 6.4TB NVMe MU SCN U.3 PM1735a SSD</t>
  </si>
  <si>
    <t>P50232-B21;P50232-H21;P50232-K21 HPE 6.4TB NVMe MU SFF SC U.3 PM1735a SSD</t>
  </si>
  <si>
    <t>P50233-B21;P50233-H21;P50233-K21 HPE 6.4TB NVMe MU SFF BC U.3 PM1735a SSD</t>
  </si>
  <si>
    <t>P50220-B21;P50220-H21;P50220-K21 HPE 7.68TB NVMe RI SCN U.3 PM1733a SSD</t>
  </si>
  <si>
    <t>P50221-B21;P50221-H21;P50221-K21 HPE 7.68TB NVMe RI SC U.3 PM1733a SSD</t>
  </si>
  <si>
    <t>P50222-B21;P50222-H21;P50222-K21 HPE 7.68TB NVMe RI BC U.3 PM1733a SSD</t>
  </si>
  <si>
    <t>P50223-B21;P50223-H21;P50223-K21 HPE 15.36TB NVMe RI SC U.3 PM1733a SSD</t>
  </si>
  <si>
    <t>P50224-B21;P50224-H21;P50224-K21 HPE 15.36TB NVMe RI BC U.3 PM1733a SSD</t>
  </si>
  <si>
    <t>P40513-B21; P40513-H21; P40513-K21 HPE 480GB NVMe RI M.2 22110 MV SSD</t>
  </si>
  <si>
    <t>HPE 1.92TB NVMe RI U.2 P5520 SSD</t>
  </si>
  <si>
    <t>HPE 3.84TB NVMe RI U.2 P5520 SSD</t>
  </si>
  <si>
    <t>HPE 7.68TB NVMe RI U.2 P5520 SSD</t>
  </si>
  <si>
    <t>HPE 1.6TB NVMe MU U.2 P5620 SSD</t>
  </si>
  <si>
    <t>HPE 3.2TB NVMe MU U.2 P5620 SSD</t>
  </si>
  <si>
    <t>HPE 6.4TB NVMe MU U.2 P5620 SSD</t>
  </si>
  <si>
    <t>P47844-B21 ; P47844-K21 HPE 960GB NVMe RI SFF BC U.3 Static MV SSD</t>
  </si>
  <si>
    <t>P47845-B21 ; P47845-K21 HPE 1.92TB NVMe RI SFF BC U.3 Static MV SSD</t>
  </si>
  <si>
    <t>P47841-B21 ; P47841-H21 HPE 1.92TB NVMe RI SFF SC U.3 ST MV SSD SSD</t>
  </si>
  <si>
    <t>P47846-B21 ; P47846-K21 HPE 3.84TB NVMe RI SFF BC U.3 Static MV SSD</t>
  </si>
  <si>
    <t>P47842-B21 
 P47842-H21 HPE 3.84TB NVMe RI SFF SC U.3 ST MV SSD</t>
  </si>
  <si>
    <t>P47847-B21 
 P47847-K21 HPE 7.68TB NVMe RI SFF BC U.3 Static MV SSD</t>
  </si>
  <si>
    <t>P47843-B21; P47843-H21 HPE 7.68TB NVMe RI SFF SC U.3 ST MV SSD</t>
  </si>
  <si>
    <t>Intel E810-XXVDA4 Ethernet 10/25Gb 4-port SFP28 MCLK Adapter for HPE</t>
  </si>
  <si>
    <t>HPE SN1700E 64Gb 2P FC HBA</t>
  </si>
  <si>
    <t>HPE SN1700E 64Gb 1P FC HBA</t>
  </si>
  <si>
    <t>Broadcom BCM5719 Ethernet 1Gb 4-port Base-T Adapter for HPE</t>
  </si>
  <si>
    <t>Broadcom BCM5719 Ethernet 1Gb 4-port Base-T OCP3 Adapter for HPE</t>
  </si>
  <si>
    <t>Broadcom BCM5720 Ethernet 1Gb 2-port BASE-T LOM Adapter for HPE</t>
  </si>
  <si>
    <t>HPE SR416ie-m Gen11</t>
  </si>
  <si>
    <t>HPE SR932i-p Gen11</t>
  </si>
  <si>
    <t>Pensando DSC25v2 10/25G 2p 32G Spl Card</t>
  </si>
  <si>
    <t>Broadcom BCM57504 Ethernet 10/25Gb 4-port SFP28 Adapter for HPE</t>
  </si>
  <si>
    <t>Broadcom BCM57504 Ethernet 10/25Gb 4-port SFP28 OCP3 Adapter for HPE</t>
  </si>
  <si>
    <t>HPE 1.92TB NVMe Main RI E3S EC1 CD7 SSD/P56585-B21
  P56585-H21
  P56585-K21</t>
  </si>
  <si>
    <t>HPE 3.84TB NVMe Main RI E3S EC1 CD7 SSD/P56586-B21
  P56586-H21
 P56586-K21</t>
  </si>
  <si>
    <t>HPE 7.68TB NVMe Main RI E3S EC1 CD7 SSD/P56587-B21
  P56587-H21
  P56587-K21</t>
  </si>
  <si>
    <t>HPE MR416i-o Gen11</t>
  </si>
  <si>
    <t>HPE MR416i-p Gen11</t>
  </si>
  <si>
    <t>HPE MR408i-o Gen11</t>
  </si>
  <si>
    <t>HPE MR216i-p Gen11</t>
  </si>
  <si>
    <t>HPE MR216i-o Gen11</t>
  </si>
  <si>
    <t>HPE SN1700Q 64Gb Single Port Fibre Channel Host Bus Adapter</t>
  </si>
  <si>
    <t>HPE SN1700Q 64Gb Dual Port Fibre Channel Host Bus Adapter</t>
  </si>
  <si>
    <t>P57799-B21 HPE 3.84TB NVMe RI E3S EC1 PM1743 SSD</t>
  </si>
  <si>
    <t>P57803-B21 HPE 7.68TB NVMe RI E3S EC1 PM1743 SSD</t>
  </si>
  <si>
    <t>P57807-B21 HPE 15.36TB NVMe RI E3S EC1 PM1743 SSD</t>
  </si>
  <si>
    <t>HPE Ethernet 1Gb 2-port 332i Adapter</t>
  </si>
  <si>
    <t>Broadcom BCM5719 Ethernet 1Gb 4-port Base-T LOM Adapter for HPE</t>
  </si>
  <si>
    <t>HPE NS204i-u Boot Controller</t>
  </si>
  <si>
    <t>HPE SY480 Gen10 M.2 NGFF Adapter Board</t>
  </si>
  <si>
    <t>VO001920KYFFE</t>
  </si>
  <si>
    <t>VO003840KYFEP</t>
  </si>
  <si>
    <t>VO007680KYFEQ</t>
  </si>
  <si>
    <t>VO015360KYFER</t>
  </si>
  <si>
    <t>MO001600KYFFF</t>
  </si>
  <si>
    <t>MO003200KYFET</t>
  </si>
  <si>
    <t>VV003840KYFFH</t>
  </si>
  <si>
    <t>VV007680KYFFL</t>
  </si>
  <si>
    <t>VV015360KYFEV</t>
  </si>
  <si>
    <t>MV003200KYFFK</t>
  </si>
  <si>
    <t>MV006400KYFFA</t>
  </si>
  <si>
    <t>MV012800KYFFB</t>
  </si>
  <si>
    <t>MO006400KYFEU</t>
  </si>
  <si>
    <t>HPE 3.2TB NVMe MU E3S EC1 CM7 SSD / P61191-B21
 P61191-H21
 P61191-K21</t>
  </si>
  <si>
    <t>HPE 6.4TB NVMe MU E3S EC1 CM7 SSD / P61195-B21
 P61195-H21
 P61195-K21</t>
  </si>
  <si>
    <t>HPE 3.84TB NVMe RI E3S EC1 CM7 SSD / P61179-B21
 P61179-H21
 P61179-K21</t>
  </si>
  <si>
    <t>HPE 7.68TB NVMe RI E3S EC1 CM7 SSD / P61183-B21
 P61183-H21
 P61183-K21</t>
  </si>
  <si>
    <t>HPE 15.36TB NVMe RI E3S EC1 CM7 SSD / P61187-B21
 P61187-H21
 P61187-K21</t>
  </si>
  <si>
    <t>HPE InfiniBand NDR200/Ethernet 1-port OSFP PCIe5 x16 MCX75310AAS-HEAT Adapter</t>
  </si>
  <si>
    <t>HPE InfiniBand NDR/Ethernet 1-port OSFP PCIe5 x16 MCX75310AAS-NEAT Adapter</t>
  </si>
  <si>
    <t>HPE InfiniBand NDR200/Ethernet 200GbE 2-port QSFP112 PCIe5 x16 MCX755106AC-HEAT Adapter</t>
  </si>
  <si>
    <t>HPE 800G NVMe MU SFF BC U.3ST V2 MV SSD</t>
  </si>
  <si>
    <t>HPE 960G NVMe RI SFF BC U.3ST V2 MV SSD</t>
  </si>
  <si>
    <t>HPE 1.92T NVMe RI SFF BC U.3ST V2 MV SSD</t>
  </si>
  <si>
    <t>HPE 3.84T NVMe RI SFF SC U.3ST V2 MV SSD</t>
  </si>
  <si>
    <t>HPE 3.84T NVMe RI SFF BC U.3ST V2 MV SSD</t>
  </si>
  <si>
    <t>HPE 7.68T NVMe RI SFF BC U.3ST V2 MV SSD</t>
  </si>
  <si>
    <t>HPE 1.6T NVMe MU SFF SC U.3ST V2 MV SSD</t>
  </si>
  <si>
    <t>HPE 1.6T NVMe MU SFF BC U.3ST V2 MV SSD</t>
  </si>
  <si>
    <t>HPE 3.2T NVMe MU SFF SC U.3ST V2 MV SSD</t>
  </si>
  <si>
    <t>HPE 3.2T NVMe MU SFF BC U.3ST V2 MV SSD</t>
  </si>
  <si>
    <t>HPE 6.4T NVMe MU SFF BC U.3ST V2 MV SSD</t>
  </si>
  <si>
    <t>HPE 1.6TB NVMe MU SFF BC U.3 CM7 SSD</t>
  </si>
  <si>
    <t>HPE 3.2TB NVMe MU SFF BC U.3 CM7 SSD</t>
  </si>
  <si>
    <t>HPE 6.4TB NVMe MU SFF BC U.3 CM7 SSD</t>
  </si>
  <si>
    <t>HPE 1.6TB NVMe MU BC FIPS U.3 CM7 SSD</t>
  </si>
  <si>
    <t>HPE 1.6TB NVMe MU SC FIPS U.3 CM7 SSD</t>
  </si>
  <si>
    <t>HPE 3.2TB NVMe MU BC FIPS U.3 CM7 SSD</t>
  </si>
  <si>
    <t>HPE 3.2TB NVMe MU SC FIPS U.3 CM7 SSD</t>
  </si>
  <si>
    <t>HPE 6.4TB NVMe MU BC FIPS U.3 CM7 SSD</t>
  </si>
  <si>
    <t>HPE 1.92TB NVMe RI BC FIPS U.3 CM7 SSD</t>
  </si>
  <si>
    <t>HPE 3.84TB NVMe RI BC FIPS U.3 CM7 SSD</t>
  </si>
  <si>
    <t>HPE 7.68TB NVMe RI BC FIPS U.3 CM7 SSD</t>
  </si>
  <si>
    <t>HPE 1.92TB NVMe RI SFF BC U.3 CM7 SSD</t>
  </si>
  <si>
    <t>HPE 3.84TB NVMe RI SFF BC U.3 CM7 SSD</t>
  </si>
  <si>
    <t>HPE 7.68TB NVMe RI SFF BC U.3 CM7 SSD</t>
  </si>
  <si>
    <t>HPE 15.36TB NVMe RI SFF BC U.3 CM7 SSD</t>
  </si>
  <si>
    <t>HPE 1.6TB NVMe MU E3S EC1 CD8P SSD</t>
  </si>
  <si>
    <t>HPE 3.2TB NVMe MU E3S EC1 CD8P SSD</t>
  </si>
  <si>
    <t>HPE 6.4TB NVMe MU E3S EC1 CD8P SSD</t>
  </si>
  <si>
    <t>HPE 1.92TB NVMe RI E3S EC1 CD8P SSD</t>
  </si>
  <si>
    <t>HPE 3.84TB NVMe RI E3S EC1 CD8P SSD</t>
  </si>
  <si>
    <t>HPE 7.68TB NVMe RI E3S EC1 CD8P SSD</t>
  </si>
  <si>
    <t>HPE 15.36TB NVMe RI E3S EC1 CD8P SSD</t>
  </si>
  <si>
    <t>HPE 960G NVMe RI SFF U.3ST V2 MV SSD</t>
  </si>
  <si>
    <t>HPE 1.92T NVMeRI SFF U.3ST V2 MV SSD</t>
  </si>
  <si>
    <t>HPE 3.84T NVMeRISFF U.3ST V2 SSD</t>
  </si>
  <si>
    <t>HPE 7.68T NVMeRISFF U.3ST V2 SSD</t>
  </si>
  <si>
    <t>HPE 15.36TB NVMe RI SFF U.3ST SSD</t>
  </si>
  <si>
    <t>HPE 12.8TB NVMe Main MU CD6 SSD</t>
  </si>
  <si>
    <t>HPE 15.36TB NVMe Main RI CD6 SSD</t>
  </si>
  <si>
    <t>HPE 800G NVMe MU SFF U.3ST V2 MV SSD</t>
  </si>
  <si>
    <t>HPE 1.6T NVMe MU SFF U.3ST V2 MV SSD</t>
  </si>
  <si>
    <t>HPE 3.2T NVMe MU SFF U.3ST V2 MV SSD</t>
  </si>
  <si>
    <t>HPE 6.4T NVMe MU SFF U.3ST V2 MV SSD</t>
  </si>
  <si>
    <t>HPE 1.6TB NVMe MU SFF SCN U.2 P5620 SSD</t>
  </si>
  <si>
    <t>HPE 1.6TB NVMe MU SFF BC U.2 P5620 SSD</t>
  </si>
  <si>
    <t>HPE 3.2TB NVMe MU SFF SCN U.2 P5620 SSD</t>
  </si>
  <si>
    <t>HPE 3.2TB NVMe MU SFF BC U.2 P5620 SSD</t>
  </si>
  <si>
    <t>HPE 6.4TB NVMe MU SFF SCN U.2 P5620 SSD</t>
  </si>
  <si>
    <t>HPE 6.4TB NVMe MU SFF BC U.2 P5620 SSD</t>
  </si>
  <si>
    <t>HPE 1.92TB NVMe RI SCN U.2 P5520 SSD</t>
  </si>
  <si>
    <t>HPE 1.92TB NVMe RI BC U.2 P5520 SSD</t>
  </si>
  <si>
    <t>HPE 3.84TB NVMe RI SCN U.2 P5520 SSD</t>
  </si>
  <si>
    <t>HPE 3.84TB NVMe RI BC U.2 P5520 SSD</t>
  </si>
  <si>
    <t>HPE 7.68TB NVMe RI SCN U.2 P5520 SSD</t>
  </si>
  <si>
    <t>HPE 7.68TB NVMe RI BC U.2 P5520 SSD</t>
  </si>
  <si>
    <t>MO006400KYLHN</t>
  </si>
  <si>
    <t>VO001920KYLEB</t>
  </si>
  <si>
    <t>VO003840KYLHF</t>
  </si>
  <si>
    <t>VO007680KYLHH</t>
  </si>
  <si>
    <t>VO015360KYLHK</t>
  </si>
  <si>
    <t>MO001600KYLEC</t>
  </si>
  <si>
    <t>MO003200KYLHL</t>
  </si>
  <si>
    <t>HPE Data Processing Unit InfiniBand NDR200/Ethernet 200Gb 2-port QSFP112 FHHL B3220 Adapter</t>
  </si>
  <si>
    <t>HPE Data Processing Unit InfiniBand NDR/Ethernet 400Gb 1-port QSFP112 HHHL B3140H Adapter</t>
  </si>
  <si>
    <t>HPE 3.84TB NVMe x4 RI SFF RW DS SSD/VO003840KWUEC</t>
  </si>
  <si>
    <t>HPE 3.2TB NVMe MU E3S EC1 FIPS CM7 SSD</t>
  </si>
  <si>
    <t>HPE 6.4TB NVMe MU E3S EC1 FIPS CM7 SSD</t>
  </si>
  <si>
    <t>HPE 7.68TB NVMe RI E3S EC1 FIPS CM7 SSD</t>
  </si>
  <si>
    <t>HPE 15.36TB NVMe RI SFF BC U.3ST MV SSD</t>
  </si>
  <si>
    <t>VV001920KYNVB</t>
  </si>
  <si>
    <t>VV003840KYNVE</t>
  </si>
  <si>
    <t>VV007680KYNVF</t>
  </si>
  <si>
    <t>VV015300KYNVH</t>
  </si>
  <si>
    <t>MV001600KYNVA</t>
  </si>
  <si>
    <t>MV003200KYNVC</t>
  </si>
  <si>
    <t>MV006400KYNVD</t>
  </si>
  <si>
    <t>VR000480KYXPQ</t>
  </si>
  <si>
    <t>VR000960KYXQA</t>
  </si>
  <si>
    <t>VR001920KYXQB</t>
  </si>
  <si>
    <t>VR000960YYXPR</t>
  </si>
  <si>
    <t>HPE 15.36TB NVMe RI E3S EC1 FIPS CM7 SSD</t>
  </si>
  <si>
    <t>MTFDLBQ3T8THA-1BK1JABHA</t>
  </si>
  <si>
    <t>MTFDLBQ7T6THA-1BK1JABHA</t>
  </si>
  <si>
    <t>MTFDLBQ15T3THA-1BK1JABHA</t>
  </si>
  <si>
    <t>MTFDLBQ3T2THB-1BK1JABHA</t>
  </si>
  <si>
    <t>MTFDLBQ6T4THB-1BK1JABHA</t>
  </si>
  <si>
    <t>MTFDLBQ12T8THB-1BK1JABHA</t>
  </si>
  <si>
    <t>HPE SN1620E2P 32Gb 2p FC HBA</t>
  </si>
  <si>
    <t>HPE SN1720E2P 64Gb 2p FC HBA</t>
  </si>
  <si>
    <t>Broadcom BCM57608 Ethernet 100Gb 2-port QSFP112 Adapter for HPE</t>
  </si>
  <si>
    <t>HPE 800GB NVMe MU BC U.3ST SPDM MV SSD / P81652-B21
  P81651-H21
  P81651-K21</t>
  </si>
  <si>
    <t>HPE 1.6TB NVMe MU BC U.3ST SPDM MV SSD / P81655-B21
  P81654-H21
  P81654-K21</t>
  </si>
  <si>
    <t>HPE 3.2TB NVMe MU BC U.3ST SPDM MV SSD / P81657-B21
  P81656-H21
  P81656-K21</t>
  </si>
  <si>
    <t>HPE 6.4TB NVMe MU BC U.3ST SPDM MV SSD / P81659-B21
  P81658-H21
  P81658-K21</t>
  </si>
  <si>
    <t>HPE 960GB NVMe RI BC U.3ST SPDM MV SSD / P81661-B21
  P81660-H21
  P81660-K21</t>
  </si>
  <si>
    <t>HPE 1.92TB NVMe RI BC U.3ST SPDM MV SSD / P81664-B21
  P81663-H21
  P81663-K21</t>
  </si>
  <si>
    <t>HPE 3.84TB NVMe RI BC U.3ST SPDM MV SSD / P81666-B21
  P81665-H21
  P81665-K21</t>
  </si>
  <si>
    <t>HPE 7.68TB NVMe RI BC U.3ST SPDM MV SSD / P81668-B21
  P81667-H21
  P81667-K21</t>
  </si>
  <si>
    <t>Broadcom BCM57608 Ethernet 100Gb 2-port QSFP112 OCP3 Adapter for HPE</t>
  </si>
  <si>
    <t>HPE 1.92TB NVMe RI E3S EC1 PM9D3a SSD</t>
  </si>
  <si>
    <t>HPE 3.84TB NVMe RI E3S EC1 PM9D3a SSD</t>
  </si>
  <si>
    <t>HPE 7.68TB NVMe RI E3S EC1 PM9D3a SSD</t>
  </si>
  <si>
    <t>HPE Synergy 5331C 32Gb FC HBA</t>
  </si>
  <si>
    <t>HPE MR408i-p Gen11</t>
  </si>
  <si>
    <t>HPE Synergy 6310C 25/50 Gb Ethernet Adapter</t>
  </si>
  <si>
    <t>HPE 15.36TB NVMe RI E3S EC1 PM9D3a SSD</t>
  </si>
  <si>
    <t>HPE Synergy 6310C 25/50 Gb Ethernet Adapter(NPAR)</t>
  </si>
  <si>
    <t>HPE Synergy 6310C 25/50 Gb Ethernet Adapter(NPAR RDMA)</t>
  </si>
  <si>
    <t>HPE 960GB NVMe RI SFF BC U.3ST V2 MV SSD</t>
  </si>
  <si>
    <t>HPE 1.92TB NVMeRI SFF BC U.3ST V2 MV SSD</t>
  </si>
  <si>
    <t>HPE 3.84TB NVMeRI SFF BC U.3ST V2 MV SSD</t>
  </si>
  <si>
    <t>HPE 7.68TB NVMeRI SFF BC U.3ST V2 MV SSD</t>
  </si>
  <si>
    <t>HPE 15.36TB NVMe RI BC U.3ST SPDM MV SSD</t>
  </si>
  <si>
    <t>HPE 15.36TB NVMe RI BC U.3 7500b SSD</t>
  </si>
  <si>
    <t>Intel E610-IT4 Ethernet 1Gb 4-port BASE-T OCP3 Adapter for HPE</t>
  </si>
  <si>
    <t>HPE MR932i-p Gen12</t>
  </si>
  <si>
    <t>HPE 15.36TB NVMe RI BC U.3ST V2 MV SSD</t>
  </si>
  <si>
    <t>HPE 15.36TB NVMe VRO E3S EC1 P5430 SSD</t>
  </si>
  <si>
    <t>HPE 30.72TB NVMe RI SFF BC U.3 CM9 SSD</t>
  </si>
  <si>
    <t>HPE 15.36TB NVMe RI SFF BC U.3 CM9 SSD</t>
  </si>
  <si>
    <t>HPE 7.68TB NVMe RI SFF BC U.3 CM9 SSD</t>
  </si>
  <si>
    <t>HPE 3.84TB NVMe RI SFF BC U.3 CM9 SSD</t>
  </si>
  <si>
    <t>HPE 1.92TB NVMe RI SFF BC U.3 CM9 SSD</t>
  </si>
  <si>
    <t>MTFDLBQ30T7THA-1BK1JABHA</t>
  </si>
  <si>
    <t>HPE Synergy 7330c 64GB FC HBA</t>
  </si>
  <si>
    <t>HPE 7.68TB NVMe RI E3S EC1 SED 7600 SSD</t>
  </si>
  <si>
    <t>HPE 15.36TB NVMe RI E3S EC1 7600 SSD</t>
  </si>
  <si>
    <t>HPE InfiniBand NDR/Ethernet 400Gb 1-port QSFP112 PCIe5 x16 MCX715105AS-WEAT Adapter</t>
  </si>
  <si>
    <t>HPE 30.72TB NVMe RI E3S EC1 CM9 SSD</t>
  </si>
  <si>
    <t>HPE 7.68TB NVMe RI E3S EC1 CM9 SSD</t>
  </si>
  <si>
    <t>HPE 3.84TB NVMe RI E3S EC1 CM9 SSD</t>
  </si>
  <si>
    <t>HPE 15.36TB NVMe RI E3S EC1 CM9 SSD</t>
  </si>
  <si>
    <t>HPE 1.6TB NVMe MU SFF BC U.3 CM9 SSD</t>
  </si>
  <si>
    <t>HPE 3.2TB NVMe MU SFF BC U.3 CM9 SSD</t>
  </si>
  <si>
    <t>HPE 6.4TB NVMe MU SFF BC U.3 CM9 SSD</t>
  </si>
  <si>
    <t>HPE 3.2TB NVMe MU E3S EC1 CM9 SSD</t>
  </si>
  <si>
    <t>HPE 6.4TB NVMe MU E3S EC1 CM9 SSD</t>
  </si>
  <si>
    <t>HPE 12.8TB NVMe MU E3S EC1 CM9 SSD</t>
  </si>
  <si>
    <t>HPE InfiniBand NDR200/Ethernet 200Gb 1-port OSFP PCIe5 x16 MCX75310AAS-HEAT Generic Adapter</t>
  </si>
  <si>
    <t>HPE 1.92TB NVMe RI E3S EC1 SED 7600 SSD</t>
  </si>
  <si>
    <t>HPE 3.84TB NVMe RI E3S EC1 SED 7600 SSD</t>
  </si>
  <si>
    <t>HPE 1.6TB NVMe MU E3S EC1 SED 7600 SSD</t>
  </si>
  <si>
    <t>HPE 3.2TB NVMe MU E3S EC1 SED 7600 SSD</t>
  </si>
  <si>
    <t>HPE 1.92TB NVMe RI E3S EC1 7600 SSD</t>
  </si>
  <si>
    <t>HPE 3.84TB NVMe RI E3S EC1 7600 SSD</t>
  </si>
  <si>
    <t>HPE 7.68TB NVMe RI E3S EC1 7600 SSD</t>
  </si>
  <si>
    <t>HPE 1.6TB NVMe MU E3S EC1 7600 SSD</t>
  </si>
  <si>
    <t>HPE 3.2TB NVMe MU E3S EC1 7600 SSD</t>
  </si>
  <si>
    <t>HPE 6.4TB NVMe MU E3S EC1 7600 SSD</t>
  </si>
  <si>
    <t>HPE 6.4TB NVMe MU BC U.3 PQC CD9P SSD</t>
  </si>
  <si>
    <t>HPE 3.2TB NVMe MU BC U.3 PQC CD9P SSD</t>
  </si>
  <si>
    <t>HPE 1.6TB NVMe MU BC U.3 PQC CD9P SSD</t>
  </si>
  <si>
    <t>HPE 30.72TB NVMe RI BC U.3 PQC CD9P SSD</t>
  </si>
  <si>
    <t>HPE 15.36TB NVMe RI BC U.3 PQC CD9P SSD</t>
  </si>
  <si>
    <t>HPE 7.68TB NVMe RI BC U.3 PQC CD9P SSD</t>
  </si>
  <si>
    <t>HPE 3.84TB NVMe RI BC U.3 PQC CD9P SSD</t>
  </si>
  <si>
    <t>HPE 1.92TB NVMe RI BC U.3 PQC CD9P SSD</t>
  </si>
  <si>
    <t>HPE 6.4TB NVMe MU E3S EC1 CD9P SSD</t>
  </si>
  <si>
    <t>HPE 3.2TB NVMe MU E3S EC1 CD9P SSD</t>
  </si>
  <si>
    <t>HPE 30.72TB NVMe RI E3S EC1 CD9P SSD</t>
  </si>
  <si>
    <t>HPE 1.6TB NVMe MU E3S EC1 CD9P SSD</t>
  </si>
  <si>
    <t>HPE 15.36TB NVMe RI E3S EC1 CD9P SSD</t>
  </si>
  <si>
    <t>HPE 1.92TB NVMe RI E3S EC1 CD9P SSD</t>
  </si>
  <si>
    <t>HPE 3.84TB NVMe RI E3S EC1 CD9P SSD</t>
  </si>
  <si>
    <t>HPE 7.68TB NVMe RI E3S EC1 CD9P SSD</t>
  </si>
  <si>
    <t>HPE 1.6TB NVMe MU E3S EC1 SED CD9P SSD</t>
  </si>
  <si>
    <t>HPE 3.2TB NVMe MU E3S EC1 SED CD9P SSD</t>
  </si>
  <si>
    <t>HPE 3.84TB NVMe RI E3S EC1 SED CD9P SSD</t>
  </si>
  <si>
    <t>HPE 7.68TB NVMe RI E3S EC1 SED CD9P SSD</t>
  </si>
  <si>
    <t>HPE 15.36TB NVMe RI E3S EC1 SED CD9P SSD</t>
  </si>
  <si>
    <t>HPE 3.84TB NVMe RI BC U.3ST PM1753 SSD</t>
  </si>
  <si>
    <t>HPE 7.68TB NVMe RI BC U.3ST PM1753 SSD</t>
  </si>
  <si>
    <t>HPE 15.36TB NVMe RI BC U.3ST PM1753 SSD</t>
  </si>
  <si>
    <t>HPE 3.2TB NVMe MU BC U.3ST PM1755 SSD</t>
  </si>
  <si>
    <t>HPE 6.4TB NVMe MU BC U.3ST PM1755 SSD</t>
  </si>
  <si>
    <t>HPE 3.84TB NVMe RI E3S EC1 PM1753 SSD</t>
  </si>
  <si>
    <t>HPE 7.68TB NVMe RI E3S EC1 PM1753 SSD</t>
  </si>
  <si>
    <t>HPE 15.36TB NVMe RI E3S EC1 PM1753 SSD</t>
  </si>
  <si>
    <t>HPE 3.2TB NVMe MU E3S EC1 PM1755 SSD</t>
  </si>
  <si>
    <t>HPE 6.4TB NVMe MU E3S EC1 PM1755 SSD</t>
  </si>
  <si>
    <t>HGST</t>
  </si>
  <si>
    <t>HGST Ultrastar SN200 Series PCIe SSD HUSMR7680BDP301 (800GB
  2.5-inch
  3DWPD)</t>
  </si>
  <si>
    <t>HGST Ultrastar SN200 Series PCIe SSD HUSMR7696BDP3Y1 (960GB
  2.5-inch
  1DWPD)</t>
  </si>
  <si>
    <t>HGST Ultrastar SN200 Series PCIe SSD HUSMR7616BDP301 (1.6TB
  2.5-inch
  3DWPD)</t>
  </si>
  <si>
    <t>HGST Ultrastar SN200 Series PCIe SSD HUSMR7619BDP3Y1 (1.92TB
  2.5-inch
  1DWPD)</t>
  </si>
  <si>
    <t>HGST Ultrastar SN200 Series PCIe SSD HUSMR7632BDP301 (3.2TB
  2.5-inch
  3DWPD)</t>
  </si>
  <si>
    <t>HGST Ultrastar SN200 Series PCIe SSD HUSMR7638BDP3Y1 (3.84TB
  2.5-inch
  1DWPD)</t>
  </si>
  <si>
    <t>HGST Ultrastar SN200 Series PCIe SSD HUSMR7664BDP301 (6.4TB
  2.5-inch
  3DWPD)</t>
  </si>
  <si>
    <t>HGST Ultrastar SN200 Series PCIe SSD HUSMR7676BDP3Y1 (7.68TB
  2.5-inch
  1DWPD)</t>
  </si>
  <si>
    <t>HGST Ultrastar SN260 Series PCIe SSD HUSMR7616BHP301 (1.6TB
  AIC-HHHL
  3DWPD)</t>
  </si>
  <si>
    <t>HGST Ultrastar SN260 Series PCIe SSD HUSMR7619BHP3Y1 (1.92TB
  AIC-HHHL
  1DWPD)</t>
  </si>
  <si>
    <t>HGST Ultrastar SN260 Series PCIe SSD HUSMR7632BHP301 (3.2TB
  AIC-HHHL
  3DWPD)</t>
  </si>
  <si>
    <t>HGST Ultrastar SN260 Series PCIe SSD HUSMR7638BHP3Y1 (3.84TB
  AIC-HHHL
  1DWPD)</t>
  </si>
  <si>
    <t>HGST Ultrastar SN260 Series PCIe SSD HUSMR7664BHP301 (6.4TB
  AIC-HHHL
  3DWPD)</t>
  </si>
  <si>
    <t>HGST Ultrastar SN260 Series PCIe SSD HUSMR7676BHP3Y1 (7.68TB
  AIC-HHHL
  1DWPD)</t>
  </si>
  <si>
    <t>Hitachi Vantara</t>
  </si>
  <si>
    <t>HPE InfiniBand HDR100/Ethernet 100Gb 2-port MCX653106A-ECAT QSFP56 x16 Adapter(P23666-B21/P23666-H21)</t>
  </si>
  <si>
    <t>HPE InfiniBand NDR/Ethernet 1-port OSFP PCIe5 x16 MCX75310AAS-NEAT Adapter(P45641-B21)</t>
  </si>
  <si>
    <t>Mellanox MCX631102AS-ADAT Ethernet 10/25Gb 2-port SFP28 Adapter</t>
  </si>
  <si>
    <t>Hitachi
 Ltd.</t>
  </si>
  <si>
    <t>OCl14104-U2-HI</t>
  </si>
  <si>
    <t>Ethernet 10Gb 2-port 562FLR-SFP+ Adapter</t>
  </si>
  <si>
    <t>Ethernet 10/25Gb 2-port 640FLR-SFP28 Adapter</t>
  </si>
  <si>
    <t>Smart Array E208i-a SR Gen10 Controller</t>
  </si>
  <si>
    <t>Ethernet 10/25Gb 2-port 640SFP28 Adapter</t>
  </si>
  <si>
    <t>Smart Array E208i-p SR Gen10 Controller</t>
  </si>
  <si>
    <t>Smart Array P408i-a SR Gen10 Controller</t>
  </si>
  <si>
    <t>Smart Array P408i-p SR Gen10 Controller</t>
  </si>
  <si>
    <t>Smart Array P816i-a SR Gen10 Controller</t>
  </si>
  <si>
    <t>Ethernet 10Gb 2-port 562SFP+ Adapter</t>
  </si>
  <si>
    <t>HITACHI SAS 3404 iMR ROMB</t>
  </si>
  <si>
    <t>375GB NVMe x4 WI SFF SCN DS SSD</t>
  </si>
  <si>
    <t>6.4TB NVMe x4 MU SFF SCN DS SSD</t>
  </si>
  <si>
    <t>1.6TB NVMe x4 MU SFF SCN DS SSD</t>
  </si>
  <si>
    <t>3.2TB NVMe x4 MU SFF SCN DS SSD</t>
  </si>
  <si>
    <t>TQ-SNx-P13697-B21 4TB NVMe x4 RI SFF SCN DS SSD</t>
  </si>
  <si>
    <t>TQ-SNx-P13695-B21 2TB NVMe x4 RI SFF SCN DS SSD</t>
  </si>
  <si>
    <t>TQ-SNx-P13701-B21 3.2TB NVMe x4 MU SFF SCN DS SSD</t>
  </si>
  <si>
    <t>TQ-SNx-P13703-B21 6.4TB NVMe x4 MU SFF SCN DS SSD</t>
  </si>
  <si>
    <t>TQ-SNx-P06952-B21 750GB NVMe x4 WI SFF SCN DS SSD</t>
  </si>
  <si>
    <t>TQ-SNx-P13699-B21 1.6TB NVMe x4 MU SFF SCN DS SSD</t>
  </si>
  <si>
    <t>TQxNNC-629135-B22 1Gb 4-port 331FLR Adapter</t>
  </si>
  <si>
    <t>TQxNNC-647594-B21 1Gb 4-port 331T Adapter</t>
  </si>
  <si>
    <t>TQxNNC-817718-B21 Ethernet 10/25Gb 2-port 631SFP28 Adapter</t>
  </si>
  <si>
    <t>Ethernet 10Gb 2-port 562FLR-T Adapter</t>
  </si>
  <si>
    <t>Ethernet 10Gb 2-port 562T Adapter</t>
  </si>
  <si>
    <t>SR416i-a Gen10+</t>
  </si>
  <si>
    <t>MR216i-a Gen10+</t>
  </si>
  <si>
    <t>MR216i-p Gen10+</t>
  </si>
  <si>
    <t>MR416i-a Gen10+</t>
  </si>
  <si>
    <t>MR416i-p Gen 10+</t>
  </si>
  <si>
    <t>Tx-Sxx-P47824-B21 3.84TB NVMe RI SFF SCN U.2 MV SSD</t>
  </si>
  <si>
    <t>Tx-Sxx-P47823-B21 1.92TB NVMe RI SFF SCN U.2 MV SSD</t>
  </si>
  <si>
    <t>Tx-Sxx-P47822-B21 6.4TB NVMe MU SFF SCN U.2 MV SSD</t>
  </si>
  <si>
    <t>Tx-Sxx-P47821-B21 3.2TB NVMe MU SFF SCN U.2 MV SSD</t>
  </si>
  <si>
    <t>Tx-Sxx-P47820-B21 1.6TB NVMe MU SFF SCN U.2 MV SSD</t>
  </si>
  <si>
    <t>Tx-Sxx-P47845-B21 1.92TB NVMe RI SFF BC U.3ST MV SSD</t>
  </si>
  <si>
    <t>Tx-Sxx-P47844-B21 960GB NVMe RI SFF BC U.3ST MV SSD</t>
  </si>
  <si>
    <t>Tx-Sxx-P47840-B21 6.4TB NVMe MU SFF BC U.3ST MV SSD</t>
  </si>
  <si>
    <t>Tx-Sxx-P47839-B21 3.2TB NVMe MU SFF BC U.3ST MV SSD</t>
  </si>
  <si>
    <t>Tx-Sxx-P47838-B21 HPE 1.6TB NVMe MU SFF BC U.3ST MV SSD</t>
  </si>
  <si>
    <t>Tx-Sxx-P47837-B21 800GB NVMe MU SFF BC U.3ST MV SSD</t>
  </si>
  <si>
    <t>Tx-Sxx-P47825-B21 7.68TB NVMe RI SFF SCN U.2 MV SSD</t>
  </si>
  <si>
    <t>Tx-Sxx-P47820-B21 HPE 1.6TB NVMe MU SFF SCN U.2 MV SSD</t>
  </si>
  <si>
    <t>Tx-Sxx-P47846-B21 3.84TB NVMe RI SFF BC U.3ST MV SSD</t>
  </si>
  <si>
    <t>Tx-Sxx-P47847-B21 7.68TB NVMe RI SFF BC U.3ST MV SSD</t>
  </si>
  <si>
    <t>Ethernet 10Gb 2-port BaseT BCM57416 OCP3 Adapter</t>
  </si>
  <si>
    <t>Ethernet 10Gb 2-port BaseT BCM57416 Adapter</t>
  </si>
  <si>
    <t>Ethernet 10Gb 2-port SFP+ BCM57412 OCP3 Adapter</t>
  </si>
  <si>
    <t>Ethernet 10Gb 2-port SFP+ BCM57412 Adapter</t>
  </si>
  <si>
    <t>Ethernet 10/25Gb 2-port SFP28 BCM57414 OCP3 Adapter</t>
  </si>
  <si>
    <t>Ethernet 10/25Gb 2-port SFP28 BCM57414 Adapter</t>
  </si>
  <si>
    <t>Ethernet 10/25Gb 2-port SFP28 MCX562A-ACAI OCP3 Adapter</t>
  </si>
  <si>
    <t>Ethernet 10/25Gb 2-port SFP28 MCX512F-ACHT Adapter</t>
  </si>
  <si>
    <t>1.6TB NVMe Perf MU CM6 SSD/KCM6XVUL1T60</t>
  </si>
  <si>
    <t>800GB NVMe Perf MU CM6 SSD/KCM6XVUL800G</t>
  </si>
  <si>
    <t>NS204i-r Gen10+ Boot Controller</t>
  </si>
  <si>
    <t>NS204i-p Gen10+ Boot Controller</t>
  </si>
  <si>
    <t>MR216i-o Gen11</t>
  </si>
  <si>
    <t>MR216i-p Gen11</t>
  </si>
  <si>
    <t>MR408i-o Gen11</t>
  </si>
  <si>
    <t>MR416i-o Gen11</t>
  </si>
  <si>
    <t>MR416i-p Gen11</t>
  </si>
  <si>
    <t>Mellanox MCX631432AS-ADAI Ethernet 10/25Gb 2-port SFP28 OCP3 Adapter for Hitachi</t>
  </si>
  <si>
    <t>Mellanox MCX631102AS-ADAT Ethernet 10/25Gb 2-port SFP28 Adapter for Hitachi</t>
  </si>
  <si>
    <t>P50227-B21 1.6TB NVMe MU SFF BC U.3 PM1735a SSD</t>
  </si>
  <si>
    <t>P50230-B21 3.2TB NVMe MU SFF BC U.3 PM1735a SSD</t>
  </si>
  <si>
    <t>P50233-B21 6.4TB NVMe MU SFF BC U.3 PM1735a SSD</t>
  </si>
  <si>
    <t>NS204i-u Boot Controller</t>
  </si>
  <si>
    <t>P50216-B21 1.92TB NVMe RI BC U.3 PM1733a SSD</t>
  </si>
  <si>
    <t>SR932i-p Gen11</t>
  </si>
  <si>
    <t>P50219-B21 3.84TB NVMe RI BC U.3 PM1733a SSD</t>
  </si>
  <si>
    <t>P50222-B21 7.684TB NVMe RI BC U.3 PM1733a SSD</t>
  </si>
  <si>
    <t>P50224-B21 15.36TB NVMe RI BC U.3 PM1733a SSD</t>
  </si>
  <si>
    <t>Ethernet 100Gb 2-port QSFP56 MCX623106AS-CDAT Adapter(P25960-B21)</t>
  </si>
  <si>
    <t>MR408i-p Gen11</t>
  </si>
  <si>
    <t>Broadcom BCM5719 Ethernet 1Gb 4-port Base-T Adapter for Hitachi</t>
  </si>
  <si>
    <t>Broadcom BCM5719 Ethernet 1Gb 4-port Base-T OCP3 Adapter for Hitachi</t>
  </si>
  <si>
    <t>1.92TB NVMe RI SFF BC U.3 CM7 SSD</t>
  </si>
  <si>
    <t>3.84TB NVMe RI SFF BC U.3 CM7 SSD</t>
  </si>
  <si>
    <t>7.68TB NVMe RI SFF BC U.3 CM7 SSD</t>
  </si>
  <si>
    <t>15.36TB NVMe RI SFF BC U.3 CM7 SSD</t>
  </si>
  <si>
    <t>6.4TB NVMe MU SFF BC U.3 CM7 SSD</t>
  </si>
  <si>
    <t>1.6TB NVMe MU SFF BC U.3 CM7 SSD</t>
  </si>
  <si>
    <t>3.2TB NVMe MU SFF BC U.3 CM7 SSD</t>
  </si>
  <si>
    <t>1.6TB NVMe MU BC FIPS U.3 CM7 SSD</t>
  </si>
  <si>
    <t>3.2TB NVMe MU BC FIPS U.3 CM7 SSD</t>
  </si>
  <si>
    <t>6.4TB NVMe MU BC FIPS U.3 CM7 SSD</t>
  </si>
  <si>
    <t>1.92TB NVMe RI BC FIPS U.3 CM7 SSD</t>
  </si>
  <si>
    <t>3.84TB NVMe RI BC FIPS U.3 CM7 SSD</t>
  </si>
  <si>
    <t>7.68TB NVMe RI BC FIPS U.3 CM7 SSD</t>
  </si>
  <si>
    <t>HP</t>
  </si>
  <si>
    <t>Smart Array P700m</t>
  </si>
  <si>
    <t>Smart Array P410i</t>
  </si>
  <si>
    <t>Smart Array P411</t>
  </si>
  <si>
    <t>Smart Array P800 G2</t>
  </si>
  <si>
    <t>Smart Array P212</t>
  </si>
  <si>
    <t>Smart Array P712m</t>
  </si>
  <si>
    <t>Smart Array P410</t>
  </si>
  <si>
    <t>Smart Array P711m</t>
  </si>
  <si>
    <t>581201-B21 (HP NC550SFP) Emulex OneConnect OCe10102 10GbE NIC for HP ProLiant</t>
  </si>
  <si>
    <t>AW520A (HP CN1000E) Emulex OneConnect OCe10102 10GbE FCoE CNA for HP ProLiant Servers</t>
  </si>
  <si>
    <t>(HP NC551i) Emulex OneConnect OCe10102 10GbE NIC CNA for HP ProLiant AMD G7 BladeSystems</t>
  </si>
  <si>
    <t>HP Ethernet 1Gb 2-port 361i Adapter</t>
  </si>
  <si>
    <t>HP Ethernet 1Gb 4-port 366i Adapter</t>
  </si>
  <si>
    <t>HP Ethernet 1Gb 2-port 361T Adapter</t>
  </si>
  <si>
    <t>HP Ethernet 1Gb 2-port 361FLB Adapter</t>
  </si>
  <si>
    <t>HP Ethernet 1Gb 4-port 366M Adapter</t>
  </si>
  <si>
    <t>(HP 331i) NetXtreme BCM5719 Gigabit Ethernet</t>
  </si>
  <si>
    <t>HPE Ethernet 10Gb 2-port SFP+ 57810S Adapter (530SFP+)</t>
  </si>
  <si>
    <t>HP Ethernet 10Gb 2-port 560SFP+ Adapter</t>
  </si>
  <si>
    <t>330i</t>
  </si>
  <si>
    <t>HPE Ethernet 10Gb 2-port BASE-T 57810S Adapter (530T)</t>
  </si>
  <si>
    <t>HP Ethernet 10Gb 2-port 560FLR-SFP+ Adapter</t>
  </si>
  <si>
    <t>HP Ethernet 1Gb 4-port 366FLR Adapter</t>
  </si>
  <si>
    <t>332i</t>
  </si>
  <si>
    <t>Smart Array P430</t>
  </si>
  <si>
    <t>Smart Array P230i</t>
  </si>
  <si>
    <t>Smart Array P430i</t>
  </si>
  <si>
    <t>Smart Array P431</t>
  </si>
  <si>
    <t>Smart Array P731m</t>
  </si>
  <si>
    <t>Smart Array P830</t>
  </si>
  <si>
    <t>Smart Array P830i</t>
  </si>
  <si>
    <t>HPE FlexFabric 10Gb 2-port FLR-SFP+ 57810S Adapter (534FLR)</t>
  </si>
  <si>
    <t>HPE FlexFabric 10Gb 2-port FLR-T 57810S Adapter (533FLR-T)</t>
  </si>
  <si>
    <t>HP Ethernet 10Gb 2-port 561FLR-T Adapter</t>
  </si>
  <si>
    <t>HP Ethernet 10Gb 2-port 561T Adapter</t>
  </si>
  <si>
    <t>HP Ethernet 1Gb 1-port 364i Adapter</t>
  </si>
  <si>
    <t>HP Ethernet 1Gb 2-port 367i Adapter</t>
  </si>
  <si>
    <t>HP Smart Array P840 controller</t>
  </si>
  <si>
    <t>HP Smart HBA H240 controller</t>
  </si>
  <si>
    <t>HP Smart HBA H240ar</t>
  </si>
  <si>
    <t>HP Smart HBA H244br</t>
  </si>
  <si>
    <t>HP Smart Array P440 controller</t>
  </si>
  <si>
    <t>HP Smart Array P441 controller</t>
  </si>
  <si>
    <t>HP Smart Array P440ar controller</t>
  </si>
  <si>
    <t>HP Smart Array P244br controller</t>
  </si>
  <si>
    <t>HP FlexFabric 10Gb 2-port 556FLR-SFP+ Adapter</t>
  </si>
  <si>
    <t>HP CN1200E 2P Converged Network Adapter</t>
  </si>
  <si>
    <t>BCM5717C0</t>
  </si>
  <si>
    <t>HP Ethernet 1Gb 4-port 331i Adapter</t>
  </si>
  <si>
    <t>HP H241 Smart HBA</t>
  </si>
  <si>
    <t>Smart Array P741m</t>
  </si>
  <si>
    <t>Smart Array P841</t>
  </si>
  <si>
    <t>Smart Array P246br</t>
  </si>
  <si>
    <t>Smart Array P840ar</t>
  </si>
  <si>
    <t>HP Ethernet 10Gb 2-port 557SFP+ Adapter</t>
  </si>
  <si>
    <t>HPE FlexFabric 10Gb 2-port 556FLR-T Adapter</t>
  </si>
  <si>
    <t>HPE StoreFabric CN1200E 10GBASE-T Dual PortConverged Network Adapter</t>
  </si>
  <si>
    <t>HPE Ethernet 10Gb 2-port 562FLR-SFP+ Adapter</t>
  </si>
  <si>
    <t>HPE Ethernet 10Gb 2-port 562SFP+ Adapter</t>
  </si>
  <si>
    <t>Smart Array 542D</t>
  </si>
  <si>
    <t>Smart Array P240nr</t>
  </si>
  <si>
    <t>Smart HBA H240nr</t>
  </si>
  <si>
    <t>Ethernet 1Gb 2-port 363i Adapter</t>
  </si>
  <si>
    <t>HPE Smart Array P240nr</t>
  </si>
  <si>
    <t>HPE Smart Array P542D</t>
  </si>
  <si>
    <t>HPE FlexFabric 10Gb 4-port FLR-T 57840S Adapter (536FLR-T)</t>
  </si>
  <si>
    <t>HPE SN1200E1P 16Gb 1p FC HBA</t>
  </si>
  <si>
    <t>HPE SN1200E2P 16Gb 2p FC HBA</t>
  </si>
  <si>
    <t>HPE SN1600E1P 32Gb 1p FC HBA</t>
  </si>
  <si>
    <t>HPE SN1600E2P 32Gb 2p FC HBA</t>
  </si>
  <si>
    <t>HPE FlexFabric 10Gb 4-port FLR-T 57840S Adapter (536FLR-T) [SR-IOV]</t>
  </si>
  <si>
    <t>HPE FlexFabric 10Gb 2-port FLR-T 57810S Adapter (533FLR-T) [NPAR]</t>
  </si>
  <si>
    <t>HPE FlexFabric 10Gb 2-port FLR-T 57810S Adapter (533FLR-T) [SR-IOV]</t>
  </si>
  <si>
    <t>Intel(R) Ethernet Network Adapter XXV710-2</t>
  </si>
  <si>
    <t>Huawei Technologies Co.
 Ltd.</t>
  </si>
  <si>
    <t>SM211</t>
  </si>
  <si>
    <t>SM212</t>
  </si>
  <si>
    <t>SP210</t>
  </si>
  <si>
    <t>SP212</t>
  </si>
  <si>
    <t>SP332</t>
  </si>
  <si>
    <t>SP331</t>
  </si>
  <si>
    <t>SP330</t>
  </si>
  <si>
    <t>2*GE I350 LOM</t>
  </si>
  <si>
    <t>2*10GE X710 LOM</t>
  </si>
  <si>
    <t>2*10GE Copper PCH X722 LOM</t>
  </si>
  <si>
    <t>2*10GE Fiber PCH X722 LOM</t>
  </si>
  <si>
    <t>2*10GE KR PCH X722 LOM</t>
  </si>
  <si>
    <t>2*GE Copper with 10GBASE-T PCH X722 LOM</t>
  </si>
  <si>
    <t>2*GE Copper with 10GE SFP+ PCH X722 LOM</t>
  </si>
  <si>
    <t>SM330</t>
  </si>
  <si>
    <t>MZ732</t>
  </si>
  <si>
    <t>IBM</t>
  </si>
  <si>
    <t>00JY800 IBM Flex System CN4052 2-port 10Gb Virtual Fabric Adapter (OCm14102-U2-X)</t>
  </si>
  <si>
    <t>94Y5160 IBM Flex System CN4058S 8-port 10Gb Virtual Fabric Adapter (OCm14108-U-X)</t>
  </si>
  <si>
    <t>IBM Flex System 4-port 10Gb LOM Virtual Fabric Adapter (OCI14104-U2-X)</t>
  </si>
  <si>
    <t>00JY830 Emulex VFA5 2x10 GbE SFP+ Adapter and FCoE/iSCSI SW for IBM System x (OCe14102-U3-X)</t>
  </si>
  <si>
    <t>00JY820 Emulex VFA5 2x10 GbE SFP+ PCIe Adapter for IBM System x (OCe14102-UX-X)</t>
  </si>
  <si>
    <t>Intel Ethernet Dual Port Server Adapter I340-T2 IBM System x (49Y4230)</t>
  </si>
  <si>
    <t>Intel Ethernet Quad Port Server Adapter I340-T4 IBM System x (49Y4240)</t>
  </si>
  <si>
    <t>IBM 4-Port 24G SAS</t>
  </si>
  <si>
    <t>IEIT SYSTEMS Co.
 Ltd.</t>
  </si>
  <si>
    <t>INSPUR SAS3008IMR</t>
  </si>
  <si>
    <t>INSPUR SAS3008IT</t>
  </si>
  <si>
    <t>INSPUR SAS3008IR</t>
  </si>
  <si>
    <t>Inspur_OCP25G_CX4LX_25G_LC_PCIEx8 - single port</t>
  </si>
  <si>
    <t>Inspur_OCP25G_CX4LX_25G_LC_PCIEx8_2 - dual port</t>
  </si>
  <si>
    <t>PM8222-SHBA</t>
  </si>
  <si>
    <t>PM8204-2GB</t>
  </si>
  <si>
    <t>PM8204-4GB</t>
  </si>
  <si>
    <t>PM8222-HBA</t>
  </si>
  <si>
    <t>F102IX710</t>
  </si>
  <si>
    <t>SMART-HBA 8242-24i</t>
  </si>
  <si>
    <t>SMART-HBA 8238-16i</t>
  </si>
  <si>
    <t>INSPUR 3508-4GB</t>
  </si>
  <si>
    <t>INSPUR 3408iMR</t>
  </si>
  <si>
    <t>NS6510G1U384</t>
  </si>
  <si>
    <t>NS6510G1U192</t>
  </si>
  <si>
    <t>NS6610G1U160</t>
  </si>
  <si>
    <t>NS6610G1U320</t>
  </si>
  <si>
    <t>MT0801M6E</t>
  </si>
  <si>
    <t>MT0800M6H</t>
  </si>
  <si>
    <t>MT0804M6R</t>
  </si>
  <si>
    <t>MT0808M6R</t>
  </si>
  <si>
    <t>NS8610G1U160</t>
  </si>
  <si>
    <t>NS8610G1U320</t>
  </si>
  <si>
    <t>NS8610G1U640</t>
  </si>
  <si>
    <t>NS8510G1U192</t>
  </si>
  <si>
    <t>NS8510G1U384</t>
  </si>
  <si>
    <t>NS8510G1U768</t>
  </si>
  <si>
    <t>9230 M.2 RAID</t>
  </si>
  <si>
    <t>F102IX710(PCIe x8)</t>
  </si>
  <si>
    <t>O102IX710</t>
  </si>
  <si>
    <t>Inspur_5180M5_I350AM4_1G_RJ_PCIEx8_4</t>
  </si>
  <si>
    <t>F014II350</t>
  </si>
  <si>
    <t>RS0800M5H24i</t>
  </si>
  <si>
    <t>RS0800M5E8i</t>
  </si>
  <si>
    <t>RS0800M5H8i</t>
  </si>
  <si>
    <t>RS0800M5E24i</t>
  </si>
  <si>
    <t>RS0800M5H16i</t>
  </si>
  <si>
    <t>RS0800M5E16i</t>
  </si>
  <si>
    <t>RS0804M5R16i</t>
  </si>
  <si>
    <t>F102IX550</t>
  </si>
  <si>
    <t>NS8500G2U384</t>
  </si>
  <si>
    <t>NS8600G2U160</t>
  </si>
  <si>
    <t>NS8600G2U320</t>
  </si>
  <si>
    <t>NS8600G2U640</t>
  </si>
  <si>
    <t>NS8500G2U192</t>
  </si>
  <si>
    <t>NS8500G2U768</t>
  </si>
  <si>
    <t>Intel(R) Ethernet Server Adapter OCP X710-2</t>
  </si>
  <si>
    <t>F012II350</t>
  </si>
  <si>
    <t>RT0800M7E</t>
  </si>
  <si>
    <t>RT0800M7H</t>
  </si>
  <si>
    <t>RT0804M7R</t>
  </si>
  <si>
    <t>RT0808M7R</t>
  </si>
  <si>
    <t>ENFI1100-T4</t>
  </si>
  <si>
    <t>ENPB2251-SP2</t>
  </si>
  <si>
    <t>ENFB2251-SP2</t>
  </si>
  <si>
    <t>Inspur 3408iMR Mezz</t>
  </si>
  <si>
    <t>NS8500G2U1536</t>
  </si>
  <si>
    <t>NS8600G2U1280</t>
  </si>
  <si>
    <t>NS8500G2U192-X2</t>
  </si>
  <si>
    <t>NS8500G2U768-X2</t>
  </si>
  <si>
    <t>NS8600G2U320-X2</t>
  </si>
  <si>
    <t>NS8500G2U384-X2</t>
  </si>
  <si>
    <t>NS8600G2U640-X2</t>
  </si>
  <si>
    <t>NS8600G2U1280-X2</t>
  </si>
  <si>
    <t>NS8600G2U160-X2</t>
  </si>
  <si>
    <t>NS8500G2U1536-X2</t>
  </si>
  <si>
    <t>RT0800M6E2i</t>
  </si>
  <si>
    <t>NS6600G2U640</t>
  </si>
  <si>
    <t>NS6600G2U320</t>
  </si>
  <si>
    <t>NS6500G2U768</t>
  </si>
  <si>
    <t>NS6600G2U160</t>
  </si>
  <si>
    <t>NS6500G2U192</t>
  </si>
  <si>
    <t>NS6500G2U384</t>
  </si>
  <si>
    <t>Intel Corporation</t>
  </si>
  <si>
    <t>ICH9 - AHCI</t>
  </si>
  <si>
    <t>ICH10 - AHCI</t>
  </si>
  <si>
    <t>82599EB 10 Gigabit KX4 Network Connection</t>
  </si>
  <si>
    <t>82599EB 10 Gigabit Dual Network Connection</t>
  </si>
  <si>
    <t>Intel Ethernet Server Adapter I340-T4</t>
  </si>
  <si>
    <t>Intel 82580 Gigabit Backplane Connection</t>
  </si>
  <si>
    <t>Intel Ethernet Server Adapter I340-T2</t>
  </si>
  <si>
    <t>Intel 82580 Gigabit Fiber Network Connection</t>
  </si>
  <si>
    <t>Intel 82580 Gigabit SFP Connection</t>
  </si>
  <si>
    <t>Patsburg SATA RAID Controller</t>
  </si>
  <si>
    <t>Intel Ethernet Server Adapter I340-F4</t>
  </si>
  <si>
    <t>Intel Ethernet Server Adapter I350-T4</t>
  </si>
  <si>
    <t>Intel I350 Gigabit Network Connection</t>
  </si>
  <si>
    <t>Intel Ethernet Server Adapter I350-T2</t>
  </si>
  <si>
    <t>Intel I350 Gigabit Backplane Connection</t>
  </si>
  <si>
    <t>Intel Ethernet Server Adapter I350-F4</t>
  </si>
  <si>
    <t>Intel I350 Gigabit Fiber Network Connection</t>
  </si>
  <si>
    <t>Intel Ethernet Server Adapter I350-F2</t>
  </si>
  <si>
    <t>Intel(R) Ethernet Server Adapter I210-T1</t>
  </si>
  <si>
    <t>Intel(R) Ethernet Connection I354 2.5 GbE Backplane</t>
  </si>
  <si>
    <t>Intel(R) Ethernet Connection I354</t>
  </si>
  <si>
    <t>Intel(R) Ethernet Connection I354 1.0 GbE Backplane</t>
  </si>
  <si>
    <t>Patsburg 6 Port SATA AHCI Controller</t>
  </si>
  <si>
    <t>Intel(R) I210 Gigabit Backplane Connection</t>
  </si>
  <si>
    <t>Avoton AHCI Controller</t>
  </si>
  <si>
    <t>Lynx Point RAID Controller</t>
  </si>
  <si>
    <t>Cave Creek AHCI 2 Port SATA Controller</t>
  </si>
  <si>
    <t>Cave Creek AHCI 4 Port SATA Controller</t>
  </si>
  <si>
    <t>Intel C610 Series (Wellsburg) Chipset AHCI Controller
  6-port</t>
  </si>
  <si>
    <t>I210 Gigabit Network Connection</t>
  </si>
  <si>
    <t>I210 Gigabit Fiber Network Connection</t>
  </si>
  <si>
    <t>I210 Gigabit Backplane Network Connection</t>
  </si>
  <si>
    <t>I211 Gigabit Network Connection</t>
  </si>
  <si>
    <t>82579LM Gigabit Network Connection</t>
  </si>
  <si>
    <t>82579V Gigabit Network Connection</t>
  </si>
  <si>
    <t>Intel Ethernet Connection I217-LM</t>
  </si>
  <si>
    <t>Intel Ethernet Connection I217-V</t>
  </si>
  <si>
    <t>Intel Ethernet Connection I218-V</t>
  </si>
  <si>
    <t>Intel Ethernet Connection I218-LM</t>
  </si>
  <si>
    <t>Intel Ethernet Connection (2) I218-LM</t>
  </si>
  <si>
    <t>Intel Ethernet Connection (2) I218-V</t>
  </si>
  <si>
    <t>Intel Ethernet Connection (3) I218-LM</t>
  </si>
  <si>
    <t>Intel Ethernet Connection (3) I218-V</t>
  </si>
  <si>
    <t>Coleto Creek AHCI Controller</t>
  </si>
  <si>
    <t>Wellsburg RAID Controller</t>
  </si>
  <si>
    <t>I210 Gigabit Backplane Connection</t>
  </si>
  <si>
    <t>Intel(R) Ethernet Controller X710 for 10GbE SFP+</t>
  </si>
  <si>
    <t>Intel(R) Ethernet Converged Network Adapter X710-4</t>
  </si>
  <si>
    <t>Intel(R) Ethernet Converged Network Adapter X710-2</t>
  </si>
  <si>
    <t>Intel(R) Ethernet Controller XL710 for 40GbE QSFP+</t>
  </si>
  <si>
    <t>Intel(R) Ethernet I/O Module XL710-Q2</t>
  </si>
  <si>
    <t>Intel(R) Ethernet Converged Network Adapter XL710-Q1</t>
  </si>
  <si>
    <t>Intel(R) Ethernet I/O Module XL710-Q1</t>
  </si>
  <si>
    <t>Intel(R) Ethernet Controller XL710 for 10GbE QSFP+</t>
  </si>
  <si>
    <t>Intel(R) Ethernet Controller X710 for 10GBASE-T</t>
  </si>
  <si>
    <t>Intel(R) Ethernet Controller XL710 for 40GbE backplane</t>
  </si>
  <si>
    <t>Intel(R) Ethernet Controller X710 for 10GbE backplane</t>
  </si>
  <si>
    <t>Intel SSD DC P3700 Series SSDPE2MD020T4 (2.0 TB
  2.5-inch)</t>
  </si>
  <si>
    <t>Intel SSD DC P3700 Series SSDPE2MD016T4 (1.6 TB
  2.5-inch)</t>
  </si>
  <si>
    <t>Intel SSD DC P3700 Series SSDPE2MD800G4 (800 GB
  2.5-inch)</t>
  </si>
  <si>
    <t>Intel SSD DC P3700 Series SSDPE2MD400G4 (400 GB
  2.5-inch)</t>
  </si>
  <si>
    <t>Intel SSD DC P3600 Series SSDPE2ME020T4 (2.0 TB
  2.5-inch)</t>
  </si>
  <si>
    <t>Intel SSD DC P3600 Series SSDPE2ME016T4 (1.6 TB
  2.5-inch)</t>
  </si>
  <si>
    <t>Intel SSD DC P3600 Series SSDPE2ME012T4 (1.2 TB
  2.5-inch)</t>
  </si>
  <si>
    <t>Intel SSD DC P3600 Series SSDPE2ME800G4 (800 GB
  2.5-inch)</t>
  </si>
  <si>
    <t>Intel SSD DC P3600 Series SSDPE2ME400G4 (400 GB
  2.5-inch)</t>
  </si>
  <si>
    <t>Intel SSD DC P3500 Series SSDPE2MX020T4 (2.0 TB
  2.5-inch)</t>
  </si>
  <si>
    <t>Intel SSD DC P3500 Series SSDPE2MX012T4 (1.2 TB
  2.5-inch)</t>
  </si>
  <si>
    <t>Intel SSD DC P3500 Series SSDPE2MX400G4 (400 GB
  2.5-inch)</t>
  </si>
  <si>
    <t>Intel SSD DC P3700 Series SSDPEDMD020T4 (2.0 TB
  HHHL AIC)</t>
  </si>
  <si>
    <t>Intel SSD DC P3700 Series SSDPEDMD016T4 (1.6 TB
  HHHL AIC)</t>
  </si>
  <si>
    <t>Intel SSD DC P3700 Series SSDPEDMD800G4 (800 GB
  HHHL AIC)</t>
  </si>
  <si>
    <t>Intel SSD DC P3700 Series SSDPEDMD400G4 (400 GB
  HHHL AIC)</t>
  </si>
  <si>
    <t>Intel SSD DC P3600 Series SSDPEDME020T4 (2.0 TB
  HHHL AIC)</t>
  </si>
  <si>
    <t>Intel SSD DC P3600 Series SSDPEDME016T4 (1.6 TB
  HHHL AIC)</t>
  </si>
  <si>
    <t>Intel SSD DC P3600 Series SSDPEDME012T4 (1.2 TB
  HHHL AIC)</t>
  </si>
  <si>
    <t>Intel SSD DC P3600 Series SSDPEDME800G4 (800 GB
  HHHL AIC)</t>
  </si>
  <si>
    <t>Intel SSD DC P3600 Series SSDPEDME400G4 (400 GB
  HHHL AIC)</t>
  </si>
  <si>
    <t>Intel SSD DC P3500 Series SSDPEDMX020T4 (2.0 TB
  HHHL AIC)</t>
  </si>
  <si>
    <t>Intel SSD DC P3500 Series SSDPEDMX012T4 (1.2 TB
  HHHL AIC)</t>
  </si>
  <si>
    <t>Intel SSD DC P3500 Series SSDPEDMX400G4 (400 GB
  HHHL AIC)</t>
  </si>
  <si>
    <t>Intel RAID Controller RS3DC080</t>
  </si>
  <si>
    <t>Intel RAID Controller RS3DC040</t>
  </si>
  <si>
    <t>Intel RAID Controller RS3SC008</t>
  </si>
  <si>
    <t>Intel Integrated RAID Module RMS3CC080</t>
  </si>
  <si>
    <t>Intel Integrated RAID Module RMS3CC040</t>
  </si>
  <si>
    <t>Intel RAID Controller RS3WC080</t>
  </si>
  <si>
    <t>Intel RAID Controller RS3WC040</t>
  </si>
  <si>
    <t>Intel Integrated RAID Module RMS3HC080</t>
  </si>
  <si>
    <t>Intel Integrated RAID RS3LC</t>
  </si>
  <si>
    <t>Intel Integrated RAID RS3LC5</t>
  </si>
  <si>
    <t>Intel Integrated RAID RS3YC</t>
  </si>
  <si>
    <t>Intel RAID Controller RS3UC080</t>
  </si>
  <si>
    <t>Intel RAID Controller RS3FC044</t>
  </si>
  <si>
    <t>Intel RAID Controller RS3GC008</t>
  </si>
  <si>
    <t>Intel Integrated RAID Module RMS3JC080</t>
  </si>
  <si>
    <t>Intel(R) Integrated RAID FHWKPTPBGB24</t>
  </si>
  <si>
    <t>Intel I350 Gigabit Network Controller</t>
  </si>
  <si>
    <t>HP Ethernet 1Gb 4-port 366T Adapter</t>
  </si>
  <si>
    <t>Intel Ethernet Connection I219-LM</t>
  </si>
  <si>
    <t>Intel Ethernet Connection (2) I219-V</t>
  </si>
  <si>
    <t>Intel Ethernet Connection I219-V</t>
  </si>
  <si>
    <t>Intel Ethernet Connection (2) I219-LM</t>
  </si>
  <si>
    <t>82801HR/HO/HH (ICH8R/DO/DH) 6 port SATA AHCI Controller</t>
  </si>
  <si>
    <t>Intel SSD DC P3608 Series SSDPECME040T4 (4.0 TB
  HHHL AIC)</t>
  </si>
  <si>
    <t>Intel SSD DC P3608 Series SSDPECME032T4 (3.2 TB
  HHHL AIC)</t>
  </si>
  <si>
    <t>Intel SSD DC P3608 Series SSDPECME016T4 (1.6 TB
  HHHL AIC)</t>
  </si>
  <si>
    <t>Intel(R) Ethernet Connection X552/X557-AT 10GBASE-T</t>
  </si>
  <si>
    <t>Intel(R) Ethernet Connection X552 10 GbE Backplane</t>
  </si>
  <si>
    <t>Intel(R) Ethernet Connection X552 10 GbE SFP+</t>
  </si>
  <si>
    <t>Intel Corporation Ethernet Controller X710/X557-AT 10GBASE-T</t>
  </si>
  <si>
    <t>Intel(R) Ethernet Controller 10G X550T</t>
  </si>
  <si>
    <t>Intel RAID Controller RMS3VC160</t>
  </si>
  <si>
    <t>10-Gigabit BR KX4 Dual Port Network Connection</t>
  </si>
  <si>
    <t>82599 10 Gigabit Dual Port Backplane Connection</t>
  </si>
  <si>
    <t>82599 10 Gigabit CX4 Dual Port Network Connection</t>
  </si>
  <si>
    <t>82599 10 Gigabit Dual Port Network Connection</t>
  </si>
  <si>
    <t>82599 10 Gigabit TN Network Connection</t>
  </si>
  <si>
    <t>82599 10 Gigabit Network Connection</t>
  </si>
  <si>
    <t>Ethernet Controller X540</t>
  </si>
  <si>
    <t>Ethernet Controller 10G X550T</t>
  </si>
  <si>
    <t>Ethernet Connection X552 10 GbE Backplane</t>
  </si>
  <si>
    <t>Ethernet Connection (5) I219-LM</t>
  </si>
  <si>
    <t>Ethernet Connection (4) I219-V</t>
  </si>
  <si>
    <t>Ethernet Connection (4) I219-LM</t>
  </si>
  <si>
    <t>Ethernet Connection (5) I219-V</t>
  </si>
  <si>
    <t>Ethernet Connection (3) I219-LM</t>
  </si>
  <si>
    <t>Virtual 82574L Gigabit Ethernet (Apple)</t>
  </si>
  <si>
    <t>Virtual 82574L Gigabit Ethernet</t>
  </si>
  <si>
    <t>Cougar Point 6 port SATA AHCI Controller</t>
  </si>
  <si>
    <t>Cougar Point SATA RAID Controller</t>
  </si>
  <si>
    <t>Sunrise Point-H RAID Controller</t>
  </si>
  <si>
    <t>Cougar Point SATA Premium RAID Controller</t>
  </si>
  <si>
    <t>Sunrise Point-H AHCI Controller</t>
  </si>
  <si>
    <t>Sunrise Point-LP RAID Controller</t>
  </si>
  <si>
    <t>Sunrise Point-LP AHCI Controller</t>
  </si>
  <si>
    <t>Patsburg SATA Premium RAID Controller</t>
  </si>
  <si>
    <t>Wildcat Point-LP SATA Controller [AHCI Mode]</t>
  </si>
  <si>
    <t>Panther Point AHCI Controller</t>
  </si>
  <si>
    <t>Lynx Point SATA Controller</t>
  </si>
  <si>
    <t>Avoton RAID Controller</t>
  </si>
  <si>
    <t>Wellsburg AHCI Controller</t>
  </si>
  <si>
    <t>Lynx Point AHCI Controller</t>
  </si>
  <si>
    <t>Ibex Peak 6 port SATA AHCI Controller</t>
  </si>
  <si>
    <t>Ibex Peak SATA RAID Controller</t>
  </si>
  <si>
    <t>(ICH9M) SATA Controller</t>
  </si>
  <si>
    <t>Ibex Peak Enhanced SATA RAID Controller</t>
  </si>
  <si>
    <t>(ICH9M) SATA Controller RAID</t>
  </si>
  <si>
    <t>Ibex Peak 4 port SATA AHCI Controller</t>
  </si>
  <si>
    <t>82801FR/FRW (ICH6R/ICH6RW) SATA Controller</t>
  </si>
  <si>
    <t>82801FBM (ICH6M) SATA Controller</t>
  </si>
  <si>
    <t>631xESB/632xESB SATA Storage Controller AHCI</t>
  </si>
  <si>
    <t>631xESB/632xESB SATA Storage Controller RAID</t>
  </si>
  <si>
    <t>82801GR/GH (ICH7 Family) Serial ATA Storage Controller AHCI</t>
  </si>
  <si>
    <t>2801GR/GH (ICH7 Family) Serial ATA Storage Controller RAID</t>
  </si>
  <si>
    <t>82801GBM/GHM (ICH7 Family) Serial ATA Storage Controller AHCI</t>
  </si>
  <si>
    <t>82801GHM (ICH7-M DH) SATA RAID Controller</t>
  </si>
  <si>
    <t>82801HB (ICH8) 4 port SATA AHCI Controller</t>
  </si>
  <si>
    <t>82801HBM/HEM (ICH8M/ICH8M-E) SATA AHCI Controller</t>
  </si>
  <si>
    <t>Mobile 82801 SATA RAID Controller</t>
  </si>
  <si>
    <t>82801IR/IO/IH (ICH9R/DO/DH) 6 port SATA AHCI Controller</t>
  </si>
  <si>
    <t>82801IB (ICH9) 4 port SATA AHCI Controller</t>
  </si>
  <si>
    <t>82801 (ICH9) SATA AHCI Controller</t>
  </si>
  <si>
    <t>82801IR/IO (ICH9R/DO) SATA RAID Controller</t>
  </si>
  <si>
    <t>(ICH9) SATA Controller</t>
  </si>
  <si>
    <t>ICH9M/M-E SATA AHCI Controller</t>
  </si>
  <si>
    <t>Ethernet Server Adapter I340-T4</t>
  </si>
  <si>
    <t>82580 Gigabit Network Connection</t>
  </si>
  <si>
    <t>Ethernet Server Adapter I340-T2</t>
  </si>
  <si>
    <t>RS3UC080J</t>
  </si>
  <si>
    <t>Ethernet Server Adapter I350-T4</t>
  </si>
  <si>
    <t>Ethernet Server Adapter I350-T2</t>
  </si>
  <si>
    <t>Ethernet Server Adapter I350-F4</t>
  </si>
  <si>
    <t>Ethernet Server Adapter I350-F2</t>
  </si>
  <si>
    <t>Ethernet Server Adapter I350-F1</t>
  </si>
  <si>
    <t>1GbE 4P I350 Mezz</t>
  </si>
  <si>
    <t>Ethernet Server Adapter I340-F4</t>
  </si>
  <si>
    <t>Intel(R) Ethernet Controller XL710 for 20GbE backplane</t>
  </si>
  <si>
    <t>Intel SSD DC P3520 Series SSDPE2MX020T7 (2.0 TB
  2.5-inch)</t>
  </si>
  <si>
    <t>Intel SSD DC P3520 Series SSDPE2MX012T7 (1.2 TB
  2.5-inch)</t>
  </si>
  <si>
    <t>Intel SSD DC P3520 Series SSDPE2MX450G7 (450 GB
  2.5-inch)</t>
  </si>
  <si>
    <t>Intel SSD DC P3520 Series SSDPEDMX020T7 (2.0 TB
  HHHL AIC)</t>
  </si>
  <si>
    <t>Intel SSD DC P3520 Series SSDPEDMX012T7 (1.2 TB
  HHHL AIC)</t>
  </si>
  <si>
    <t>Intel Corporation Ethernet Connection X722 for 10GbE SFP+</t>
  </si>
  <si>
    <t>Intel(R) Ethernet Connection X722 for 10GBASE-T</t>
  </si>
  <si>
    <t>Intel(R) Ethernet Connection X722 for 10GbE backplane</t>
  </si>
  <si>
    <t>Intel(R) Ethernet Connection X722 for 10GbE SFP+</t>
  </si>
  <si>
    <t>Intel(R) Ethernet Connection X722 for 10GbE QSFP+</t>
  </si>
  <si>
    <t>Intel(R) Ethernet Connection X722 for 1GbE</t>
  </si>
  <si>
    <t>Intel(R) Ethernet Controller XXV710 for 25GbE SFP28</t>
  </si>
  <si>
    <t>Intel(R) Ethernet Controller XXV710 for 25GbE backplane¬†</t>
  </si>
  <si>
    <t>Intel(R) Ethernet Network Adapter XXV710¬†</t>
  </si>
  <si>
    <t>Intel(R) Ethernet Network Adapter XXV710-1¬†</t>
  </si>
  <si>
    <t>Intel(R) Ethernet Network Adapter XXV710-2¬†</t>
  </si>
  <si>
    <t>Intel(R) Ethernet Network Adapter OCP XXV710-1¬†</t>
  </si>
  <si>
    <t>AHWBPBGB24</t>
  </si>
  <si>
    <t>Lewisburg SATA AHCI Controller</t>
  </si>
  <si>
    <t>Denverton SATA Controller 0</t>
  </si>
  <si>
    <t>Intel SSD DC P4500 Series SSDPE2KX010T7 (1.0 TB
  2.5-inch)</t>
  </si>
  <si>
    <t>Intel SSD DC P4500 Series SSDPE2KX020T7 (2.0 TB
  2.5-inch)</t>
  </si>
  <si>
    <t>Intel SSD DC P4500 Series SSDPE2KX040T7 (4.0 TB
  2.5-inch)</t>
  </si>
  <si>
    <t>Intel SSD DC P4500 Series SSDPEDKX040T7 (4.0 TB
  AIC)</t>
  </si>
  <si>
    <t>Intel SSD DC P4600 Series SSDPE2KE016T7 (1.6 TB
  2.5 inch)</t>
  </si>
  <si>
    <t>Intel SSD DC P4600 Series SSDPE2KE020T7 (2.0 TB
  2.5 inch)</t>
  </si>
  <si>
    <t>Intel SSD DC P4600 Series SSDPE2KE032T7 (3.2 TB
  2.5 inch)</t>
  </si>
  <si>
    <t>Intel SSD DC P4600 Series SSDPEDKE020T7 (2.0 TB
  AIC)</t>
  </si>
  <si>
    <t>Intel SSD DC P4600 Series SSDPEDKE040T7 (4.0 TB
  AIC)</t>
  </si>
  <si>
    <t>Intel SSD DC P4501 Series SSDPE7KX500T7 (0.5 TB
  2.5-inch)</t>
  </si>
  <si>
    <t>Intel SSD DC P4501 Series SSDPE7KX010T7 (1.0 TB
  2.5-inch)</t>
  </si>
  <si>
    <t>Intel SSD DC P4501 Series SSDPE7KX020T7 (2.0 TB
  2.5-inch)</t>
  </si>
  <si>
    <t>Intel SSD DC P4501 Series SSDPE7KX040T7 (4.0 TB
  2.5-inch)</t>
  </si>
  <si>
    <t>Intel SSD DC P4601 Series SSDPE7KE040T7 (4.0 TB
  2.5-inch)</t>
  </si>
  <si>
    <t>Intel SSD DC P4608 Series SSDPECKE064T7 (6.4 TB
  x8 AIC)</t>
  </si>
  <si>
    <t>Intel(R) Ethernet Converged Network Adapter X550-T1¬†</t>
  </si>
  <si>
    <t>Intel(R) Ethernet Converged Network Adapter X550-T2¬†</t>
  </si>
  <si>
    <t>Denverton SATA Controller 1</t>
  </si>
  <si>
    <t>Union Point-H AHCI Controller</t>
  </si>
  <si>
    <t>Intel(R) Ethernet Converged Network Adapter X550-T2</t>
  </si>
  <si>
    <t>Intel¬Æ SSD DC P4510 Series SSDPE2KX020T8 (2.0 TB
  2.5 U.2)"</t>
  </si>
  <si>
    <t>Intel¬Æ SSD DC P4510 Series SSDPE2KX010T8 (1.0 TB
  2.5 U.2)"</t>
  </si>
  <si>
    <t>Intel¬Æ SSD DC P4510 Series SSDPE2KX040T8 (4.0 TB
  2.5 U.2)"</t>
  </si>
  <si>
    <t>Intel¬Æ SSD DC P4510 Series SSDPE2KX080T8 (8.0 TB
  2.5 U.2 )"</t>
  </si>
  <si>
    <t>Intel¬Æ SSD DC P4600 Series SSDPE2KE064T7 (6.4 TB
  2.5 U.2)"</t>
  </si>
  <si>
    <t>Intel¬Æ SSD DC P4500 Series SSDPERKX080T7 (8.0 TB
  Ruler)</t>
  </si>
  <si>
    <t>Intel¬Æ SSD DC P4500 Series SSDPERKX040T7 (4.0 TB
  Ruler)</t>
  </si>
  <si>
    <t>Intel¬Æ SSD DC P4500 Series SSDPEDKX080T7 (8.0 TB
  AIC)</t>
  </si>
  <si>
    <t>Intel¬Æ SSD DC P4511 Series SSDPELKX010T8 (1.0 TB
  M.2 22110)</t>
  </si>
  <si>
    <t>Intel¬Æ SSD DC P4511 Series SSDPELKX020T8 (2.0 TB
  M.2 22110)</t>
  </si>
  <si>
    <t>Intel Volume Management Device</t>
  </si>
  <si>
    <t>Intel(R) Integrated RAID Module RMSP3JD160J</t>
  </si>
  <si>
    <t>Intel(R) RAID Controller RSP3QD160J</t>
  </si>
  <si>
    <t>Intel(R) RAID Controller RSP3GD016J</t>
  </si>
  <si>
    <t>Intel(R) Ethernet Network Adapter X722-2</t>
  </si>
  <si>
    <t>Intel(R) Ethernet Network Adapter X722-4</t>
  </si>
  <si>
    <t>Ethernet Connection (7) I219-LM</t>
  </si>
  <si>
    <t>Ethernet Connection (7) I219-V</t>
  </si>
  <si>
    <t>Ethernet Connection (6) I219-LM</t>
  </si>
  <si>
    <t>Ethernet Connection (6) I219-V</t>
  </si>
  <si>
    <t>Intel¬Æ SSD DC P4610 Series SSDPE2KE016T8 (1.6TB
  2.5‚Äù U.2)</t>
  </si>
  <si>
    <t>Intel¬Æ SSD DC P4610 Series SSDPE2KE032T8 (3.2TB
  2.5‚Äù U.2)</t>
  </si>
  <si>
    <t>Intel¬Æ SSD DC P4610 Series SSDPE2KE064T8 (6.4TB
  2.5‚Äù U.2)</t>
  </si>
  <si>
    <t>Intel¬Æ SSD DC P4610 Series SSDPE2KE076T8 (7.68TB
  2.5‚Äù U.2)</t>
  </si>
  <si>
    <t>Intel¬Æ SSD D5-P4320 Series SSDPE2NV076T8 (7.68TB
  2.5‚Äù U.2)</t>
  </si>
  <si>
    <t>Intel(R) Ethernet Network Adapter OCP XXV710-2</t>
  </si>
  <si>
    <t>Intel(R) Ethernet Server Adapter OCP X710-2¬†</t>
  </si>
  <si>
    <t>Intel¬Æ SSD D5-P4420 Series SSDPE2NU076T8 (7.68TB
  2.5‚Äù U.2)</t>
  </si>
  <si>
    <t>Intel(R) Integrated RAID RMSP3LD060</t>
  </si>
  <si>
    <t>RMSP3AD160F</t>
  </si>
  <si>
    <t>RSP3TD160F</t>
  </si>
  <si>
    <t>RMSP3CD080F</t>
  </si>
  <si>
    <t>RSP3DD080F</t>
  </si>
  <si>
    <t>Ethernet Controller XL710-TM4</t>
  </si>
  <si>
    <t>Ethernet Connection X722</t>
  </si>
  <si>
    <t>Ethernet Connection X552 1000BASE-T</t>
  </si>
  <si>
    <t>Intel¬Æ SSD DC P4618 Series SSDPECKE064T8 (6.4 TB
  AIC)</t>
  </si>
  <si>
    <t>Intel¬Æ SSD D5-P4326 Series SSDPE2NV153T8 (15.36TB
  2.5 U2)"</t>
  </si>
  <si>
    <t>Intel¬Æ SSD DC P3520 Series SSDPEDMX012T7 (1.2 TB
  AIC)</t>
  </si>
  <si>
    <t>Intel¬Æ SSD DC P3520 Series SSDPEDMX020T7 (2.0 TB
  AIC)</t>
  </si>
  <si>
    <t>Intel¬Æ SSD DC P3520 Series SSDPE2MX020T7 (2.0 TB
  2.5‚Äù U.2)</t>
  </si>
  <si>
    <t>Intel¬Æ SSD DC P3520 Series SSDPE2MX012T7 (1.2 TB
  2.5‚Äù U.2)</t>
  </si>
  <si>
    <t>Intel¬Æ SSD DC P3520 Series SSDPE2MX450G7 (450 GB
  2.5‚Äù U.2)</t>
  </si>
  <si>
    <t>Intel(R) Ethernet Controller E810-C for QSFP</t>
  </si>
  <si>
    <t>Intel(R) Ethernet Controller E810-C for SFP</t>
  </si>
  <si>
    <t>Intel(R) Ethernet Network Adapter E810-XXVDA4</t>
  </si>
  <si>
    <t>Intel(R) Ethernet Network Adapter E810-C-Q2</t>
  </si>
  <si>
    <t>RSP3MD088F</t>
  </si>
  <si>
    <t>Ethernet Connection X553 10 GbE Backplane</t>
  </si>
  <si>
    <t>Ethernet Connection X553 1 GbE Backplane</t>
  </si>
  <si>
    <t>Ethernet Connection X553 10 GbE SFP+</t>
  </si>
  <si>
    <t>Ethernet Connection X553 1 GbE</t>
  </si>
  <si>
    <t>Intel(R) Ethernet Connection X553/X557-AT 10GBASE-T</t>
  </si>
  <si>
    <t>Intel(R) Ethernet Connection X553 10 GbE SFP+</t>
  </si>
  <si>
    <t>Intel(R) Integrated RAID RS3PC</t>
  </si>
  <si>
    <t>Intel¬Æ SSD D7-P5500 Series SSDPF2KX019T9 (1.92 TB
  2.5 U.2)"</t>
  </si>
  <si>
    <t>Intel¬Æ SSD D7-P5500 Series SSDPF2KX038T9 (3.84 TB
  2.5 U.2)"</t>
  </si>
  <si>
    <t>Intel¬Æ SSD D7-P5500 Series SSDPF2KX076T9 (7.68 TB
  2.5 U.2)"</t>
  </si>
  <si>
    <t>Intel¬Æ SSD D7-P5600 Series SSDPF2KE016T9 (1.6 TB
  2.5 U.2)"</t>
  </si>
  <si>
    <t>Intel¬Æ SSD D7-P5600 Series SSDPF2KE032T9 (3.2 TB
  2.5 U.2)"</t>
  </si>
  <si>
    <t>Intel¬Æ SSD D7-P5600 Series SSDPF2KE064T9 (6.4 TB
  2.5 U.2)"</t>
  </si>
  <si>
    <t>Ethernet Controller E810-C</t>
  </si>
  <si>
    <t>Ethernet Controller E810-C for backplane</t>
  </si>
  <si>
    <t>Ethernet Controller E810-XXV for backplane</t>
  </si>
  <si>
    <t>Ethernet Controller E810-XXV for QSFP</t>
  </si>
  <si>
    <t>Ethernet Controller E810-XXV for SFP</t>
  </si>
  <si>
    <t>Intel(R) Ethernet Network Adapter X710-T2L</t>
  </si>
  <si>
    <t>Intel(R) Ethernet Network Adapter X710-T4L</t>
  </si>
  <si>
    <t>Intel¬Æ SSD D7-P5510 Series SSDPF2KX038TZ (3.8 TB
  2.5 U.2)"</t>
  </si>
  <si>
    <t>Intel¬Æ SSD D7-P5510 Series SSDPF2KX076TZ (7.6 TB
  2.5 U.2)"</t>
  </si>
  <si>
    <t>Intel¬Æ SSD D7-P5510 Series SSDPF2KX038TZO (3.8 TB
  2.5 U.2)"</t>
  </si>
  <si>
    <t>Intel¬Æ SSD D7-P5510 Series SSDPF2KX076TZO (7.6 TB
  2.5 U.2)"</t>
  </si>
  <si>
    <t>Intel(R) Ethernet Network Adapter X710-2 for OCP NIC 3.0</t>
  </si>
  <si>
    <t>Intel(R) Ethernet Network Adapter X710-4 for OCP NIC 3.0</t>
  </si>
  <si>
    <t>Intel¬Æ Storage Adapter RS3P4GF016J</t>
  </si>
  <si>
    <t>Intel¬Æ Storage Adapter RS3P4QF160J</t>
  </si>
  <si>
    <t>Intel¬Æ SSD DC P4510 Series SSDPEWKX153T8 (15.36 TB
  E1.L)</t>
  </si>
  <si>
    <t>Intel¬Æ SSD DC P4511 Series SSDPEYKX040T8 (4.0 TB
  E1.S)</t>
  </si>
  <si>
    <t>Intel(R) Ethernet Network Adapter E810-XXVDA2 for OCP NIC 3.0</t>
  </si>
  <si>
    <t>Intel(R) Ethernet Network Adapter E810-XXVDA2</t>
  </si>
  <si>
    <t>Intel(R) Ethernet Network Adapter X710-T2L for OCP</t>
  </si>
  <si>
    <t>Intel¬Æ SSD D5-P5316 Series SSDPF2NV153TZ (15.36TB
  2.5 U.2)"</t>
  </si>
  <si>
    <t>Intel¬Æ SSD D5-P5316 Series SSDPF2NV153TZO (15.36TB
  2.5 U.2)"</t>
  </si>
  <si>
    <t>Intel¬Æ SSD D5-P5316 Series SSDPF2NV307TZ (30.72TB
  2.5 U.2)"</t>
  </si>
  <si>
    <t>Intel¬Æ SSD D5-P5316 Series SSDPF2NV307TZO (30.72TB
  2.5 U.2)"</t>
  </si>
  <si>
    <t>Intel RAID Controller RSP3WD080E</t>
  </si>
  <si>
    <t>Intel¬Æ SSD D5-P5316 Series SSDPFWNV153TZ (15.36TB
  E1.L)</t>
  </si>
  <si>
    <t>Intel¬Æ SSD D5-P5316 Series SSDPFWNV153TZO (15.36TB
  E1.L)</t>
  </si>
  <si>
    <t>Intel¬Æ SSD D5-P5316 Series SSDPFWNV307TZ (30.72TB
  E1.L)</t>
  </si>
  <si>
    <t>Intel¬Æ SSD D5-P5316 Series SSDPFWNV307TZO (30.72TB
  E1.L)</t>
  </si>
  <si>
    <t>Intel¬Æ RAID Controller RS3P4MF088F</t>
  </si>
  <si>
    <t>Intel¬Æ RAID Controller RS3P4TF160F</t>
  </si>
  <si>
    <t>XXV710 Ethernet FPGA Programmable N3000</t>
  </si>
  <si>
    <t>Ethernet Controller V710 for 5GBASE-T</t>
  </si>
  <si>
    <t>Ethernet Controller X710 for 10 Gigabit SFP+</t>
  </si>
  <si>
    <t>Ethernet Controller X710 for 10 Gigabit backplane</t>
  </si>
  <si>
    <t>Intel(R) Ethernet Controller X710 for 10 Gigabit backplane¬†</t>
  </si>
  <si>
    <t>Intel(R) Ethernet Controller X710 for 10 Gigabit SFP+</t>
  </si>
  <si>
    <t>Intel(R) Ethernet Connection E822-L for QSFP</t>
  </si>
  <si>
    <t>Intel(R) Ethernet Connection E822-C for QSFP</t>
  </si>
  <si>
    <t>Intel(R) Ethernet Connection E823-L for QSFP</t>
  </si>
  <si>
    <t>Intel(R) Ethernet Connection E823-C for QSFP</t>
  </si>
  <si>
    <t>Intel E810-CQDA2 Ethernet 100Gb 2-port QSFP28 OCP3</t>
  </si>
  <si>
    <t>Intel¬Æ SSD D7-P5620 Series SSDPF2KE016T1 (1.6 TB
  2.5 U.2)"</t>
  </si>
  <si>
    <t>Intel¬Æ SSD D7-P5620 Series SSDPF2KE032T1 (3.2 TB
  2.5 U.2)"</t>
  </si>
  <si>
    <t>Intel¬Æ SSD D7-P5620 Series SSDPF2KE064T1 (6.4 TB
  2.5 U.2)"</t>
  </si>
  <si>
    <t>Intel¬Æ SSD D7-P5620 Series SSDPF2KE128T1 (12.8 TB
  2.5 U.2)"</t>
  </si>
  <si>
    <t>Intel¬Æ SSD D7-P5520 Series SSDPF2KX019T1 (1.9 TB
  2.5 U.2)"</t>
  </si>
  <si>
    <t>Intel¬Æ SSD D7-P5520 Series SSDPF2KX038T1 (3.8 TB
  2.5 U.2)"</t>
  </si>
  <si>
    <t>Intel¬Æ SSD D7-P5520 Series SSDPF2KX076T1 (7.6 TB
  2.5 U.2)"</t>
  </si>
  <si>
    <t>Intel¬Æ SSD D7-P5520 Series SSDPF2KX153T1 (15.3 TB
  2.5 U.2)"</t>
  </si>
  <si>
    <t>Intel¬Æ SSD D7-P5620 Series SSDPF2KE016T1O (1.6 TB
  2.5 U.2)"</t>
  </si>
  <si>
    <t>Intel¬Æ SSD D7-P5620 Series SSDPF2KE032T1O (3.2 TB
  2.5 U.2)"</t>
  </si>
  <si>
    <t>Intel¬Æ SSD D7-P5620 Series SSDPF2KE064T1O (6.4 TB
  2.5 U.2)"</t>
  </si>
  <si>
    <t>Intel¬Æ SSD D7-P5620 Series SSDPF2KE128T1O (12.8 TB
  2.5 U.2)"</t>
  </si>
  <si>
    <t>Intel¬Æ SSD D7-P5520 Series SSDPF2KX019T1O (1.9 TB
  2.5 U.2)"</t>
  </si>
  <si>
    <t>Intel¬Æ SSD D7-P5520 Series SSDPF2KX038T1O (3.8 TB
  2.5 U.2)"</t>
  </si>
  <si>
    <t>Intel¬Æ SSD D7-P5520 Series SSDPF2KX076T1O (7.6 TB
  2.5 U.2)"</t>
  </si>
  <si>
    <t>Intel¬Æ SSD D7-P5520 Series SSDPF2KX153T1O (15.3 TB
  2.5 U.2)"</t>
  </si>
  <si>
    <t>Intel I350-T4 Ethernet 1Gb 4-port BASE-T OCP3</t>
  </si>
  <si>
    <t>Intel¬Æ SSD D7-P5520 Series SSDPFUKX019T1 (1.9 TB
  E1.S)</t>
  </si>
  <si>
    <t>Intel¬Æ SSD D7-P5520 Series SSDPFUKX038T1 (3.8 TB
  E1.S)</t>
  </si>
  <si>
    <t>Intel¬Æ SSD D7-P5520 Series SSDPFUKX076T1 (7.6 TB
  E1.S)</t>
  </si>
  <si>
    <t>Intel¬Æ SSD D7-P5520 Series SSDPFVKX019T1 (1.9 TB
  E1.S)</t>
  </si>
  <si>
    <t>Intel¬Æ SSD D7-P5520 Series SSDPFVKX038T1 (3.8 TB
  E1.S)</t>
  </si>
  <si>
    <t>Intel¬Æ SSD D7-P5520 Series SSDPFVKX076T1 (7.6 TB
  E1.S)</t>
  </si>
  <si>
    <t>Intel¬Æ SSD D7-P5520 Series SSDPFUKX019T1O (1.9 TB
  E1.S)</t>
  </si>
  <si>
    <t>Intel¬Æ SSD D7-P5520 Series SSDPFUKX038T1O (3.8 TB
  E1.S)</t>
  </si>
  <si>
    <t>Intel¬Æ SSD D7-P5520 Series SSDPFUKX076T1O (7.6 TB
  E1.S)</t>
  </si>
  <si>
    <t>Intel¬Æ SSD D7-P5520 Series SSDPFVKX019T1O (1.9 TB
  E1.S)</t>
  </si>
  <si>
    <t>Intel¬Æ SSD D7-P5520 Series SSDPFVKX038T1O (3.8 TB
  E1.S)</t>
  </si>
  <si>
    <t>Intel¬Æ SSD D7-P5520 Series SSDPFVKX076T1O (7.6 TB
  E1.S)</t>
  </si>
  <si>
    <t>Ethernet Controller I225-IT(2)</t>
  </si>
  <si>
    <t>Ethernet Controller I226-LM</t>
  </si>
  <si>
    <t>Ethernet Controller I226-V</t>
  </si>
  <si>
    <t>Ethernet Controller I226-IT</t>
  </si>
  <si>
    <t>Ethernet Controller I226(blankNVM)</t>
  </si>
  <si>
    <t>Ethernet Controller I225-LM</t>
  </si>
  <si>
    <t>Ethernet Controller I225-V</t>
  </si>
  <si>
    <t>Ethernet Controller I225-I</t>
  </si>
  <si>
    <t>Ethernet Controller I225(blankNVM)</t>
  </si>
  <si>
    <t>Ethernet Controller I225-K</t>
  </si>
  <si>
    <t>Ethernet Controller I225-K(2)</t>
  </si>
  <si>
    <t>Ethernet Controller I226-K</t>
  </si>
  <si>
    <t>Ethernet Controller I225-LMvP(2)</t>
  </si>
  <si>
    <t>Ethernet Controller I226-LMvP(2)</t>
  </si>
  <si>
    <t>Ethernet Connection (11) I219-LM</t>
  </si>
  <si>
    <t>Ethernet Connection (11) I219-V</t>
  </si>
  <si>
    <t>Ethernet Connection (12) I219-LM</t>
  </si>
  <si>
    <t>Ethernet Connection (12) I219-V</t>
  </si>
  <si>
    <t>Ethernet Connection (8) I219-LM</t>
  </si>
  <si>
    <t>Ethernet Connection (8) I219-V</t>
  </si>
  <si>
    <t>Ethernet Connection (9) I219-LM</t>
  </si>
  <si>
    <t>Ethernet Connection (9) I219-V</t>
  </si>
  <si>
    <t>Ethernet Connection (15) I219-LM</t>
  </si>
  <si>
    <t>Ethernet Connection (15) I219-V</t>
  </si>
  <si>
    <t>Ethernet Connection (14) I219-LM</t>
  </si>
  <si>
    <t>Ethernet Connection (14) I219-V</t>
  </si>
  <si>
    <t>Ethernet Connection (13) I219-LM</t>
  </si>
  <si>
    <t>Ethernet Connection (13) I219-V</t>
  </si>
  <si>
    <t>Ethernet Connection (17) I219-LM</t>
  </si>
  <si>
    <t>Ethernet Connection (17) I219-V</t>
  </si>
  <si>
    <t>Ethernet Connection (16) I219-LM</t>
  </si>
  <si>
    <t>Ethernet Connection (16) I219-V</t>
  </si>
  <si>
    <t>Ethernet Connection E823-L/X557-AT 10GBASE-T</t>
  </si>
  <si>
    <t>Ethernet Connection E823-C for backplane</t>
  </si>
  <si>
    <t>Intel(R) I210 Gigabit Network Connection</t>
  </si>
  <si>
    <t>Intel(R) Ethernet Controller X710-T4L OCP</t>
  </si>
  <si>
    <t>Intel(R) Ethernet Controller E810-XXVDA4 OCP</t>
  </si>
  <si>
    <t>Intel(R) Ethernet Connection E825-C for SFP</t>
  </si>
  <si>
    <t>Intel(R) Ethernet Connection E825-C for backplane</t>
  </si>
  <si>
    <t>Intel(R) Ethernet Connection E825-C for QSFP</t>
  </si>
  <si>
    <t>Intel(R) Ethernet Controller E830-CC for SFP-DD</t>
  </si>
  <si>
    <t>Intel(R) Ethernet Controller E830-CC for backplane</t>
  </si>
  <si>
    <t>Intel(R) Ethernet Controller E830-CC for QSFP.</t>
  </si>
  <si>
    <t>Intel(R) Ethernet Controller E830-CC for SFP</t>
  </si>
  <si>
    <t>Intel¬Æ SSD D7-P5520 Series SSDPF2KX019T1M (1.9 TB
  2.5 U.2)"</t>
  </si>
  <si>
    <t>Ethernet Connection (23) I219-LM</t>
  </si>
  <si>
    <t>Ethernet Connection (23) I219-V</t>
  </si>
  <si>
    <t>Ethernet Connection (22) I219-LM</t>
  </si>
  <si>
    <t>Ethernet Connection (22) I219-V</t>
  </si>
  <si>
    <t>Ethernet Connection (18) I219-LM</t>
  </si>
  <si>
    <t>Ethernet Connection (18) I219-V</t>
  </si>
  <si>
    <t>Ethernet Connection (19) I219-LM</t>
  </si>
  <si>
    <t>Ethernet Connection (19) I219-V</t>
  </si>
  <si>
    <t>Ethernet Connection (20) I219-LM</t>
  </si>
  <si>
    <t>Ethernet Connection (20) I219-V</t>
  </si>
  <si>
    <t>Ethernet Connection (21) I219-LM</t>
  </si>
  <si>
    <t>Ethernet Connection (21) I219-V</t>
  </si>
  <si>
    <t>Intel(R) Ethernet Network Adapter E610-XT4</t>
  </si>
  <si>
    <t>Intel(R) Ethernet Network Adapter E610-IT4 for OCP 3.0</t>
  </si>
  <si>
    <t>Intel(R) Ethernet Network Adapter E610-XT4 for OCP 3.0</t>
  </si>
  <si>
    <t>Intel(R) Ethernet Network Adapter E610-XT2 for OCP 3.0</t>
  </si>
  <si>
    <t>Intel(R) Ethernet Network Adapter E610-XT2</t>
  </si>
  <si>
    <t>Intel(R) Ethernet Network Adapter E610-IT4</t>
  </si>
  <si>
    <t>Intel(R) Ethernet Network Adapter E830-XXV-2</t>
  </si>
  <si>
    <t>Intel(R) Ethernet Network Adapter E830-XXV-4 for OCP 3.0</t>
  </si>
  <si>
    <t>Sapphire Rapids SATA AHCI Controller</t>
  </si>
  <si>
    <t>Intel(R) Ethernet Network Adapter E835-C-Q2</t>
  </si>
  <si>
    <t>Intel(R) Ethernet Network Adapter E835-CC-Q1</t>
  </si>
  <si>
    <t>Intel(R) Ethernet Network Adapter E835-C-Q2 for OCP 3.0</t>
  </si>
  <si>
    <t>Intel(R) Ethernet Network Adapter E835-CC-Q1 for OCP 3.0</t>
  </si>
  <si>
    <t>Intel(R) Ethernet Network Adapter E835-XXV-2</t>
  </si>
  <si>
    <t>Intel(R) Ethernet Network Adapter E835-XXV-4</t>
  </si>
  <si>
    <t>Intel(R) Ethernet Network Adapter E835-XXV-2 for OCP 3.0</t>
  </si>
  <si>
    <t>Intel(R) Ethernet Network Adapter E835-XXV-4 for OCP 3.0</t>
  </si>
  <si>
    <t>Intel(R) Ethernet Connection E825-C 10GbE</t>
  </si>
  <si>
    <t>Inventec Corp</t>
  </si>
  <si>
    <t>OMSC-SAS3508</t>
  </si>
  <si>
    <t>Kioxia Corporation</t>
  </si>
  <si>
    <t>KCM61VUL800G</t>
  </si>
  <si>
    <t>KCM61VUL1T60</t>
  </si>
  <si>
    <t>KCM61VUL3T20</t>
  </si>
  <si>
    <t>KCM61VUL6T40</t>
  </si>
  <si>
    <t>KCM61VUL12T8</t>
  </si>
  <si>
    <t>KCM61RUL960G</t>
  </si>
  <si>
    <t>KCM61RUL1T92</t>
  </si>
  <si>
    <t>KCM61RUL3T84</t>
  </si>
  <si>
    <t>KCM61RUL7T68</t>
  </si>
  <si>
    <t>KCM61RUL15T3</t>
  </si>
  <si>
    <t>KCD6XVUL800G</t>
  </si>
  <si>
    <t>KCD6XVUL1T60</t>
  </si>
  <si>
    <t>KCD6XVUL3T20</t>
  </si>
  <si>
    <t>KCD6XVUL6T40</t>
  </si>
  <si>
    <t>KCD6XVUL12T8</t>
  </si>
  <si>
    <t>KCD6XLUL960G</t>
  </si>
  <si>
    <t>KCD6XLUL3T84</t>
  </si>
  <si>
    <t>KCD6XLUL7T68</t>
  </si>
  <si>
    <t>KCD6XLUL15T3</t>
  </si>
  <si>
    <t>KCD71RUG960G</t>
  </si>
  <si>
    <t>KCD71RUG1T92</t>
  </si>
  <si>
    <t>KCD71RUG3T84</t>
  </si>
  <si>
    <t>KCD71VUG1T60</t>
  </si>
  <si>
    <t>KCD71RUG7T68</t>
  </si>
  <si>
    <t>KCD71RUG15T3</t>
  </si>
  <si>
    <t>KCD71VUG800G</t>
  </si>
  <si>
    <t>KCD71VUG3T20</t>
  </si>
  <si>
    <t>KCD71VUG6T40</t>
  </si>
  <si>
    <t>KCD71VUG12T8</t>
  </si>
  <si>
    <t>KCD61LUL960G</t>
  </si>
  <si>
    <t>KCD61LUL1T92</t>
  </si>
  <si>
    <t>KCD61LUL3T84</t>
  </si>
  <si>
    <t>KCD61LUL7T68</t>
  </si>
  <si>
    <t>KCD61LUL15T3</t>
  </si>
  <si>
    <t>KCD61VUL800G</t>
  </si>
  <si>
    <t>KCD61VUL1T60</t>
  </si>
  <si>
    <t>KCD61VUL3T20</t>
  </si>
  <si>
    <t>KCD61VUL6T40</t>
  </si>
  <si>
    <t>KCD61VUL12T8</t>
  </si>
  <si>
    <t>Kioxia NVMe SSD CD8-R KCD81RUG960G 960GB</t>
  </si>
  <si>
    <t>KCD71RJE1T92</t>
  </si>
  <si>
    <t>KCD71RJE3T84</t>
  </si>
  <si>
    <t>KCD71RJE7T68</t>
  </si>
  <si>
    <t>Kioxia NVMe SSD CD8-V KCD81VUG800G 800GB</t>
  </si>
  <si>
    <t>Kioxia NVMe SSD CD8-V KCD81VUG1T60 1.6TB</t>
  </si>
  <si>
    <t>Kioxia NVMe SSD CD8-V KCD81VUG3T20 3.2TB</t>
  </si>
  <si>
    <t>Kioxia NVMe SSD CD8-V KCD81VUG6T40 6.4TB</t>
  </si>
  <si>
    <t>Kioxia NVMe SSD CD8-V KCD81VUG12T8 12.8TB</t>
  </si>
  <si>
    <t>Kioxia NVMe SSD CD8-R KCD81RUG1T92 1.92TB</t>
  </si>
  <si>
    <t>Kioxia NVMe SSD CD8-R KCD81RUG3T84 3.84TB</t>
  </si>
  <si>
    <t>Kioxia NVMe SSD CD8-R KCD81RUG7T68 7.68TB</t>
  </si>
  <si>
    <t>Kioxia NVMe SSD CD8-R KCD81RUG15T3 15.36TB</t>
  </si>
  <si>
    <t>KCD8XVUG800G</t>
  </si>
  <si>
    <t>KCD8XVUG1T60</t>
  </si>
  <si>
    <t>KCD8XVUG3T20</t>
  </si>
  <si>
    <t>KCD8XVUG6T40</t>
  </si>
  <si>
    <t>KCD8XVUG12T8</t>
  </si>
  <si>
    <t>KCD8XRUG960G</t>
  </si>
  <si>
    <t>KCD8XRUG1T92</t>
  </si>
  <si>
    <t>KCD8XRUG3T84</t>
  </si>
  <si>
    <t>KCD8XRUG7T68</t>
  </si>
  <si>
    <t>KCD8XRUG15T3</t>
  </si>
  <si>
    <t>KCM71RUG1T92</t>
  </si>
  <si>
    <t>Kioxia NVMe SSD CM6-R SIE KCM6XRUL960G 960GB</t>
  </si>
  <si>
    <t>Kioxia NVMe SSD CM6-R SIE KCM6XRUL1T92 1.92TB</t>
  </si>
  <si>
    <t>Kioxia NVMe SSD CM6-R SIE KCM6XRUL3T84 3.84TB</t>
  </si>
  <si>
    <t>Kioxia NVMe SSD CM6-R SIE KCM6XRUL7T68 7.68TB</t>
  </si>
  <si>
    <t>Kioxia NVMe SSD CM6-R SIE KCM6XRUL15T3 15.3TB</t>
  </si>
  <si>
    <t>Kioxia NVMe SSD CM7-R SIE KCM7XRJE1T92 1.92TB</t>
  </si>
  <si>
    <t>Kioxia NVMe SSD CM7-R SIE KCMYXRUG1T92 1.92TB</t>
  </si>
  <si>
    <t>Kioxia NVMe SSD CM7-R SIE KCM7XRJE3T84 3.84TB/KCM7XRJE3T84</t>
  </si>
  <si>
    <t>Kioxia NVMe SSD CM7-R SIE KCM7XRJE7T68 7.68TB/KCM7XRJE7T68</t>
  </si>
  <si>
    <t>Kioxia NVMe SSD CM7-R SIE KCM7XRJE15T3 15.36TB/KCM7XRJE15T3</t>
  </si>
  <si>
    <t>Kioxia NVMe SSD CM7-V SIE KCM7XVJE1T60 1.6TB/KCM7XVJE1T60</t>
  </si>
  <si>
    <t>Kioxia NVMe SSD CM7-V SIE KCM7XVJE3T20 3.2TB/KCM7XVJE3T20</t>
  </si>
  <si>
    <t>Kioxia NVMe SSD CM7-V SIE KCM7XVJE6T40 6.4TB/KCM7XVJE6T40</t>
  </si>
  <si>
    <t>Kioxia NVMe SSD CM7-V SIE KCM7XVJE12T8 12.8TB/KCM7XVJE12T8</t>
  </si>
  <si>
    <t>Kioxia NVMe SSD CM7-V KCMYXVUG1T60 1.6TB/KCMYXVUG1T60</t>
  </si>
  <si>
    <t>Kioxia NVMe SSD CM7-V KCMYXVUG3T20 3.2TB/KCMYXVUG3T20</t>
  </si>
  <si>
    <t>Kioxia NVMe SSD CM7-V KCMYXVUG6T40 6.4TB/KCMYXVUG6T40</t>
  </si>
  <si>
    <t>Kioxia NVMe SSD CM7-V KCMYXVUG12T8 12.8TB/KCMYXVUG12T8</t>
  </si>
  <si>
    <t>Kioxia NVMe SSD CM7-R KCMY1RUG1T92 1.92TB/KCMY1RUG1T92</t>
  </si>
  <si>
    <t>Kioxia NVMe SSD CM7-R KCMY1RUG3T84 3.84TB/KCMY1RUG3T84</t>
  </si>
  <si>
    <t>Kioxia NVMe SSD CM7-R KCMY1RUG7T68 7.68TB/KCMY1RUG7T68</t>
  </si>
  <si>
    <t>Kioxia NVMe SSD CM7-R KCMY1RUG15T3 15.36TB/KCMY1RUG15T3</t>
  </si>
  <si>
    <t>Kioxia NVMe SSD CM7-V KCMY1VUG1T60 1.6TB/KCMY1VUG1T60</t>
  </si>
  <si>
    <t>Kioxia NVMe SSD CM7-V KCMY1VUG3T20 3.2TB/KCMY1VUG3T20</t>
  </si>
  <si>
    <t>Kioxia NVMe SSD CM7-V KCMY1VUG6T40 6.4TB/KCMY1VUG6T40</t>
  </si>
  <si>
    <t>Kioxia NVMe SSD CM7-V KCMY1VUG12T8 12.8TB/KCMY1VUG12T8</t>
  </si>
  <si>
    <t>Kioxia NVMe SSD CM7-R SIE KCMYXRUG3T84 3.84TB/KCMYXRUG3T84</t>
  </si>
  <si>
    <t>Kioxia NVMe SSD CM7-R SIE KCMYXRUG7T68 7.68TB/KCMYXRUG7T68</t>
  </si>
  <si>
    <t>Kioxia NVMe SSD CM7-R SIE KCMYXRUG15T3 15.36TB/KCMYXRUG15T3</t>
  </si>
  <si>
    <t>KCD81RUG960G</t>
  </si>
  <si>
    <t>KCD81RUG1T92</t>
  </si>
  <si>
    <t>KCD81RUG3T84</t>
  </si>
  <si>
    <t>KCD81RUG7T68</t>
  </si>
  <si>
    <t>KCD81RUG15T3</t>
  </si>
  <si>
    <t>Kioxia NVMe SSD CD8P-R KCD81PUG1T92 1.92TB</t>
  </si>
  <si>
    <t>Kioxia NVMe SSD CD8P-R KCD81PUG3T84 3.84TB</t>
  </si>
  <si>
    <t>Kioxia NVMe SSD CD8P-V KCD81PUG1T60 1.6TB</t>
  </si>
  <si>
    <t>Kioxia NVMe SSD CD8P-R SIE KCD8XPUG1T92 1.92TB</t>
  </si>
  <si>
    <t>Kioxia NVMe SSD CD8P-R SIE KCD8XPUG3T84 3.84TB</t>
  </si>
  <si>
    <t>Kioxia NVMe SSD CD8P-R SIE KCD8XPUG7T68 7.68TB</t>
  </si>
  <si>
    <t>Kioxia NVMe SSD CD8P-R SIE KCD8XPUG15T3 15.36TB</t>
  </si>
  <si>
    <t>Kioxia NVMe SSD CD8P-R SIE KCD8XPUG30T7 30.72TB</t>
  </si>
  <si>
    <t>Kioxia NVMe SSD CD8P-V SIE KCD8XPUG1T60 1.6TB</t>
  </si>
  <si>
    <t>Kioxia NVMe SSD CD8P-V SIE KCD8XPUG3T20 3.2TB</t>
  </si>
  <si>
    <t>Kioxia NVMe SSD CD8P-V SIE KCD8XPUG6T40 6.4TB</t>
  </si>
  <si>
    <t>Kioxia NVMe SSD CD8P-V SIE KCD8XPUG12T8 12.8TB</t>
  </si>
  <si>
    <t>Kioxia NVMe SSD CD8P-R KCD81PUG7T68 7.68TB</t>
  </si>
  <si>
    <t>Kioxia NVMe SSD CD8P-R KCD81PUG15T3 15.36TB</t>
  </si>
  <si>
    <t>Kioxia NVMe SSD CD8P-R KCD81PUG30T7 30.72TB</t>
  </si>
  <si>
    <t>Kioxia NVMe SSD CD8P-V KCD81PUG3T20 3.2TB</t>
  </si>
  <si>
    <t>Kioxia NVMe SSD CD8P-V KCD81PUG6T40 6.4TB</t>
  </si>
  <si>
    <t>Kioxia NVMe SSD CD8P-V KCD81PUG12T8 12.8TB</t>
  </si>
  <si>
    <t>Kioxia NVMe SSD CD8P-V SIE KCD8XPJE1T60 1.6TB</t>
  </si>
  <si>
    <t>Kioxia NVMe SSD CD8P-R SIE KCD8XPJE1T92 1.92TB</t>
  </si>
  <si>
    <t>Kioxia NVMe SSD CD8P-V SIE KCD8XPJE3T20 3.2TB</t>
  </si>
  <si>
    <t>Kioxia NVMe SSD CD8P-V SIE KCD8XPJE6T40 6.4TB</t>
  </si>
  <si>
    <t>Kioxia NVMe SSD CD8P-V SIE KCD8XPJE12T8 12.8TB</t>
  </si>
  <si>
    <t>Kioxia NVMe SSD CD8P-R SIE KCD8XPJE3T84 3.84TB</t>
  </si>
  <si>
    <t>Kioxia NVMe SSD CD8P-R SIE KCD8XPJE7T68 7.68TB</t>
  </si>
  <si>
    <t>Kioxia NVMe SSD CD8P-R SIE KCD8XPJE15T3 15.36TB</t>
  </si>
  <si>
    <t>Kioxia NVMe SSD CD8P-V SED KCD8DPUG1T60 1.6TB</t>
  </si>
  <si>
    <t>Kioxia NVMe SSD CD8P-V SED KCD8DPUG3T20 3.2TB</t>
  </si>
  <si>
    <t>Kioxia NVMe SSD CD8P-V SED KCD8DPUG6T40 6.4TB</t>
  </si>
  <si>
    <t>Kioxia NVMe SSD CD8P-V SED KCD8DPUG12T8 12.8TB</t>
  </si>
  <si>
    <t>Kioxia NVMe SSD CD8P-R SED KCD8DPUG1T92 1.92TB</t>
  </si>
  <si>
    <t>Kioxia NVMe SSD CD8P-R SED KCD8DPUG3T84 3.84TB</t>
  </si>
  <si>
    <t>Kioxia NVMe SSD CD8P-R SED KCD8DPUG7T68 7.68TB</t>
  </si>
  <si>
    <t>Kioxia NVMe SSD CD8P-R SED KCD8DPUG15T3 15.36TB</t>
  </si>
  <si>
    <t>Kioxia NVMe SSD CD8P-R SED KCD8DPUG30T7 30.72TB</t>
  </si>
  <si>
    <t>Kioxia NVMe SSD CD8P-V SED KCD8DPJE1T60 1.6TB</t>
  </si>
  <si>
    <t>Kioxia NVMe SSD CD8P-V SED KCD8DPJE3T20 3.2TB</t>
  </si>
  <si>
    <t>Kioxia NVMe SSD CD8P-V SED KCD8DPJE6T40 6.4TB</t>
  </si>
  <si>
    <t>Kioxia NVMe SSD CD8P-V SED KCD8DPJE12T8 12.8TB</t>
  </si>
  <si>
    <t>Kioxia NVMe SSD CD8P-R SED KCD8DPJE1T92 1.92TB</t>
  </si>
  <si>
    <t>Kioxia NVMe SSD CD8P-R SED KCD8DPJE3T84 3.84TB</t>
  </si>
  <si>
    <t>Kioxia NVMe SSD CD8P-R SED KCD8DPJE7T68 7.68TB</t>
  </si>
  <si>
    <t>Kioxia NVMe SSD CD8P-R SED KCD8DPJE15T3 15.36TB</t>
  </si>
  <si>
    <t>KCD81VUG800G</t>
  </si>
  <si>
    <t>KCD81VUG1T60</t>
  </si>
  <si>
    <t>KCD81VUG3T20</t>
  </si>
  <si>
    <t>KCD81VUG6T40</t>
  </si>
  <si>
    <t>KCD81VUG12T8</t>
  </si>
  <si>
    <t>Kioxia NVMe SSD CM9 SED KCM9DRUL1T92 1.92TB</t>
  </si>
  <si>
    <t>Kioxia NVMe SSD CM7-R KCMY1RUG30T7 30.72TB/KCMY1RUG30T7</t>
  </si>
  <si>
    <t>Kioxia NVMe SSD CM7-R SIE KCMYXRUG30T7 30.72TB/KCMYXRUG30T7</t>
  </si>
  <si>
    <t>Kioxia NVMe SSD CM7-R FIPS KCM7FRJE1T92 1.92TB/KCM7FRJE1T92</t>
  </si>
  <si>
    <t>Kioxia NVMe SSD CM7-R FIPS KCM7FRJE3T84 3.84TB/KCM7FRJE3T84</t>
  </si>
  <si>
    <t>Kioxia NVMe SSD CM7-R FIPS KCM7FRJE7T68 7.68TB/KCM7FRJE7T68</t>
  </si>
  <si>
    <t>Kioxia NVMe SSD CM7-R FIPS KCM7FRJE15T3 15.36TB/KCM7FRJE15T3</t>
  </si>
  <si>
    <t>Kioxia NVMe SSD CM7-V FIPS KCM7FVJE1T60 1.6TB/KCM7FVJE1T60</t>
  </si>
  <si>
    <t>Kioxia NVMe SSD CM7-V FIPS KCM7FVJE3T20 3.2TB/KCM7FVJE3T20</t>
  </si>
  <si>
    <t>Kioxia NVMe SSD CM7-V FIPS KCM7FVJE6T40 6.4TB/KCM7FVJE6T40</t>
  </si>
  <si>
    <t>Kioxia NVMe SSD CM7-V FIPS KCM7FVJE12T8 12.8TB/KCM7FVJE12T8</t>
  </si>
  <si>
    <t>Kioxia NVMe SSD CM9 SED KCM9DRUL3T84 3.84TB</t>
  </si>
  <si>
    <t>Kioxia NVMe SSD CM9 SED KCM9DRUL7T68 7.68TB</t>
  </si>
  <si>
    <t>Kioxia NVMe SSD CM9 SED KCM9DRUL15T3 15.36TB</t>
  </si>
  <si>
    <t>Kioxia NVMe SSD CM9 SED KCM9DRUL30T7 30.72TB</t>
  </si>
  <si>
    <t>Kioxia NVMe SSD CM9 SED KCM9DRUL61T4 61.44TB</t>
  </si>
  <si>
    <t>Kioxia NVMe SSD CM9 SED KCM9DVUL1T60 1.6TB</t>
  </si>
  <si>
    <t>Kioxia NVMe SSD CM9 SED KCM9DVUL3T20 3.2TB</t>
  </si>
  <si>
    <t>Kioxia NVMe SSD CM9 SED KCM9DVUL6T40 6.4TB</t>
  </si>
  <si>
    <t>Kioxia NVMe SSD CM9 SED KCM9DVUL12T8 12.8TB</t>
  </si>
  <si>
    <t>Kioxia NVMe SSD CM9 SIE KCM9XRUL1T92 1.92TB</t>
  </si>
  <si>
    <t>Kioxia NVMe SSD CM9 SIE KCM9XRUL3T84 3.84TB</t>
  </si>
  <si>
    <t>Kioxia NVMe SSD CM9 SIE KCM9XRUL7T68 7.68TB</t>
  </si>
  <si>
    <t>Kioxia NVMe SSD CM9 SIE KCM9XRUL15T3 15.36TB</t>
  </si>
  <si>
    <t>Kioxia NVMe SSD CM9 SIE KCM9XRUL30T7 30.72TB</t>
  </si>
  <si>
    <t>Kioxia NVMe SSD CM9 SIE KCM9XRUL61T4 61.44TB</t>
  </si>
  <si>
    <t>Kioxia NVMe SSD CM9 SIE KCM9XVUL1T60 1.6TB</t>
  </si>
  <si>
    <t>Kioxia NVMe SSD CM9 SIE KCM9XVUL3T20 3.2TB</t>
  </si>
  <si>
    <t>Kioxia NVMe SSD CM9 SIE KCM9XVUL6T40 6.4TB</t>
  </si>
  <si>
    <t>Kioxia NVMe SSD CM9 SIE KCM9XVUL12T8 12.8TB</t>
  </si>
  <si>
    <t>Kioxia NVMe SSD CM9 SED KCM9DRJE1T92 1.92TB</t>
  </si>
  <si>
    <t>Kioxia NVMe SSD CM9 SED KCM9DRJE3T84 3.84TB</t>
  </si>
  <si>
    <t>Kioxia NVMe SSD CM9 SED KCM9DRJE7T68 7.68TB</t>
  </si>
  <si>
    <t>Kioxia NVMe SSD CM9 SED KCM9DRJE15T3 15.36TB</t>
  </si>
  <si>
    <t>Kioxia NVMe SSD CM9 SED KCM9DRJE30T7 30.72TB</t>
  </si>
  <si>
    <t>Kioxia NVMe SSD CM9 SED KCM9DVJE1T60 1.6TB</t>
  </si>
  <si>
    <t>Kioxia NVMe SSD CM9 SED KCM9DVJE3T20 3.2TB</t>
  </si>
  <si>
    <t>Kioxia NVMe SSD CM9 SED KCM9DVJE6T40 6.4TB</t>
  </si>
  <si>
    <t>Kioxia NVMe SSD CM9 SED KCM9DVJE12T8 12.8TB</t>
  </si>
  <si>
    <t>Kioxia NVMe SSD CD9P SIE KCD9XPUG1T92 1.92TB</t>
  </si>
  <si>
    <t>Kioxia NVMe SSD CD9P SIE KCD9XPUG3T84 3.84TB</t>
  </si>
  <si>
    <t>Kioxia NVMe SSD CD9P SIE KCD9XPUG7T68 7.68TB</t>
  </si>
  <si>
    <t>Kioxia NVMe SSD CD9P SIE KCD9XPUG15T3 15.36TB</t>
  </si>
  <si>
    <t>Kioxia NVMe SSD CD9P SIE KCD9XPUG30T7 30.72TB</t>
  </si>
  <si>
    <t>Kioxia NVMe SSD CD9P SIE KCD9XPUG61T4 61.44TB</t>
  </si>
  <si>
    <t>Kioxia NVMe SSD CD9P SIE KCD9XPUG1T60 1.6TB</t>
  </si>
  <si>
    <t>Kioxia NVMe SSD CD9P SIE KCD9XPUG3T20 3.2TB</t>
  </si>
  <si>
    <t>Kioxia NVMe SSD CD9P SIE KCD9XPUG6T40 6.4TB</t>
  </si>
  <si>
    <t>Kioxia NVMe SSD CD9P SIE KCD9XPUG12T8 12.8TB</t>
  </si>
  <si>
    <t>Kioxia NVMe SSD CD9P SIE KCD9XPJE1T92 1.92TB</t>
  </si>
  <si>
    <t>Kioxia NVMe SSD CD9P SIE KCD9XPJE3T84 3.84TB</t>
  </si>
  <si>
    <t>Kioxia NVMe SSD CD9P SIE KCD9XPJE7T68 7.68TB</t>
  </si>
  <si>
    <t>Kioxia NVMe SSD CD9P SIE KCD9XPJE15T3 15.36TB</t>
  </si>
  <si>
    <t>Kioxia NVMe SSD CD9P SIE KCD9XPJE1T60 1.6TB</t>
  </si>
  <si>
    <t>Kioxia NVMe SSD CD9P SIE KCD9XPJE3T20 3.2TB</t>
  </si>
  <si>
    <t>Kioxia NVMe SSD CD9P SIE KCD9XPJE6T40 6.4TB</t>
  </si>
  <si>
    <t>Kioxia NVMe SSD CD9P SIE KCD9XPJE12T8 12.8TB</t>
  </si>
  <si>
    <t>Kioxia NVMe SSD CD9P SED KCD9DPUG1T92 1.92TB</t>
  </si>
  <si>
    <t>Kioxia NVMe SSD CD9P SED KCD9DPUG3T84 3.84TB</t>
  </si>
  <si>
    <t>Kioxia NVMe SSD CD9P SED KCD9DPUG7T68 7.68TB</t>
  </si>
  <si>
    <t>Kioxia NVMe SSD CD9P SED KCD9DPUG15T3 15.36TB</t>
  </si>
  <si>
    <t>Kioxia NVMe SSD CD9P SED KCD9DPUG30T7 30.72TB</t>
  </si>
  <si>
    <t>Kioxia NVMe SSD CD9P SED KCD9DPUG61T4 61.44TB</t>
  </si>
  <si>
    <t>Kioxia NVMe SSD CD9P SED KCD9DPUG1T60 1.6TB</t>
  </si>
  <si>
    <t>Kioxia NVMe SSD CD9P SED KCD9DPUG3T20 3.2TB</t>
  </si>
  <si>
    <t>Kioxia NVMe SSD CD9P SED KCD9DPUG6T40 6.4TB</t>
  </si>
  <si>
    <t>Kioxia NVMe SSD CD9P SED KCD9DPUG12T8 12.8TB</t>
  </si>
  <si>
    <t>Kioxia NVMe SSD CD9P SED KCD9DPJE1T92 1.92TB</t>
  </si>
  <si>
    <t>Kioxia NVMe SSD CD9P SED KCD9DPJE3T84 3.84TB</t>
  </si>
  <si>
    <t>Kioxia NVMe SSD CD9P SED KCD9DPJE7T68 7.68TB</t>
  </si>
  <si>
    <t>Kioxia NVMe SSD CD9P SED KCD9DPJE15T3 15.36TB</t>
  </si>
  <si>
    <t>Kioxia NVMe SSD CD9P SED KCD9DPJE30T7 30.72TB</t>
  </si>
  <si>
    <t>Kioxia NVMe SSD CD9P SED KCD9DPJE1T60 1.6TB</t>
  </si>
  <si>
    <t>Kioxia NVMe SSD CD9P SED KCD9DPJE3T20 3.2TB</t>
  </si>
  <si>
    <t>Kioxia NVMe SSD CD9P SED KCD9DPJE6T40 6.4TB</t>
  </si>
  <si>
    <t>Kioxia NVMe SSD CD9P SED KCD9DPJE12T8 12.8TB</t>
  </si>
  <si>
    <t>Lenovo</t>
  </si>
  <si>
    <t>System x Broadcom NetXtreme I Quad Port GbE Adapter (90Y9352)</t>
  </si>
  <si>
    <t>Lenovo ThinkServer RAID 520i PCIe Adapter</t>
  </si>
  <si>
    <t>ServeRAID M5210e</t>
  </si>
  <si>
    <t>ServeRAID M5210e SAS/SATA Controller</t>
  </si>
  <si>
    <t>ServeRAID M5215</t>
  </si>
  <si>
    <t>ServeRAID M5225-2GB SAS/SATA Controller</t>
  </si>
  <si>
    <t>ServeRAID M1210e</t>
  </si>
  <si>
    <t>ServeRAID M1215</t>
  </si>
  <si>
    <t>Emulex VFA5 ML2 Dual Port 10GbE SFP+ Adapter</t>
  </si>
  <si>
    <t>ServeRAID M5210 SAS/SATA Controller</t>
  </si>
  <si>
    <t>Lenovo ThinkServer RAID 720i AnyRAID Adapter</t>
  </si>
  <si>
    <t>Lenovo ThinkServer RAID 720ix AnyRAID Adapter</t>
  </si>
  <si>
    <t>ServeRAID 5210e SAS/SATA Controller</t>
  </si>
  <si>
    <t>Lenovo ThinkServer I350-T4 AnyFabric</t>
  </si>
  <si>
    <t>Lenovo SN30E54818 ThinkServer OCm14102-UX-L AnyFabric 10Gb 2 Port SFP+ CNA by Emulex</t>
  </si>
  <si>
    <t>Lenovo SN30E54820 ThinkServer OCm14104-UX-L AnyFabric 10Gb 4 Port SFP+ CNA by Emulex</t>
  </si>
  <si>
    <t>00JY840 (Option) 00JY826 (CTO) Emulex VFA5 2x10 GbE SFP+ Integrated Adapter - GOLD Lite (OCe14102-U2-X)</t>
  </si>
  <si>
    <t>Lenovo ThinkServer RAID 720i PCIe Adapter</t>
  </si>
  <si>
    <t>P3600 400GB NVMe 2.5 Enterprise Value PCIe SSD - 90Y3227"</t>
  </si>
  <si>
    <t>P3600 800GB NVMe 2.5 Enterprise Value PCIe SSD - 90Y3230"</t>
  </si>
  <si>
    <t>P3600 1600GB NVMe 2.5 Enterprise Value PCIe SSD - 90Y3233"</t>
  </si>
  <si>
    <t>P3600 2000GB NVMe 2.5 Enterprise Value PCIe SSD - 90Y3236"</t>
  </si>
  <si>
    <t>00D1996 Emulex VFA5 ML2 Dual port 10Gb SFP+ Adapter (EL2) (OCm14102-U-X)</t>
  </si>
  <si>
    <t>00JY800 Flex System CN4052 2-port 10Gb Virtual Fabric Adapter (OCm14102-U2-X)</t>
  </si>
  <si>
    <t>94Y5160 Flex System CN4058S 8-port 10Gb Virtual Fabric Adapter (OCm14108-U-X)</t>
  </si>
  <si>
    <t>00JY820 Emulex VFA5 2x10 GbE SFP+ PCIe Adapter (OCe14102-UX-X)</t>
  </si>
  <si>
    <t>Intel(R) Ethernet Controller X710 for 10GbE SFP+ (94Y5200)</t>
  </si>
  <si>
    <t>Intel(R) Ethernet Controller X710 for 10GbE SFP+ (01DA900)</t>
  </si>
  <si>
    <t>N2215 SAS/SATA HBA</t>
  </si>
  <si>
    <t>N2225 SAS/SATA HBA</t>
  </si>
  <si>
    <t>N2226 SAS/SATA HBA</t>
  </si>
  <si>
    <t>ServeRAID M1215 SAS/SATA Controller</t>
  </si>
  <si>
    <t>Lenovo ThinkServer X710 AnyFabric for 10GbE SFP+</t>
  </si>
  <si>
    <t>Lenovo ThinkServer X710-4 AnyFabric for 10GbE SFP+ (4XC0G88848)</t>
  </si>
  <si>
    <t>Lenovo ThinkServer X710-2 AnyFabric for 10GbE SFP+ (4XC0G88847)</t>
  </si>
  <si>
    <t>Intel X710-DA2 ML2 2x10GbE SFP+ adapter (00JY940)</t>
  </si>
  <si>
    <t>Intel(R) Ethernet Controller X710 for 10GbE SFP+ (4XC0G88827)</t>
  </si>
  <si>
    <t>Intel(R) Ethernet Controller X710 for 10GbE SFP+ (4XC0G88828)</t>
  </si>
  <si>
    <t>Lenovo LPe31002-M6-L 2-Port 16Gb Fibre Channel Adapter (01CV840)</t>
  </si>
  <si>
    <t>Lenovo LPe31000-M6-L 1-Port 16Gb Fibre Channel Adapter (01CV830)</t>
  </si>
  <si>
    <t>QLogic 16Gb Enhanced Gen5 FC Single-port HBA. (01CV750)</t>
  </si>
  <si>
    <t>QLogic 16Gb Enhanced Gen5 FC Dual-port HBA. (01CV760)</t>
  </si>
  <si>
    <t>Flex System CN4054S 4-port 10Gb Virtual Fabric Adapter (00AG590)</t>
  </si>
  <si>
    <t>Flex System CN4052S 2-port 10Gb Virtual Fabric Adapter (00AG540)</t>
  </si>
  <si>
    <t>Emulex VFA5.2 ML2 Dual Port 10GbE SFP+ Adapter (00AG560)</t>
  </si>
  <si>
    <t>Emulex VFA5.2 2x10 GbE SFP+ Adapter and FCoE/iSCSI SW (00AG580)</t>
  </si>
  <si>
    <t>Emulex VFA5.2 2x10 GbE SFP+ PCIe Adapter (00AG570)</t>
  </si>
  <si>
    <t>Emulex OneConnect OCe14102-U3-X
  NIC
  Port x</t>
  </si>
  <si>
    <t>Lenovo Flex OCl14104-U2-L 4-port 10GbE Virtual Fabric Adapter LOM</t>
  </si>
  <si>
    <t>ServeRAID M5215 SAS/SATA Controller</t>
  </si>
  <si>
    <t>ServeRAID 5210e SAS/SATA Controller¬†</t>
  </si>
  <si>
    <t>430-8i SAS/SATA Dense HBA</t>
  </si>
  <si>
    <t>7Y37A01088 - ThinkSystem 430-8i SAS/SATA 12Gb HBA</t>
  </si>
  <si>
    <t>7Y37A01089 - ThinkSystem 430-16i SAS/SATA 12Gb HBA</t>
  </si>
  <si>
    <t>7Y37A01090 - ThinkSystem 430-8e SAS/SATA 12Gb HBA</t>
  </si>
  <si>
    <t>7Y37A01091 - ThinkSystem 430-16e SAS/SATA 12Gb HBA</t>
  </si>
  <si>
    <t>ServeRAID M1210</t>
  </si>
  <si>
    <t>Flex System 01CV792 4-port 10Gb Virtual Fabric Adapter w/FCoE</t>
  </si>
  <si>
    <t>Emulex 01CV772 ML2 2-Port 10GbE SFP+ Adapter w/FCoE</t>
  </si>
  <si>
    <t>Flex System 01CV782 2-port 10Gb Virtual Fabric Adapter w/FCoE</t>
  </si>
  <si>
    <t>Lenovo-00MM950-ConnectX-4 Lx PCIe 40Gb 1 Port QSFP+ Ethernet Adapter-Mellanox</t>
  </si>
  <si>
    <t>Lenovo-00MN990-ConnectX-4 Lx ML2 25Gb 1 Port SFP28 Ethernet Adapter-Mellanox</t>
  </si>
  <si>
    <t>Lenovo-01GR250-ConnectX-4 Lx PCIe 25Gb 2-Port SFP28 Ethernet Adapter-Mellanox</t>
  </si>
  <si>
    <t>Lenovo-00MM960-ConnectX-4 PCIe 100GbE/ EDR IB 2 Port QSFP+ VPI Adapter-Mellanox</t>
  </si>
  <si>
    <t>Lenovo-00KH924-ConnectX-4 EDR IB VPI Single-port x16 PCIe 3.0 HCA-Mellanox</t>
  </si>
  <si>
    <t>Lenovo SN30L34587 4x10GbE SFP+ PCIe Adapter</t>
  </si>
  <si>
    <t>ThinkSystem Broadcom NX-E PCIe 10Gb 2-Port Base-T Ethernet Adapter (7ZT7A00496)</t>
  </si>
  <si>
    <t>ThinkSystem 1Gb 2-port RJ45 LOM (7ZT7A00544)</t>
  </si>
  <si>
    <t>ThinkSystem 1Gb RJ45 LOM</t>
  </si>
  <si>
    <t>ThinkSystem Broadcom NetXtreme PCIe 1Gb 4-Port RJ45 Ethernet Adapter (7ZT7A00484)</t>
  </si>
  <si>
    <t>ThinkSystem Broadcom NetXtreme PCIe 1Gb 2-Port RJ45 Ethernet Adapter (7ZT7A00482)</t>
  </si>
  <si>
    <t>7Y37A01084 - ThinkSystem RAID 930-8i 2GB Flash PCIe 12Gb Adapter</t>
  </si>
  <si>
    <t>7Y37A01086 - ThinkSystem RAID 930-24i 4GB Flash PCIe 12Gb Adapter</t>
  </si>
  <si>
    <t>7Y37A01087 - ThinkSystem RAID 930-8e 4GB Flash PCIe 12Gb Adapter</t>
  </si>
  <si>
    <t>7M27A03917 - ThinkSystem RAID 930-4i 2GB Flash Flex Adapter (SN550)</t>
  </si>
  <si>
    <t>7M17A03933 - ThinkSystem RAID 930-4i 2GB Flash Flex Adapter (SN850)</t>
  </si>
  <si>
    <t>7Y37A01083 - ThinkSystem RAID 730-8i 1GB Cache PCIe 12Gb Adapter</t>
  </si>
  <si>
    <t>7Y37A01082 - ThinkSystem RAID 530-8i PCIe 12Gb Adapter</t>
  </si>
  <si>
    <t>7M17A03932 - ThinkSystem RAID 530-4i Flex Adapter (SN850)</t>
  </si>
  <si>
    <t>7M27A03918 - ThinkSystem RAID 530-4i Flex Adapter (SN550)</t>
  </si>
  <si>
    <t>ThinkSystem RAID 530-8i Dense Adapter</t>
  </si>
  <si>
    <t>7Y37A01085 - ThinkSystem RAID 930-16i 4GB Flash PCIe 12Gb Adapter</t>
  </si>
  <si>
    <t>ThinkSystem QLogic QLE2740 PCIe 32Gb 1-Port SFP+ Fibre Channel Adapter (7ZT7A00516)</t>
  </si>
  <si>
    <t>ThinkSystem QLogic QLE2742 PCIe 32Gb 2-Port SFP+ Fibre Channel Adapter (7ZT7A00518)</t>
  </si>
  <si>
    <t>ThinkSystem QLogic QML2692 Mezz 16Gb 2-Port Fibre Channel Adapter (7ZT7A00520)</t>
  </si>
  <si>
    <t>Emulex LightPulse SN30L22001 1-Port 32Gb Fibre Channel Adapter (7ZT7A00517)</t>
  </si>
  <si>
    <t>Emulex LightPulse SN30L22002 2-Port 32Gb Fibre Channel Adapter (7ZT7A00519)</t>
  </si>
  <si>
    <t>Intel X550-T2 Dual Port 10GBase-T Adapter (00MM860)</t>
  </si>
  <si>
    <t>Intel X550-T1 Single Port 10GBase-T Adapter (00MM850)</t>
  </si>
  <si>
    <t>ThinkSystem Intel X710-DA2 2x10GbE SFP+ Adapter (7ZT7A00537)</t>
  </si>
  <si>
    <t>ThinkSystem 10Gb 2-port SFP+ LOM (7ZT7A00546)</t>
  </si>
  <si>
    <t>ThinkSystem 10Gb 4-port SFP+ LOM (7ZT7A00547)</t>
  </si>
  <si>
    <t>ThinkSystem D2 10Gb 8-port SFP+ (7M17A04000)</t>
  </si>
  <si>
    <t>ThinkSystem 10Gb 2-port Base-T LOM (7ZT7A00548)</t>
  </si>
  <si>
    <t>ThinkSystem 10Gb 4-port Base-T LOM (7ZT7A00549)</t>
  </si>
  <si>
    <t>ThinkSystem D2 10Gb 8-port Base-T (7M17A04001)</t>
  </si>
  <si>
    <t>ThinkSystem Intel I350-F1 PCIe 1Gb 1-Port SFP Ethernet Adapter (7ZT7A00533)</t>
  </si>
  <si>
    <t>ThinkSystem Intel I350-T2 PCIe 1Gb 2-Port RJ45 Ethernet Adapter (7ZT7A00534)</t>
  </si>
  <si>
    <t>ThinkSystem Intel I350-T4 PCIe 1Gb 4-Port RJ45 Ethernet Adapter (7ZT7A00535)</t>
  </si>
  <si>
    <t>ThinkSystem Intel I350-T4 ML2 1Gb 4-Port RJ45 Ethernet Adapter</t>
  </si>
  <si>
    <t>Intel(R) Ethernet Converged Network Adapter X710-T4</t>
  </si>
  <si>
    <t>Lenovo-7ZT7A00507-ThinkSystem ConnectX-4 Lx ML2 25Gb 2-Port SFP28 Ethernet Adapter-Mellanox</t>
  </si>
  <si>
    <t>Lenovo-7ZT7A00500-ThinkSystem ConnectX-4 PCIe FDR 2-Port QSFP VPI Adapter-Mellanox</t>
  </si>
  <si>
    <t>Lenovo-7XC7A05524-ConnectX-4 PCIe FDR 1-Port QSFP VPI Adapter-Mellanox</t>
  </si>
  <si>
    <t>9300-8e PCIe 12Gb 8 Port External SAS Adapter</t>
  </si>
  <si>
    <t>Lenovo P3700 PCIe SSD 400GB 00YA818</t>
  </si>
  <si>
    <t>Lenovo P3700 PCIe SSD 800GB 00YA821</t>
  </si>
  <si>
    <t>Lenovo P3700 PCIe SSD 1.6TB 00YA824</t>
  </si>
  <si>
    <t>ThinkSystem U.2 Intel P4800X 375GB Performance NVMe PCIe 3.0 x4 Hot Swap SSD (PN: 7N47A00081)</t>
  </si>
  <si>
    <t>ThinkSystem U.2 Intel P4800X 750GB Performance NVMe PCIe 3.0 x4 Hot Swap SSD (PN: 7N47A00083)</t>
  </si>
  <si>
    <t>ThinkSystem U.2 Intel P4500 1.0TB Entry NVMe PCIe3.0 x4 Hot Swap SSD (PN: 7SD7A05779)</t>
  </si>
  <si>
    <t>ThinkSystem U.2 Intel P4500 2.0TB Entry NVMe PCIe3.0 x4 Hot Swap SSD (PN: 7SD7A05778)</t>
  </si>
  <si>
    <t>ThinkSystem U.2 Intel P4500 4.0TB Entry NVMe PCIe3.0 x4 Hot Swap SSD (PN: 7SD7A05777)</t>
  </si>
  <si>
    <t>ThinkSystem U.2 Intel P4600 1.6TB Mainstream NVMe PCIe3.0 x4 Hot Swap SSD (PN: 7SD7A05772)</t>
  </si>
  <si>
    <t>ThinkSystem U.2 Intel P4600 3.2TB Mainstream NVMe PCIe3.0 x4 Hot Swap SSD (PN: 7SD7A05771)</t>
  </si>
  <si>
    <t>System x Broadcom NetXtreme I Dual Port Gigabit Ethernet Controller</t>
  </si>
  <si>
    <t>System x Broadcom NetXtreme I Quad Port Gigabit Ethernet Controller</t>
  </si>
  <si>
    <t>System x Broadcom NetXtreme I Dual Port GbE Adapter (90Y9370)</t>
  </si>
  <si>
    <t>Intel P4500 1.0TB NVMe 2.5 Enterprise Entry PCIe SSD (PN: 7SD7A05774)"</t>
  </si>
  <si>
    <t>Intel P4500 2.0TB NVMe 2.5 Enterprise Entry PCIe SSD (PN: 7SD7A05773)"</t>
  </si>
  <si>
    <t>Intel P4500 4.0TB NVMe 2.5 Enterprise Entry PCIe SSD (PN: 4XB7A08539)"</t>
  </si>
  <si>
    <t>Intel P4600 1.6TB NVMe 2.5 Enterprise Mainstream PCIe SSD (PN: 7SD7A05767)"</t>
  </si>
  <si>
    <t>Intel P4600 3.2TB NVMe 2.5 Enterprise Mainstream PCIe SSD (PN: 7SD7A05766)"</t>
  </si>
  <si>
    <t>ThinkSystem 3.5 Intel P4600 3.2TB Mainstream NVMe PCIe3.0 x4 Hot Swap SSD (PN: 4XB7A08529)"</t>
  </si>
  <si>
    <t>ThinkSystem U.2 Intel P4600 6.4TB Mainstream NVMe PCIe3.0 x4 Hot Swap (PN: 7SD7A05770)</t>
  </si>
  <si>
    <t>System x3250 LOM</t>
  </si>
  <si>
    <t>7XC7A05525 - ThinkSystem Intel X710-DA4 PCI-e 10GbE 4-port SFP+ Adapter</t>
  </si>
  <si>
    <t>7XC7A05523 - ThinkSystem Intel XXV710-DA2 PCIe 25Gb 2-Port SFP28 Adapter</t>
  </si>
  <si>
    <t>4Y37A09721 - ThinkSystem RAID 930-16i 8GB Flash PCIe 12Gb Adapter</t>
  </si>
  <si>
    <t>Lenovo P3700 PCIe SSD 2TB 00YA827</t>
  </si>
  <si>
    <t>ThinkSystem M.2 with Mirroring Enablement Kit</t>
  </si>
  <si>
    <t>ThinkSystem SR630 x16 PCIe Riser with 4 on board SATA Ports</t>
  </si>
  <si>
    <t>Intel I350-F1 1xGbE Fiber Adapter for IBM System x (00AG500)</t>
  </si>
  <si>
    <t>Intel I350-T2 2xGbE BaseT Adapter for IBM System x (00AG510)</t>
  </si>
  <si>
    <t>Intel I350-T4 4xGbE BaseT Adapter for IBM System x (00AG520)</t>
  </si>
  <si>
    <t>4Y37A09722 - ThinkSystem RAID 730-8i 2GB Flash PCIe 12Gb Adapter</t>
  </si>
  <si>
    <t>ThinkSystem 3.5 Intel P4510 1.0TB Entry NVMe G4HS SSD (PN: 4XB7A10208)"</t>
  </si>
  <si>
    <t>ThinkSystem 3.5 Intel P4510 2.0TB Entry NVMe G4HS SSD (PN: 4XB7A13621)"</t>
  </si>
  <si>
    <t>ThinkSystem 3.5 Intel P4510 4.0TB Entry NVMe G4HS SSD (PN: 4XB7A13661)"</t>
  </si>
  <si>
    <t>ThinkSystem U.2 Intel P4510 1.0TB Entry NVMe PCIe3.0 Hot Swap SSD (PN:4XB7A10202)</t>
  </si>
  <si>
    <t>ThinkSystem U.2 Intel P4510 2.0TB Entry NVMe PCIe3.0 Hot Swap SSD (PN: 4XB7A10204)</t>
  </si>
  <si>
    <t>ThinkSystem U.2 Intel P4510 4.0TB Entry NVMe PCIe3.0 Hot Swap SSD (PN: 4XB7A10205)</t>
  </si>
  <si>
    <t>ThinkSystem U.2 Intel P4510 8.0TB Entry NVMe PCIe3.0 Hot Swap SSD (PN: 4XB7A08513)</t>
  </si>
  <si>
    <t>800GB NVMe Enterprise Mainstream 2.5 G3HS SSD/KCM51VUG800G"</t>
  </si>
  <si>
    <t>1.6TB NVMe Enterprise Mainstream 2.5 G3HS SSD/KCM51VUG1T60"</t>
  </si>
  <si>
    <t>3.2TB NVMe Enterprise Mainstream 2.5 G3HS SSD/KCM5XVUG3T20"</t>
  </si>
  <si>
    <t>U.2 6.4TB Enterprise Mainstream NVMe PCIe 3.0 Hot Swap SSD/KCM51VUG6T40</t>
  </si>
  <si>
    <t>HHHL 1.6TB Enterprise Mainstream NVMe PCIe 3.0 Flash Adapter/KCM51V4C1T60</t>
  </si>
  <si>
    <t>HHHL 3.2TB Enterprise Mainstream NVMe PCIe 3.0 Flash Adapter/KCM51V4C3T20</t>
  </si>
  <si>
    <t>HHHL 6.4TB Enterprise Mainstream NVMe PCIe 3.0 Flash Adapter/KCM51V4C6T40</t>
  </si>
  <si>
    <t>ThinkSystem U.2 Intel P4610 1.6TB Mainstream NVMe PCIe3.0 Hot Swap SSD (PN: 4XB7A13936)</t>
  </si>
  <si>
    <t>ThinkSystem U.2 Intel P4610 3.2TB Mainstream NVMe PCIe3.0 Hot Swap SSD (PN: 4XB7A13937)</t>
  </si>
  <si>
    <t>ThinkSystem U.2 Intel P4610 6.4TB Mainstream NVMe PCIe3.0 Hot Swap SSD (PN: 4XB7A13938)</t>
  </si>
  <si>
    <t>ThinkSystem 3.5 Intel P4610 1.6TB Mainstream NVMe G4HS SSD (PN: 4XB7A13944)"</t>
  </si>
  <si>
    <t>ThinkSystem 3.5 Intel P4610 3.2TB Mainstream NVMe G4HS SSD (PN: 4XB7A13945)"</t>
  </si>
  <si>
    <t>ThinkSystem 3.5 Intel P4610 6.4TB Mainstream NVMe G4HS SSD (PN: 4XB7A13946)"</t>
  </si>
  <si>
    <t>Intel(R) Ethernet Connection X722 for 1GbE¬†</t>
  </si>
  <si>
    <t>Intel(R) Ethernet Connection X722 for 10GBASE-T¬†</t>
  </si>
  <si>
    <t>Lenovo- 4XC7A08229-ThinkSystem Mellanox ConnectX-5 Ex 25/40GbE 2-port Low-Latency Adapter</t>
  </si>
  <si>
    <t>ThinkSystem Broadcom NetXtreme PCIe 1Gb 2-Port RJ45 Ethernet LOM</t>
  </si>
  <si>
    <t>4Y37A09727 - ThinkSystem RAID 530-16i PCIe 12Gb Adapter</t>
  </si>
  <si>
    <t>RAID 730-8i 4GB Flash</t>
  </si>
  <si>
    <t>Emulex LPe35000 32Gb 1-Port PCIe Fibre Channel Adapter(4XC7A08250)</t>
  </si>
  <si>
    <t>Emulex LPe35002 32Gb 2-Port PCIe Fibre Channel Adapter(4XC7A08251)</t>
  </si>
  <si>
    <t>ThinkSystem M.2 650GB P4511 NVMe SED High Endurance SSD (PN: 4XB7A39426)</t>
  </si>
  <si>
    <t>ThinkSystem M.2 1TB P4511 NVMe SED SSD (PN: 4XB7A39427)</t>
  </si>
  <si>
    <t>ThinkSystem M.2 2TB P4511 NVMe SED SSD (PN: 4XB7A39428)</t>
  </si>
  <si>
    <t>Lenovo 960GB Toshiba CM5 NVMe Enterprise Mainstream 1DWPD 2.5 SED SSD/KCM5DRUG960G"</t>
  </si>
  <si>
    <t>Lenovo 1.92TB Toshiba CM5 NVMe Enterprise Mainstream 1DWPD 2.5 SED SSD/KCM5DRUG1T92"</t>
  </si>
  <si>
    <t>Lenovo 3.84TB Toshiba CM5 NVMe Enterprise Mainstream 1DWPD 2.5 SED SSD/KCM5DRUG3T84"</t>
  </si>
  <si>
    <t>Intel(R) Ethernet Connection X722 for SE350 10G SFP+</t>
  </si>
  <si>
    <t>Intel(R) Ethernet Connection X722 for SE350 10G BaseT</t>
  </si>
  <si>
    <t>ThinkSystem Broadcom 57414 10/25GbE SFP28 2-port PCIe Ethernet Adapter (4XC7A08238)</t>
  </si>
  <si>
    <t>ThinkSystem Broadcom 57414 10/25GbE SFP28 2-port OCP Ethernet Adapter(4XC7A08237)</t>
  </si>
  <si>
    <t>Lenovo-4XC7A08249-ConnectX-4 PCIe Lx 10/25GbE SFP28 2-port PCIe Ethernet Adapter-Mellanox</t>
  </si>
  <si>
    <t>Lenovo-4XC7A08246-Lenovo ThinkSystem Mellanox ConnectX-4 Lx 10/25GbE SFP28 2-port OCP Ethernet Adapter</t>
  </si>
  <si>
    <t>ThinkSystem SE350 M.2 SATA 4-Bay Data RAID Mirroring Enablement Kit</t>
  </si>
  <si>
    <t>4Y37A09730 - ThinkSystem RAID 940-16i 8GB Flash PCIe Gen4 12Gb Adapter</t>
  </si>
  <si>
    <t>4Y37A09735 - ThinkSystem RAID 940-16i 8GB Flash PCIe Gen4 12Gb Internal Adapter</t>
  </si>
  <si>
    <t>ThinkSystem Intel I350 1GbE RJ45 4-port OCP Ethernet Adapter (4XC7A08277
  4XC7A88428)</t>
  </si>
  <si>
    <t>ThinkSystem QLogic QLE2770 32Gb 1-Port PCIe Fibre Channel Adapter (4XC7A08279)</t>
  </si>
  <si>
    <t>ThinkSystem QLogic QLE2770 32Gb 1-Port PCIe Fibre Channel Adapter VF (4XC7A08279)</t>
  </si>
  <si>
    <t>ThinkSystem QLogic QLE2772 32Gb 2-Port PCIe Fibre Channel Adapter (4XC7A08276)</t>
  </si>
  <si>
    <t>ThinkSystem QLogic QLE2772 32Gb 2-Port PCIe Fibre Channel Adapter VF (4XC7A08276)</t>
  </si>
  <si>
    <t>4Y37A09725 - ThinkSystem 440-16i SAS/SATA PCIe Gen4 12Gb Internal HBA</t>
  </si>
  <si>
    <t>4Y37A09724 - ThinkSystem 440-16e SAS/SATA PCIe Gen4 12Gb HBA</t>
  </si>
  <si>
    <t>4Y37A09728 - ThinkSystem RAID 940-8i 4GB Flash PCIe Gen4 12Gb Adapter</t>
  </si>
  <si>
    <t>4Y37A09729 - ThinkSystem RAID 940-8i 8GB Flash PCIe Gen4 12Gb Adapter</t>
  </si>
  <si>
    <t>4Y37A09733 - ThinkSystem RAID 940-32i 8GB Flash PCIe Gen4 12Gb Adapter</t>
  </si>
  <si>
    <t>ThinkSystem Broadcom 57416 10GBASE-T 2-port + 5720 1GbE 2-port OCP Ethernet Adapter (4XC7A08239)</t>
  </si>
  <si>
    <t>ThinkSystem Broadcom 5719 1GbE RJ45 4-port OCP Ethernet Adapter (4XC7A08235)</t>
  </si>
  <si>
    <t>ThinkSystem Broadcom 57416 10GBASE-T 2-port OCP Ethernet Adapter (4XC7A08236)</t>
  </si>
  <si>
    <t>ThinkSystem Broadcom 57454 10/25GbE SFP28 4-port PCIe Ethernet Adapter (4XC7A08316/4XC7A08241)</t>
  </si>
  <si>
    <t>ThinkSystem Broadcom 57454 10GBASE-T 4-port PCIe Ethernet Adapter (4XC7A08245)</t>
  </si>
  <si>
    <t>ThinkSystem Broadcom 57454 10/25GbE SFP28 4-port OCP Ethernet Adapter (4XC7A08242)</t>
  </si>
  <si>
    <t>4Y37A09739-ThinkSystem M.2 SATA 2-Bay RAID Enablement Kit</t>
  </si>
  <si>
    <t>4XH7A60927-ThinkSystem 7mm SATA 2-Bay RAID Enablement Kit</t>
  </si>
  <si>
    <t>4Y37A09750-ThinkSystem M.2 NVMe 2-Bay RAID Enablement Kit</t>
  </si>
  <si>
    <t>4XH7A60928-ThinkSystem 7mm NVMe 2-Bay Rear RAID Enablement Kit</t>
  </si>
  <si>
    <t>Lenovo- 4XC7A62574-ThinkSystem Mellanox ConnectX-5 EN 10/25GbE SFP28 2-port PCIe Ethernet Adapter</t>
  </si>
  <si>
    <t>Lenovo- 4C57A14177-ThinkSystem Mellanox ConnectX-6 HDR100/100GbE QSFP56 1-port PCIe VPI Adapter</t>
  </si>
  <si>
    <t>Lenovo- 4C57A15326-ThinkSystem Mellanox ConnectX-6 HDR/200GbE QSFP56 1-port PCIe 4 VPI Adapter</t>
  </si>
  <si>
    <t>Lenovo- 4C57A14178-ThinkSystem Mellanox ConnectX-6 HDR100/100GbE QSFP56 2-port PCIe VPI Adapter</t>
  </si>
  <si>
    <t>Lenovo- 4XC7A08248-ThinkSystem Mellanox ConnectX-6 Dx 100GbE QSFP56 2-port PCIe Ethernet Adapter</t>
  </si>
  <si>
    <t>ThinkSystem Broadcom 57454 10GBASE-T 4-port OCP Ethernet Adapter (4XC7A08240)</t>
  </si>
  <si>
    <t>KCM6DRUL960G</t>
  </si>
  <si>
    <t>KCM6DRUL1T92</t>
  </si>
  <si>
    <t>KCM6DRUL3T84</t>
  </si>
  <si>
    <t>KCM6DRUL7T68</t>
  </si>
  <si>
    <t>ThinkSystem Broadcom 57508 100GbE QSFP56 2-port PCIe 4 Ethernet Adapter (4XC7A08297)</t>
  </si>
  <si>
    <t>ThinkSystem U.2 Intel P5600 1.6TB Mainstream NVMe PCIe 4.0 x4 Hot Swap SSD (PN: 4XB7A17152)</t>
  </si>
  <si>
    <t>ThinkSystem U.2 Intel P5600 3.2TB Mainstream NVMe PCIe 4.0 x4 Hot Swap SSD (PN: 4XB7A17153)</t>
  </si>
  <si>
    <t>ThinkSystem U.2 Intel P5600 6.4TB Mainstream NVMe PCIe 4.0 x4 Hot Swap SSD (PN: 4XB7A17154)</t>
  </si>
  <si>
    <t>ThinkSystem 3.5 Intel P5600 1.6TB Mainstream NVMe PCIe 4.0 x4 Hot Swap SSD (PN: 4XB7A17155)"</t>
  </si>
  <si>
    <t>ThinkSystem 3.5 Intel P5600 3.2TB Mainstream NVMe PCIe 4.0 x4 Hot Swap SSD (PN: 4XB7A17156)"</t>
  </si>
  <si>
    <t>ThinkSystem 3.5 Intel P5600 6.4TB Mainstream NVMe PCIe 4.0 x4 Hot Swap SSD (PN: 4XB7A17157)"</t>
  </si>
  <si>
    <t>ThinkSystem U.2 Intel P5500 1.92TB Entry NVMe PCIe 4.0 x4 Hot Swap SSD (PN:4XB7A17145)</t>
  </si>
  <si>
    <t>ThinkSystem U.2 Intel P5500 3.84TB Entry NVMe PCIe 4.0 x4 Hot Swap SSD (PN: 4XB7A17146)</t>
  </si>
  <si>
    <t>ThinkSystem U.2 Intel P5500 7.68TB Entry NVMe PCIe 4.0 x4 Hot Swap SSD (PN: 4XB7A17147)</t>
  </si>
  <si>
    <t>ThinkSystem U.2 PM1733 1.92TB Entry NVMe PCIe 4.0 x4 Hot Swap SSD</t>
  </si>
  <si>
    <t>ThinkSystem U.2 PM1733 3.84TB Entry NVMe PCIe 4.0 x4 Hot Swap SSD</t>
  </si>
  <si>
    <t>ThinkSystem U.2 PM1733 7.68TB Entry NVMe PCIe 4.0 x4 Hot Swap SSD</t>
  </si>
  <si>
    <t>ThinkSystem U.2 PM1733 15.36TB Entry NVMe PCIe 4.0 x4 Hot Swap SSD</t>
  </si>
  <si>
    <t>ThinkSystem HHHL PM1735 1.6TB Mainstream NVMe PCIe 4.0 x8 Flash Adapter</t>
  </si>
  <si>
    <t>ThinkSystem HHHL PM1735 3.2TB Mainstream NVMe PCIe 4.0 x8 Flash Adapter</t>
  </si>
  <si>
    <t>ThinkSystem HHHL PM1735 6.4TB Mainstream NVMe PCIe 4.0 x8 Flash Adapter</t>
  </si>
  <si>
    <t>ThinkSystem Intel E810-DA2 10/25GbE SFP28 2-Port OCP Ethernet Adapter (4XC7A08294)</t>
  </si>
  <si>
    <t>ThinkSystem Emulex LPe35002 32Gb 2-port PCIe Fibre Channel Adapter (4XC7A76525)</t>
  </si>
  <si>
    <t>ThinkSystem Emulex LPe35000 32Gb 1-port PCIe Fibre Channel Adapter (4XC7A76498)</t>
  </si>
  <si>
    <t>ThinkSystem U.2 PM983 960GB Entry NVMe PCIe 3.0 x4 Hot Swap SSD</t>
  </si>
  <si>
    <t>ThinkSystem 3.5 PM983 960GB Entry NVMe PCIe 3.0 x4 Hot Swap SSD"</t>
  </si>
  <si>
    <t>ThinkSystem 7mm PM983 960GB Entry NVMe PCIe 3.0 x4 Hot Swap SSD</t>
  </si>
  <si>
    <t>ThinkSystem 7mm PM983 960GB Entry NVMe PCIe 3.0 x4 Hot Swap SSD (Silver Surfer)</t>
  </si>
  <si>
    <t>ThinkSystem M.2 PM983 960GB NVMe PCIe 3.0 x4 Non-Hot Swap SSD</t>
  </si>
  <si>
    <t>ThinkSystem U.2 PM983 1.92TB Entry NVMe PCIe 3.0 x4 Hot Swap SSD</t>
  </si>
  <si>
    <t>ThinkSystem 3.5 PM983 1.92TB Entry NVMe PCIe 3.0 x4 Hot Swap SSD"</t>
  </si>
  <si>
    <t>ThinkSystem U.2 PM983 3.84TB Entry NVMe PCIe 3.0 x4 Hot Swap SSD</t>
  </si>
  <si>
    <t>ThinkSystem 3.5 PM983 3.84TB Entry NVMe PCIe 3.0 x4 Hot Swap SSD"</t>
  </si>
  <si>
    <t>ThinkSystem U.2 PM983 7.68TB Entry NVMe PCIe 3.0 x4 Hot Swap SSD</t>
  </si>
  <si>
    <t>ThinkSystem 3.5 PM983 7.68TB Entry NVMe PCIe 3.0 x4 Hot Swap SSD"</t>
  </si>
  <si>
    <t>ThinkSystem U.2 PM1733 3.84TB Entry TCG NVMe PCIe 4.0 x4 Hot Swap SSD</t>
  </si>
  <si>
    <t>ThinkSystem U.2 PM1733 7.68TB Entry TCG NVMe PCIe 4.0 x4 Hot Swap SSD</t>
  </si>
  <si>
    <t>4Y37A72481 - ThinkSystem 4350-16i SAS/SATA 12Gb HBA</t>
  </si>
  <si>
    <t>4Y37A72483 - ThinkSystem RAID 9350-8i 2GB Flash PCIe 12Gb Adapter</t>
  </si>
  <si>
    <t>4Y37A72485 - ThinkSystem RAID 9350-16i 4GB Flash PCIe 12Gb Adapter</t>
  </si>
  <si>
    <t>4Y37A72482 - ThinkSystem RAID 5350-8i PCIe 12Gb Adapter</t>
  </si>
  <si>
    <t>4Y37A72480 - ThinkSystem 4350-8i SAS/SATA 12Gb HBA</t>
  </si>
  <si>
    <t>ThinkSystem Intel E810-DA2 10/25GbE SFP28 2-Port PCIe Ethernet Adapter (4XC7A08295)</t>
  </si>
  <si>
    <t>Emulex LPe36002 64Gb 2-port PCIe Fibre Channel Adapter (4XC7A77485)</t>
  </si>
  <si>
    <t>ThinkSystem U.2 Intel Optane P4800X 375GB Performance NVMe PCIe 3.0 x4 Hot Swap SSD 60DWPD (PN:4XB7A38159)</t>
  </si>
  <si>
    <t>ThinkSystem U.2 Intel Optane P4800X 750GB Performance NVMe PCIe 3.0 x4 Hot Swap SSD 60DWPD (PN:4XB7A38160)</t>
  </si>
  <si>
    <t>ThinkSystem U.2 Intel Optane P4800X 1.5TB Performance NVMe PCIe 3.0 x4 Hot Swap SSD 60DWPD (PN:4XB7A17163)</t>
  </si>
  <si>
    <t>ThinkSystem 3.5 Intel Optane P4800X 375GB Performance NVMe PCIe 3.0 x4 Hot Swap SSD 60DWPD (PN:4XB7A38162)"</t>
  </si>
  <si>
    <t>ThinkSystem 3.5 Intel Optane P4800X 750GB Performance NVMe PCIe 3.0 x4 Hot Swap SSD 60DWPD (PN:4XB7A38163)"</t>
  </si>
  <si>
    <t>ThinkSystem 3.5 Intel Optane P4800X 1.5TB Performance NVMe PCIe 3.0 x4 Hot Swap SSD 60DWPD (PN:4XB7A38164)"</t>
  </si>
  <si>
    <t>LOM adapter for Lenovo SD630(Ultron) server LOM</t>
  </si>
  <si>
    <t>Lenovo- 4XC7A78166- ThinkSystem Mellanox ConnectX-6 Dx 10/25GbE SFP28 2-port PCIe Ethernet Adapter</t>
  </si>
  <si>
    <t>Lenovo- 4XC7A78167-ThinkSystem Mellanox ConnectX-6 Dx 10/25GbE SFP28 2-port OCP Ethernet Adapter</t>
  </si>
  <si>
    <t>Lenovo- 4XC7A62580-ThinkSystem Mellanox ConnectX-6 Lx 10/25GbE SFP28 2-port PCIe Ethernet Adapter</t>
  </si>
  <si>
    <t>Lenovo-4XC7A62582-ThinkSystem Mellanox ConnectX-6 Lx 10/25GbE SFP28 2-port OCP Ethernet Adapter</t>
  </si>
  <si>
    <t>ThinkSystem U.2 Intel Optane P4800X 375GB Performance NVMe PCIe 3.0 x4 Hot Swap SSD 30DWPD (PN:4XB7A38159)</t>
  </si>
  <si>
    <t>ThinkSystem U.2 Intel Optane P4800X 750GB Performance NVMe PCIe 3.0 x4 Hot Swap SSD 30DWPD (PN:4XB7A38160)</t>
  </si>
  <si>
    <t>ThinkSystem 3.5 Intel Optane P4800X 375GB Performance NVMe PCIe 3.0 x4 Hot Swap SSD 30DWPD (PN:4XB7A38162)"</t>
  </si>
  <si>
    <t>ThinkSystem 3.5 Intel Optane P4800X 750GB Performance NVMe PCIe 3.0 x4 Hot Swap SSD 30DWPD (PN:4XB7A38163)"</t>
  </si>
  <si>
    <t>ThinkSystem Broadcom 57416 10GBASE-T 2-port PCIe Ethernet LOM</t>
  </si>
  <si>
    <t>4Y37A78601 - ThinkSystem 440-8i SAS/SATA PCIe Gen4 12Gb HBA</t>
  </si>
  <si>
    <t>4Y37A78602 - ThinkSystem 440-16i SAS/SATA PCIe Gen4 12Gb HBA</t>
  </si>
  <si>
    <t>Lenovo- 4C57A08980-Mellanox ConnectX-5 2x100GbE/EDR IB QSFP28 VPI Adapter</t>
  </si>
  <si>
    <t>Lenovo- 4C57A08979-Mellanox ConnectX-5 1x100GbE/EDR IB QSFP28 VPI Adapter</t>
  </si>
  <si>
    <t>Lenovo- 4XC7A08315-ThinkSystem Mellanox ConnectX-4 Lx 25Gb 2-port Mezz Adapter</t>
  </si>
  <si>
    <t>4Y37A78834 - ThinkSystem RAID 540-8i PCIe Gen4 12Gb Adapter</t>
  </si>
  <si>
    <t>4Y37A78835 - ThinkSystem RAID 540-16i PCIe Gen4 12Gb Adapter</t>
  </si>
  <si>
    <t>4Y37A78600 - ThinkSystem RAID 940-16i 4GB Flash PCIe Gen4 12Gb Adapter</t>
  </si>
  <si>
    <t>ThinkSystem Intel X710-T2L 10GBASE-T 2-port OCP Ethernet Adapter</t>
  </si>
  <si>
    <t>ThinkSystem Intel X710-T4L 10GBASE-T 4-Port PCIe Ethernet Adapter</t>
  </si>
  <si>
    <t>4Y37A72484 - ThinkSystem RAID 9350-8i 2GB Flash PCIe 12Gb Internal Adapter</t>
  </si>
  <si>
    <t>4Y37A72486 - ThinkSystem RAID 9350-16i 4GB Flash PCIe 12Gb Internal Adapter</t>
  </si>
  <si>
    <t>4Y37A78836 - ThinkSystem RAID 940-8e 4GB Flash PCIe Gen4 12Gb Adapter</t>
  </si>
  <si>
    <t>ThinkSystem Broadcom 57416 10GBASE-T 2-port PCIe Ethernet LOM (ST650 V3)</t>
  </si>
  <si>
    <t>ThinkSystem Broadcom 57508 100GbE QSFP56 2-Port OCP Ethernet Adapter (4XC7A08243)</t>
  </si>
  <si>
    <t>ThinkSystem Broadcom 57504 10/25GbE SFP28 4-port OCP Ethernet Adapter (4XC7A80567)</t>
  </si>
  <si>
    <t>ThinkSystem Broadcom 57504 10/25GbE SFP28 4-port PCIe Ethernet Adapter (4XC7A80566)</t>
  </si>
  <si>
    <t>4Y37A84028 - ThinkSystem RAID 5350-8i PCIe 12Gb Internal Adapter</t>
  </si>
  <si>
    <t>ThinkSystem Intel X710-T2L 10GBASE-T 2-Port PCIe Ethernet Adapter (4XC7A80266)</t>
  </si>
  <si>
    <t>ThinkSystem Intel X710-T4L 10GBASE-T 4-Port OCP Ethernet Adapter (4XC7A80268)</t>
  </si>
  <si>
    <t>ThinkSystem Intel X710-T2L 10GBASE-T 2-port Internal Lock OCP Ethernet Adapter</t>
  </si>
  <si>
    <t>ThinkSystem Intel I350 1GbE RJ45 4-port Internal Lock OCP Ethernet Adapter</t>
  </si>
  <si>
    <t>ThinkSystem Intel E810-DA4 10/25GbE SFP28 4-port OCP Ethernet Adapter (4XC7A80269)</t>
  </si>
  <si>
    <t>ThinkSystem Intel E810-DA4 10/25GbE SFP28 4-port PCIe Ethernet Adapter (4XC7A80267)</t>
  </si>
  <si>
    <t>ThinkSystem Intel E810-DA2 10/25GbE SFP28 2-Port Internal Lock OCP Ethernet Adapter</t>
  </si>
  <si>
    <t>Broadcom 5720 1GbE RJ45 2-Port PCIe Ethernet LOM (SR250 V2)</t>
  </si>
  <si>
    <t>4Y37A78837 - ThinkSystem 440-8e SAS/SATA PCIe Gen4 12Gb HBA</t>
  </si>
  <si>
    <t>Lenovo- 4XC7A83773-ThinkSystem NVIDIA ConnectX-6 DX 200GbE QSFP56 1-port PCIe Ethernet Adapter</t>
  </si>
  <si>
    <t>ThinkSystem NVIDIA BlueField-2 25GbE SFP56 2-Port PCIe Ethernet DPU w/BMC &amp; Crypto</t>
  </si>
  <si>
    <t>ThinkEdge Intel E823 25G/10G Ethernet LOM Controller</t>
  </si>
  <si>
    <t>ThinkEdge Intel E823 1G Ethernet LOM Controller</t>
  </si>
  <si>
    <t>Lenovo- 4XC7A81883-ThinkSystem Nvidia ConnectX-7 NDR200/HDR QSFP112 2-port PCIe Gen5 x16 IB/EN Adapter</t>
  </si>
  <si>
    <t>ThinkSystem Broadcom 5720 1GbE RJ45 2-Port PCIe Ethernet LOM (SR250 V3)</t>
  </si>
  <si>
    <t>4Y37A90063 - ThinkSystem M.2 RAID B540i-2i SATA/NVMe Enablement Kit</t>
  </si>
  <si>
    <t>ThinkSystem 7mm RAID B540p-2HS SATA/NVMe Enablement Kit</t>
  </si>
  <si>
    <t>ThinkSystem M.2 RAID B545i-2i SATA/NVMe Enablement Kit</t>
  </si>
  <si>
    <t>ThinkSystem M.2 RAID B540p-2HS SATA/NVMe Enablement Kit</t>
  </si>
  <si>
    <t>4Y37A85156 - ThinkSystem 450W-16e SAS/SATA PCIe Gen4 24Gb HBA</t>
  </si>
  <si>
    <t>ThinkSystem BlueField-3 B3140H E-Series SuperNIC; NDR IB / 400GbE; single-port QSFP112; PCIe5.0 (SN37B82788)</t>
  </si>
  <si>
    <t>ThinkSystem RAID 9450-8i 4GB Flash PCIe Gen4 24Gb Adapter</t>
  </si>
  <si>
    <t>ThinkSystem RAID 9450-32i 8GB Flash PCIe Gen4 24Gb Adapter</t>
  </si>
  <si>
    <t>ThinkSystem 4450-16i SAS/SATA PCIe Gen4 24Gb HBA</t>
  </si>
  <si>
    <t>ThinkSystem RAID 5450-16i PCIe Gen4 24Gb Adapter</t>
  </si>
  <si>
    <t>ThinkSystem Broadcom 57412 10GBASE-T 4-port PCIe Ethernet Adapter (4XC7A95697)</t>
  </si>
  <si>
    <t>ThinkSystem Broadcom 57412 10GBASE-T 4-port OCP Ethernet Adapter (4XC7A95696)</t>
  </si>
  <si>
    <t>ThinkSystem Broadcom 57414 10/25GbE SFP28 2-port PCIe Ethernet LOM (SC750 V4)</t>
  </si>
  <si>
    <t>ThinkSystem Broadcom 57608 2x200/1x400GbE QSFP112 PCIe Ethernet Adapter (4XC7A95572)</t>
  </si>
  <si>
    <t>ThinkSystem M.2 RAID B540d-2HS SATA/NVMe Enablement Kit</t>
  </si>
  <si>
    <t>4Y37A93012 - ThinkSystem RAID 545-8i PCIe Gen4 12Gb Adapter</t>
  </si>
  <si>
    <t>Lenovo-4XC7A95508-ThinkSystem NVIDlA ConnectX-7 NDR400 OSFP 1-port PCle Gen5 VPI Adapter</t>
  </si>
  <si>
    <t>4Y37B10832 - ThinkSystem RAID 545-8i PCIe¬†Gen4¬†12Gb Internal Adapter</t>
  </si>
  <si>
    <t>4Y37B09898 - ThinkSystem M.2 RAID B550i-2i SATA/NVMe Enablement Kit</t>
  </si>
  <si>
    <t>ThinkSystem M.2 RAID B550p-2HS SATA/NVMe Enablement Kit</t>
  </si>
  <si>
    <t>ThinkSystem M.2 RAID B550d-2HS SATA/NVMe Enablement Kit</t>
  </si>
  <si>
    <t>Lenovo-4XC7A80289-ThinkSystem NVIDIA ConnectX-7 NDR400 OSFP 1-port PCIe Gen5 Adapter</t>
  </si>
  <si>
    <t>Lenovo-SN37B23797-ThinkSystem Nvidia ConnectX-7 4-chip VPI PCIe Gen5 Mezz Controller</t>
  </si>
  <si>
    <t>Lenovo-4XC7A87752-ThinkSystem NVIDIA BlueField-3 B3220 VPI QSFP112 2P 200G PCIe Gen5 x16</t>
  </si>
  <si>
    <t>Lenovo-4XC7B08942-ThinkSystem NVIDIA BlueField-3 B3220 VPI QSFP112 2P 200G PCIe Gen5 x16 with Tin Plating Connector</t>
  </si>
  <si>
    <t>LSI</t>
  </si>
  <si>
    <t>SAS9300-8e</t>
  </si>
  <si>
    <t>9360-8i</t>
  </si>
  <si>
    <t>LSI SAS MegaRAID 9361-8icc</t>
  </si>
  <si>
    <t>MegaRAID SAS 9361-4i</t>
  </si>
  <si>
    <t>MegaRAID SAS 9380-8e</t>
  </si>
  <si>
    <t>MegaRAID SAS 9380-4i4e</t>
  </si>
  <si>
    <t>MegaRAID SAS 9360-4i</t>
  </si>
  <si>
    <t>MegaRAID SAS 9341-4i</t>
  </si>
  <si>
    <t>MegaRAID SAS 9361-8i</t>
  </si>
  <si>
    <t>MegaRAID SAS Invader Controller</t>
  </si>
  <si>
    <t>LSI Logic Fusion-MPT 12GSAS SAS3108_1 PCI-Express</t>
  </si>
  <si>
    <t>LSI Logic Fusion-MPT 12GSAS SAS3108_2 PCI-Express</t>
  </si>
  <si>
    <t>LSI Logic Fusion-MPT 12GSAS SAS3108_5 PCI-Express</t>
  </si>
  <si>
    <t>LSI Logic Fusion-MPT 12GSAS SAS3108_6 PCI-Express</t>
  </si>
  <si>
    <t>LSI Logic Fusion-MPT 12GSAS SAS3004 PCI-Express</t>
  </si>
  <si>
    <t>LSI Logic Fusion-MPT 12GSAS SAS3008 PCI-Express</t>
  </si>
  <si>
    <t>MegaRAID SAS Fury Controller</t>
  </si>
  <si>
    <t>SAS 9300-4i</t>
  </si>
  <si>
    <t>SAS 9300-8i</t>
  </si>
  <si>
    <t>SAS 9300-16e</t>
  </si>
  <si>
    <t>SAS 9300-4i4e</t>
  </si>
  <si>
    <t>SAS 9311-8i</t>
  </si>
  <si>
    <t>SAS 9311-4i4e</t>
  </si>
  <si>
    <t>SAS 9310-8i</t>
  </si>
  <si>
    <t>SAS 9302-8i</t>
  </si>
  <si>
    <t>SAS 9300-16i</t>
  </si>
  <si>
    <t>SAS 9305-24i</t>
  </si>
  <si>
    <t>SAS 9305-16i</t>
  </si>
  <si>
    <t>SAS 9305-16e</t>
  </si>
  <si>
    <t>MegaRAID SAS 9361-16i</t>
  </si>
  <si>
    <t>MegaRAID SAS 9380-8i8e</t>
  </si>
  <si>
    <t>MegaRAID SAS Cutlass Controller</t>
  </si>
  <si>
    <t>MegaRAID SAS Intruder Controller</t>
  </si>
  <si>
    <t>Fusion-MPT 12GSAS SAS3324_1 PCI-Express</t>
  </si>
  <si>
    <t>Fusion-MPT 12GSAS SAS3324_2 PCI-Express</t>
  </si>
  <si>
    <t>Fusion-MPT 12GSAS SAS3324_3 PCI-Express</t>
  </si>
  <si>
    <t>Fusion-MPT 12GSAS SAS3324_4 PCI-Express</t>
  </si>
  <si>
    <t>Fusion-MPT 12GSAS SAS3224 PCI-Express</t>
  </si>
  <si>
    <t>Fusion-MPT 12GSAS SAS3316_1 PCI-Express</t>
  </si>
  <si>
    <t>Fusion-MPT 12GSAS SAS3316_2 PCI-Express</t>
  </si>
  <si>
    <t>Fusion-MPT 12GSAS SAS3316_3 PCI-Express</t>
  </si>
  <si>
    <t>Fusion-MPT 12GSAS SAS3316_4 PCI-Express</t>
  </si>
  <si>
    <t>Fusion-MPT 12GSAS SAS3216 PCI-Express</t>
  </si>
  <si>
    <t>MegaRAID SAS 9361-8i w/ JBOD Mode</t>
  </si>
  <si>
    <t>MegaRAID SAS 9380-8i8e w/ JBOD</t>
  </si>
  <si>
    <t>MegaRAID SAS 9361-24i</t>
  </si>
  <si>
    <t>MegaRAID SAS 9361-24i w/ JBOD</t>
  </si>
  <si>
    <t>MegaRAID SAS 3316 I/O Controller</t>
  </si>
  <si>
    <t>MegaRAID SAS 3108 I/O controller</t>
  </si>
  <si>
    <t>Avago (LSI Logic) Fusion-MPT 12GSAS SAS3008 PCI-Express</t>
  </si>
  <si>
    <t>Fusion-MPT 12GSAS/PCIe SAS3516_1 PCI-Express</t>
  </si>
  <si>
    <t>12G SAS HBA(16)</t>
  </si>
  <si>
    <t>Fusion-MPT 12GSAS/PCIe SAS3416 PCI-Express</t>
  </si>
  <si>
    <t>Fusion-MPT 12GSAS/PCIe SAS3508_1 PCI-Express</t>
  </si>
  <si>
    <t>12G SAS HBA(26)</t>
  </si>
  <si>
    <t>Fusion-MPT 12GSAS/PCIe SAS3408 PCI-Express</t>
  </si>
  <si>
    <t>MegaRAID Tri-Mode SAS3516</t>
  </si>
  <si>
    <t>MegaRAID Tri-Mode SAS3508</t>
  </si>
  <si>
    <t>MegaRAID Tri-Mode SAS3408</t>
  </si>
  <si>
    <t>MegaRAID Tri-Mode SAS3504</t>
  </si>
  <si>
    <t>MegaRAID Tri-Mode SAS3404</t>
  </si>
  <si>
    <t>MegaRAID Tri-Mode SAS3416</t>
  </si>
  <si>
    <t>ZTE ATCA SAS3408</t>
  </si>
  <si>
    <t>MegaRAID 12G G152SAS/PCIe SAS39xx</t>
  </si>
  <si>
    <t>MegaRAID 12G SAS/PCIe SAS39xx</t>
  </si>
  <si>
    <t>MegaRAID 12G SAS/PCIe Secure SAS39xx</t>
  </si>
  <si>
    <t>MegaRAID 12G SAS/PCIe SAS38xx</t>
  </si>
  <si>
    <t>MegaRAID 12G SAS/PCIe Secure SAS38xx</t>
  </si>
  <si>
    <t>Marvell Technology Group Ltd</t>
  </si>
  <si>
    <t>Marvell NR2241 NVMe Controller</t>
  </si>
  <si>
    <t>88SE9230 PCIe SATA 6Gb/s Controller</t>
  </si>
  <si>
    <t>AQtion 10Gbit Network Adapter</t>
  </si>
  <si>
    <t>Felicity Network Adapter</t>
  </si>
  <si>
    <t>AQtion 5Gbit Network Adapter</t>
  </si>
  <si>
    <t>AQtion 2.5Gbit Network Adapter</t>
  </si>
  <si>
    <t>Marvell Santa Cruz NVMe Host Adapter</t>
  </si>
  <si>
    <t>Mellanox Technologies</t>
  </si>
  <si>
    <t>ConnectX-4 VPI NIC; EDR/100GbE; single-port QSFP28; (MCX455A-ECA)</t>
  </si>
  <si>
    <t>ConnectX-4 VPI NIC; EDR/100GbE; dual-port QSFP28; (MCX456A-ECA)</t>
  </si>
  <si>
    <t>ConnectX-4 VPI adapter card; FDR/40GbE; dual-port QSFP28; (MCX456A-FCA)</t>
  </si>
  <si>
    <t>ConnectX-4 EN NIC; 40GbE; dual-port QSFP28; (MCX416A-BCA)</t>
  </si>
  <si>
    <t>ConnectX-4 Lx EN NIC; 25GbE; single-port SFP28; (MCX4111A-ACA)</t>
  </si>
  <si>
    <t>ConnectX-4 Lx EN NIC; 25GbE; dual-port SFP28; (MCX4121A-ACA)</t>
  </si>
  <si>
    <t>ConnectX-4 Lx EN NIC; 10GbE; dual-port SFP28; (MCX4121A-XCA)</t>
  </si>
  <si>
    <t>ConnectX-4 Lx EN NIC; OCP/Multi-Host; 50GbE; single-port QSFP28; (MCX4431M-GCA)</t>
  </si>
  <si>
    <t>ConnectX-4 Lx EN NIC; OCP; 50GbE; single-port QSFP28; (MCX4431A-GCA)</t>
  </si>
  <si>
    <t>ConnectX-4 EN NIC; OCP/Multi-Host; 40GbE; single-port QSFP28; (MCX443M-BCB)</t>
  </si>
  <si>
    <t>ConnectX-4 EN NIC; OCP; 40GbE; single-port QSFP28; (MCX443A-BCB)</t>
  </si>
  <si>
    <t>ConnectX-4 VPI NIC; OCP; EDR/100GbE; single-port QSFP28; (MCX445A-ECA)</t>
  </si>
  <si>
    <t>ConnectX-4 EN NIC; OCP; 100GbE; single-port QSFP28; (MCX445A-CCA)</t>
  </si>
  <si>
    <t>ConnectX-4 Lx EN NIC; 40GbE; single-port QSFP28; (MCX4131A-BCA)</t>
  </si>
  <si>
    <t>ConnectX-4 Lx EN NIC; 50GbE; single-port QSFP28; (MCX4131A-GCA)</t>
  </si>
  <si>
    <t>ConnectX-4 VPI NIC; FDR/40GbE; single-port QSFP28; (MCX453A-FCA)</t>
  </si>
  <si>
    <t>ConnectX-4 VPI NIC; FDR/40GbE; dual-port QSFP28; (MCX454A-FCA)</t>
  </si>
  <si>
    <t>ConnectX-4 Lx EN NIC; OCP; 25GbE; dual-port SFP28; (MCX4421A-ACQ)</t>
  </si>
  <si>
    <t>ConnectX-4 Lx EN NIC; OCP; 25GbE; single-port SFP28; (MCX4411A-ACQ)</t>
  </si>
  <si>
    <t>ConnectX-4 EN NIC; OCP; 25GbE single-port SFP28; (MCX441A-ACA)</t>
  </si>
  <si>
    <t>ConnectX-4 EN NIC; 100GbE; single-port QSFP28; (MCX415A-CCA)</t>
  </si>
  <si>
    <t>ConnectX-4 EN NIC; 100GbE; dual-port QSFP28; (MCX416A-CCA)</t>
  </si>
  <si>
    <t>ConnectX-4 EN NIC; 40GbE; dual-port QSFP28; (MCX414A-BCA)</t>
  </si>
  <si>
    <t>ConnectX-4 EN NIC; 50GbE; single-port QSFP28; (MCX413A-GCA)</t>
  </si>
  <si>
    <t>ConnectX-4 EN NIC; 50GbE; dual-port QSFP28; (MCX414A-GCA)</t>
  </si>
  <si>
    <t>ConnectX-4 EN NIC; 50GbE; single-port QSFP28; (MCX415A-GCA)</t>
  </si>
  <si>
    <t>ConnectX-4 EN NIC; 50GbE; dual-port QSFP28; (MCX416A-GCA)</t>
  </si>
  <si>
    <t>ConnectX-4 Lx EN NIC; 10GbE; single-port SFP28+; (MCX4111A-XCA)</t>
  </si>
  <si>
    <t>MT27700 Family [ConnectX-4]</t>
  </si>
  <si>
    <t>MT27630 Family [ConnectX-4 LX]</t>
  </si>
  <si>
    <t>ConnectX-4 Lx EN NIC; OCP; 25GbE; single-port SFP28; (MCX4411A-ACA)</t>
  </si>
  <si>
    <t>MT27700 Family [ConnectX-4 VF]</t>
  </si>
  <si>
    <t>MT27631 Family [ConnectX-4 LX VF]</t>
  </si>
  <si>
    <t>MT27800 Family [ConnectX-5]</t>
  </si>
  <si>
    <t>MT27800 Family [ConnectX-5 VF]</t>
  </si>
  <si>
    <t>MT28800 Family [ConnectX-5 Ex]</t>
  </si>
  <si>
    <t>MT28800 Family [ConnectX-5 Ex Virtual Function]</t>
  </si>
  <si>
    <t>ConnectX¬Æ-5 EN network interface card
  10/25GbE dual-port SFP28(MCX512A-ACAT)</t>
  </si>
  <si>
    <t>ConnectX¬Æ-5 EN network interface card
  100GbE single-port (MCX515A-CCAT)</t>
  </si>
  <si>
    <t>ConnectX¬Æ-5 EN network interface card
  50GbE single-port (MCX515A-CCAT)</t>
  </si>
  <si>
    <t>ConnectX¬Æ-5 Ex EN network interface card
  40GbE dual-port QSFP28 (MCX516A-BDAT)</t>
  </si>
  <si>
    <t>ConnectX¬Æ-5 Ex EN network interface card
  100GbE dual-port QSFP28 (MCX516A-CCAT)</t>
  </si>
  <si>
    <t>ConnectX¬Æ-5 Ex EN network interface card
  100GbE dual-port QSFP28 (MCX516A-CDAT)</t>
  </si>
  <si>
    <t>ConnectX¬Æ-5 EN network interface card
  50GbE dual-port QSFP28 (MCX516A-GCAT)</t>
  </si>
  <si>
    <t>ConnectX¬Æ-5 EN network interface card for OCP 100GbE
  single-port QSFP28 (MCX545A-CCAN)</t>
  </si>
  <si>
    <t>ConnectX¬Æ-5 VPI network interface card for OCP EDR IB (100Gb/s) and 100GbE
  single-port QSFP28 (MCX545A-ECAN)</t>
  </si>
  <si>
    <t>ConnectX¬Æ-5 VPI network interface card for OCP with Multi-Host
  EDR IB (100Gb/s) and 100GbE
  single-port QSFP28; Halogen Free (MCX545M-ECAN)</t>
  </si>
  <si>
    <t>ConnectX¬Æ-5 Ex network interface card for OCP
  100GbE dual-port QSFP28 (MCX546A-CDAN)</t>
  </si>
  <si>
    <t>ConnectX¬Æ-5 Ex VPI network interface card for OCP
  EDR IB (100Gb/s) and 100GbE dual-port QSFP28 (MCX546A-EDAN)</t>
  </si>
  <si>
    <t>ConnectX¬Æ-5 Ex EN network interface card for OCP with Multi-Host 100GbE dual-port QSFP28 (MCX546M-CDAN)</t>
  </si>
  <si>
    <t>ConnectX¬Æ-5 VPI adapter card
  EDR IB (100Gb/s) and 100GbE
  single-port QSFP28 (MCX555A-ECAT)</t>
  </si>
  <si>
    <t>ConnectX¬Æ-5 VPI adapter card
  EDR IB (100Gb/s) and 100GbE
  dual-port QSFP28 (MCX556A-ECAT)</t>
  </si>
  <si>
    <t>ConnectX¬Æ-5 Ex VPI adapter card
  EDR IB (100Gb/s) and 100GbE
  dual-port QSFP28 (MCX556A-EDAT)</t>
  </si>
  <si>
    <t>ConnectX¬Æ-5 VPI adapter card with Multi-Host Socket Direct supporting dual-socket server
  EDR IB (100Gb/s) and 100GbE
  dual-port QSFP28
  2x PCIe3.0 x8
  25cm harness (MCX556M-ECAT-S25)</t>
  </si>
  <si>
    <t>ConnectX¬Æ-5 VPI adapter card with Multi-Host Socket Direct supporting dual-socket server
  EDR IB (100Gb/s) and 100GbE
  dual-port QSFP28
  2x PCIe3.0 x8
  35cm harness (MCX556M-ECAT-S35A)</t>
  </si>
  <si>
    <t>Lenovo-4XC0G88861-Lenovo ThinkServer ConnectX-4 Lx 25Gb 2-port PCIe Ethernet Adapter - Mellanox</t>
  </si>
  <si>
    <t>ConnectX¬Æ-5 EN network interface card
  with host management
  25GbE Dual-port SFP28
  PCIe Gen 3.0 x16
  UEFI Enabled</t>
  </si>
  <si>
    <t>ConnectX¬Æ-4 Lx EN network interface card for OCP 3.0
  with Host Management
  25GbE Dual-port SFP28
  PCIe3.0 x8</t>
  </si>
  <si>
    <t>ConnectX-5 EN NIC; 100GbE; dual-port QSFP28; PCIe3.0 x16; (MCX516A-CCHT)</t>
  </si>
  <si>
    <t>ConnectX¬Æ-5 EN network interface card for OCP 3.0
  with host management
  25GbE Dual-port SFP28
  PCIe3.0 x16
  Internal Lock bracket</t>
  </si>
  <si>
    <t>ConnectX-4 Lx EN network interface card
  10GbE dual-port SFP28
  PCIe3.0 x8
  tall bracket</t>
  </si>
  <si>
    <t>ConnectX-6 Dx EN NIC; 100GbE; dual-port QSFP56; PCIe4.0 x16; (MCX623106AC-CDAT)</t>
  </si>
  <si>
    <t>HPE InfiniBand HDR/Ethernet 200Gb 1-port MCX653105A-HDAT QSFP56 x16 Adapter(P06154-B21)</t>
  </si>
  <si>
    <t>HPE InfiniBand HDR100/Ethernet 100Gb 1-port 940QSFP56 x16 Adapter(P06250-B21/P06250-H21)</t>
  </si>
  <si>
    <t>HPE InfiniBand HDR100/Ethernet 100Gb 2-port 940QSFP56 x16 Adapter(P06251-B21/P06251-H21)</t>
  </si>
  <si>
    <t>HPE InfiniBand HDR/Ethernet 200Gb 1-port MCX653105A-HDAT QSFP56 x16 Adapter(P23664-B21/P23664-H21)</t>
  </si>
  <si>
    <t>HPE InfiniBand HDR100/Ethernet 100Gb 1-port MCX653105A-ECAT QSFP56 x16 Adapter(P23665-B21/P23665-H21)</t>
  </si>
  <si>
    <t>HPE Ethernet 25/50Gb 2-port SFP56 MCX623102AS-GDAT Adapter(P08462-001/ P08464-B21)</t>
  </si>
  <si>
    <t>HPE Ethernet 100Gb 2-port QSFP56 MCX623436AS-CDAT Adapter(P25965-001/P25963-B21)</t>
  </si>
  <si>
    <t>ConnectX-6 EN NIC; 200GbE; dual-port QSFP56; PCIe4.0 x16; (MCX613106A-VDA)</t>
  </si>
  <si>
    <t>ConnectX-6 VPI NIC; HDR IB/200GbE; dual-port QSFP56; PCIe4.0 x16; (MCX653106A-HDA)</t>
  </si>
  <si>
    <t>MT28908 Family [ConnectX-6]</t>
  </si>
  <si>
    <t>MT28908 Family [ConnectX-6 Virtual Function]</t>
  </si>
  <si>
    <t>ConnectX-6 Dx EN NIC; 25GbE; dual-port SFP28; PCIe4.0 x8; (MCX621102AN-ADA)</t>
  </si>
  <si>
    <t>ConnectX-6 Dx EN NIC; 25GbE; dual-port SFP28; PCIe4.0 x16; (MCX623102AN-ADA)</t>
  </si>
  <si>
    <t>ConnectX-6 Dx EN NIC; 100GbE; dual-port QSFP56; PCIe4.0 x16; (MCX623106AN-CDA)</t>
  </si>
  <si>
    <t>ConnectX-6 Dx EN NIC; OCP3.0; 25GbE; dual-port SFP28; PCIe4.0 x16; (MCX623432AN-ADA)</t>
  </si>
  <si>
    <t>ConnectX-6 Dx EN NIC; OCP3.0; 100GbE; dual-port QSFP56; PCIe4.0 x16; (MCX623436AN-CDA)</t>
  </si>
  <si>
    <t>MT2892 Family [ConnectX-6 Dx]</t>
  </si>
  <si>
    <t>ConnectX-5 Ex EN NIC; 25GbE; dual-port SFP28; PCIe4.0 x16; (MCX512A-ADA)</t>
  </si>
  <si>
    <t>ConnectX-5 Ex EN NIC; 40GbE; dual-port QSFP28; PCIe4.0 x16; (MCX516A-BDA)</t>
  </si>
  <si>
    <t>ConnectX-5 Ex EN NIC; 100GbE; dual-port QSFP28; PCIe4.0 x16; (MCX516A-CDA)</t>
  </si>
  <si>
    <t>ConnectX-5 Ex EN NIC; OCP2.0
  Type 2; 100GbE; dual-port QSFP28; PCIe4.0 x16; (MCX546A-CDA)</t>
  </si>
  <si>
    <t>ConnectX-5 Ex EN NIC; OCP2.0
  Type 2; 40GbE; dual-port QSFP28; PCIe3.0 x16; (MCX546A-BCA)</t>
  </si>
  <si>
    <t>ConnectX-5 Ex VPI NIC; OCP2.0
  Type 2; EDR IB/100GbE; dual-port QSFP28; PCIe4.0 x16; (MCX546A-EDA)</t>
  </si>
  <si>
    <t>ConnectX-6 Dx EN NIC; 100GbE; dual-port QSFP56; PCIe4.0 x16; (MCX623106AE-CDA)</t>
  </si>
  <si>
    <t>ConnectX-6 Dx EN NIC; 100GbE; dual-port QSFP56; PCIe4.0 x16; (MCX623106PC-CDA)</t>
  </si>
  <si>
    <t>ConnectX-6 Dx EN NIC; 100GbE; dual-port QSFP56; PCIe4.0 x16; (MCX623106PN-CDA)</t>
  </si>
  <si>
    <t>ConnectX-6 Dx EN NIC; OCP2.0
  Type 2; 100GbE; single-port QSFP56; PCIe4.0 x16; (MCX623405AC-CDA)</t>
  </si>
  <si>
    <t>ConnectX-6 Dx EN NIC; OCP2.0
  Type 2; 100GbE; single-port QSFP56; PCIe4.0 x16; (MCX623405AN-CDA)</t>
  </si>
  <si>
    <t>ConnectX-6 Dx EN NIC; OCP3.0; 25GbE; dual-port SFP28; PCIe4.0 x16; (MCX623432AC-ADA)</t>
  </si>
  <si>
    <t>ConnectX-5 Ex EN NIC; OCP2.0
  Type 2; 100GbE; dual-port QSFP28; PCIe4.0 x16; (MCX546M-CDA)</t>
  </si>
  <si>
    <t>ConnectX-5 Ex VPI NIC; EDR IB/100GbE; dual-port QSFP28; PCIe4.0 x16; (MCX556A-EDA)</t>
  </si>
  <si>
    <t>ConnectX-5 Ex EN NIC; OCP3.0; 100GbE; single-port QSFP28; PCIe4.0 x16; (MCX565M-CDA)</t>
  </si>
  <si>
    <t>ConnectX-5 Ex EN NIC; OCP3.0; 100GbE; dual-port QSFP28; PCIe4.0 x16; (MCX566A-CDA)</t>
  </si>
  <si>
    <t>ConnectX-4 EN NIC; 40/56GbE; single-port QSFP28; PCIe3.0 x8; (MCX413A-BCA)</t>
  </si>
  <si>
    <t>ConnectX-4 EN NIC; 40/56GbE; dual-port QSFP28; PCIe3.0 x8; (MCX414A-BCA)</t>
  </si>
  <si>
    <t>ConnectX-4 EN NIC; 40/56GbE; single-port QSFP28; PCIe3.0 x16; (MCX415A-BCA)</t>
  </si>
  <si>
    <t>ConnectX-4 VPI NIC; FDR IB 40/56GbE; single-port QSFP28; PCIe3.0 x16; (MCX455A-FCA)</t>
  </si>
  <si>
    <t>ConnectX-4 Lx EN NIC; 25GbE; single-port SFP28; PCIe3.0 x8; (MCX4111A-ACU)</t>
  </si>
  <si>
    <t>ConnectX-4 Lx EN NIC; 25GbE; single-port SFP28; PCIe3.0 x8; (MCX4411A-ACH)</t>
  </si>
  <si>
    <t>ConnectX-4 Lx EN NIC; 25GbE; dual-port SFP28; PCIe3.0 x8; (MCX4121A-ACU)</t>
  </si>
  <si>
    <t>ConnectX-4 Lx EN NIC; OCP2.0
  Type 1; 25GbE; single-port SFP28; PCIe3.0 x8; (MCX4411A-ACU)</t>
  </si>
  <si>
    <t>ConnectX-4 Lx EN NIC; OCP2.0
  Type 1; 25GbE; dual-port SFP28; PCIe3.0 x8; (MCX4421A-ACA)</t>
  </si>
  <si>
    <t>ConnectX-4 Lx EN NIC; OCP2.0
  Type 1; 25GbE; dual-port SFP28; PCIe3.0 x8; (MCX4421A-ACU)</t>
  </si>
  <si>
    <t>ConnectX-4 Lx EN NIC; OCP2.0
  Type 1; 10GbE; dual-port SFP28; PCIe3.0 x8; (MCX4421A-XCQ)</t>
  </si>
  <si>
    <t>ConnectX-4 Lx EN NIC; OCP2.0
  Type 1; 50GbE; single-port QSFP28; PCIe3.0 x8; (MCX4431A-GCU)</t>
  </si>
  <si>
    <t>ConnectX-6 VPI NIC; OCP3.0; HDR IB/200GbE; single-port QSFP56; PCIe4.0 x16; (MCX653435A-HDA)</t>
  </si>
  <si>
    <t>ConnectX-6 VPI NIC; OCP3.0; HDR100
  EDR IB/100GbE; single-port QSFP56; PCIe4.0 x16; (MCX653435A-EDA)</t>
  </si>
  <si>
    <t>ConnectX-6 VPI NIC; HDR100
  EDR IB/100GbE; dual-port QSFP56; PCIe4.0 x16; (MCX653106A-ECA)</t>
  </si>
  <si>
    <t>ConnectX-6 VPI NIC; HDR IB/200GbE; single-port QSFP56; PCIe4.0 x16; (MCX653105A-HDA)</t>
  </si>
  <si>
    <t>ConnectX-6 VPI NIC; HDR100
  EDR IB/100GbE; single-port QSFP56; PCIe4.0 x16; (MCX653105A-ECA)</t>
  </si>
  <si>
    <t>ConnectX-6 EN NIC; OCP3.0; 200GbE; dual-port QSFP56; PCIe4.0 x16; (MCX613436A-VDA)</t>
  </si>
  <si>
    <t>ConnectX-6 VPI NIC; OCP3.0; HDR IB/200GbE; dual-port QSFP56; PCIe4.0 x16; (MCX653436A-HDA)</t>
  </si>
  <si>
    <t>ConnectX-6 Dx EN NIC; 25GbE; dual-port SFP28; PCIe4.0 x8; (MCX621102AC-ADA)</t>
  </si>
  <si>
    <t>ConnectX-6 Dx EN NIC; 25GbE; dual-port SFP28; PCIe4.0 x8; (MCX621102AE-ADA)</t>
  </si>
  <si>
    <t>ConnectX-6 Dx EN NIC; 25GbE; dual-port SFP28; PCIe4.0 x8; (MCX623102AC-ADA)</t>
  </si>
  <si>
    <t>ConnectX-6 Dx EN NIC; 50GbE; dual-port SFP56; PCIe4.0 x16; (MCX623102AC-GDA)</t>
  </si>
  <si>
    <t>ConnectX-6 Dx EN NIC; 50GbE; dual-port SFP56; PCIe4.0 x16; (MCX623102AE-GDA)</t>
  </si>
  <si>
    <t>ConnectX-6 Dx EN NIC; 50GbE; dual-port SFP56; PCIe4.0 x16; (MCX623102AN-GDA)</t>
  </si>
  <si>
    <t>ConnectX-6 Dx EN NIC; 200GbE; single-port QSFP56; PCIe4.0 x16; (MCX623105AC-VDA)</t>
  </si>
  <si>
    <t>ConnectX-6 Dx EN NIC; 200GbE; single-port QSFP56; PCIe4.0 x16; (MCX623105AE-VDA)</t>
  </si>
  <si>
    <t>ConnectX-6 Dx EN NIC; 200GbE; single-port QSFP56; PCIe4.0 x16; (MCX623105AN-VDA)</t>
  </si>
  <si>
    <t>ConnectX-5 EN NIC; 25GbE; single-port SFP28; PCIe3.0 x16; (MCX511F-ACA)</t>
  </si>
  <si>
    <t>ConnectX-5 EN NIC; 10/25GbE; dual-port SFP28; PCIe3.0 x8; (MCX512A-ACU)</t>
  </si>
  <si>
    <t>ConnectX-5 EN NIC; 25GbE; dual-port SFP28; PCIe3.0 x16; (MCX512F-ACA)</t>
  </si>
  <si>
    <t>ConnectX-5 EN NIC; 100GbE; single-port QSFP28; PCIe3.0 x16; (MCX515A-CCU)</t>
  </si>
  <si>
    <t>ConnectX-5 EN NIC; OCP2.0
  Type 1; 25GbE; dual-port SFP28; PCIe3.0 x16; (MCX542A-ACA)</t>
  </si>
  <si>
    <t>ConnectX-6 Dx EN NIC; OCP3.0; 50GbE; dual-port SFP56; PCIe4.0 x16; (MCX623432AC-GDA)</t>
  </si>
  <si>
    <t>ConnectX-6 Dx EN NIC; OCP3.0; 50GbE; dual-port SFP56; PCIe4.0 x16; (MCX623432AN-GDA)</t>
  </si>
  <si>
    <t>ConnectX-6 Dx EN NIC; OCP3.0; 25GbE; dual-port SFP28; PCIe4.0 x16; (MCX623432AE-ADA)</t>
  </si>
  <si>
    <t>ConnectX-6 Dx EN NIC; OCP3.0; 200GbE; single-port SFP56; PCIe4.0 x16; (MCX623435AN-VDA)</t>
  </si>
  <si>
    <t>ConnectX-6 Dx EN NIC; OCP3.0; 100GbE; single-port QSFP56; PCIe4.0 x16; (MCX623435MN-CDA)</t>
  </si>
  <si>
    <t>ConnectX-6 Dx EN NIC; OCP3.0; 100GbE; dual-port QSFP56; PCIe4.0 x16; (MCX623436AC-CDA)</t>
  </si>
  <si>
    <t>ConnectX-6 Dx EN NIC; OCP3.0; 100GbE; dual-port QSFP56; PCIe4.0 x16; (MCX623436AE-CDA)</t>
  </si>
  <si>
    <t>ConnectX-5 EN NIC; OCP2.0
  Type 1; 25GbE; dual-port SFP28; PCIe3.0 x8; (MCX542B-ACA)</t>
  </si>
  <si>
    <t>ConnectX-5 EN NIC; OCP2.0
  Type 1; 25GbE; dual-port SFP28; PCIe3.0 x8; (MCX542B-ACU)</t>
  </si>
  <si>
    <t>ConnectX-5 EN NIC; OCP2.0
  Type 2; 100GbE; single-port QSFP28; PCIe3.0 x16; (MCX545A-CCU)</t>
  </si>
  <si>
    <t>ConnectX-5 EN NIC; OCP2.0
  Type 1; 100GbE; single-port QSFP28; PCIe3.0 x16; (MCX545B-CCU)</t>
  </si>
  <si>
    <t>ConnectX-5 VPI NIC; OCP2.0; EDR IB/100GbE; single-port QSFP28; PCIe3.0 x16; (MCX545B-ECA)</t>
  </si>
  <si>
    <t>ConnectX-5 EN NIC; OCP3.0; 100GbE; dual-port QSFP28; PCIe3.0 x16; (MCX566A-CCA)</t>
  </si>
  <si>
    <t>BlueField-2 SmartNIC EN DPU; 25GbE; dual-port SFP56; PCIe4.0 x8; (MBF2H332A-AEEO)</t>
  </si>
  <si>
    <t>BlueField-2 SmartNIC VPI DPU; HDR100
  EDR IB/100GbE; dual-port QSFP56; PCIe4.0 x16; (MBF2M516A-EEEO)</t>
  </si>
  <si>
    <t>MT42822 Family [BlueField-2]</t>
  </si>
  <si>
    <t>ConnectX-6 Dx EN NIC; 100GbE; dual-port QSFP56; PCIe4.0 x16; (MCX623106AS-CDA)</t>
  </si>
  <si>
    <t>ConnectX-6 VPI NIC; HDR100
  EDR IB/100GbE; single-port QSFP56; PCIe4.0 x8; (MCX651105A-EDA)</t>
  </si>
  <si>
    <t>MT2894 Family [ConnectX-6 Lx]</t>
  </si>
  <si>
    <t>BlueField-2 SmartNIC EN DPU; 100GbE; dual-port QSFP56; PCIe4.0 x16; (MBF2M516A-CEEO)</t>
  </si>
  <si>
    <t>BlueSphere BlueField-2 SmartNIC DPU; 50GbE; dual-port SFP56; PCIe4.0 x8; (MBS2M512A-AEEO)</t>
  </si>
  <si>
    <t>BlueSphere BlueField-2 SmartNIC DPU; 50GbE; dual-port SFP56; PCIe4.0 x8; (MBS2M512A-AENO)</t>
  </si>
  <si>
    <t>BlueField-2 SmartNIC VPI DPU; HDR100
  EDR IB/100GbE; dual-port QSFP56; PCIe4.0 x16; (MBF2H516A-EENO)</t>
  </si>
  <si>
    <t>BlueField-2 SmartNIC EN DPU; 25GbE; dual-port SFP56; PCIe4.0 x8; (MBF2M322A-AENO)</t>
  </si>
  <si>
    <t>BlueField-2 SmartNIC EN DPU; 25GbE; dual-port SFP56; PCIe4.0 x8; (MBF2M332A-AENO)</t>
  </si>
  <si>
    <t>BlueField-2 SmartNIC EN DPU; 25GbE; dual-port SFP56; PCIe4.0 x8; (MBF2M322A-AEEO)</t>
  </si>
  <si>
    <t>ConnectX-6 Dx EN NIC; OCP3.0; 100GbE; dual-port DSFP; PCIe4.0 x16; (MCX623430AN-CDA)</t>
  </si>
  <si>
    <t>ConnectX-6 Dx EN NIC; OCP3.0; 100GbE; single-port DSFP; PCIe4.0 x16; (MCX623439AN-CDA)</t>
  </si>
  <si>
    <t>ConnectX-6 Dx EN NIC; 100GbE; dual-port QSFP56; PCIe4.0 x16; (MCX623106PE-CDA)</t>
  </si>
  <si>
    <t>ConnectX-6 Dx EN NIC; OCP2.0
  Type 2; 200GbE; single-port QSFP56; PCIe4.0 x16; (MCX623405AN-VDA)</t>
  </si>
  <si>
    <t>ConnectX-6 Dx EN NIC; OCP3.0; 200GbE; single-port QSFP56; PCIe4.0 x16; (MCX623435AC-VDA)</t>
  </si>
  <si>
    <t>ConnectX-6 Dx EN NIC; 100GbE; single-port QSFP56; PCIe4.0 x16; (MCX623105AN-CDA)</t>
  </si>
  <si>
    <t>ConnectX-6 Lx EN NIC; OCP3.0; 25GbE; dual-port SFP28; PCIe4.0 x8; (MCX631432AC-ADA)</t>
  </si>
  <si>
    <t>ConnectX-6 Lx EN NIC; OCP3.0; 50GbE; single-port SFP28; PCIe4.0 x8; (MCX631435AC-GDA)</t>
  </si>
  <si>
    <t>ConnectX-6 Lx EN NIC; OCP3.0; 50GbE; single-port SFP28; PCIe4.0 x8; (MCX631435AN-GDA)</t>
  </si>
  <si>
    <t>ConnectX-6 Lx EN NIC; 25GbE; dual-port SFP28; PCIe4.0 x8; (MCX631102AC-ADA)</t>
  </si>
  <si>
    <t>ConnectX-6 Lx EN NIC; OCP3.0; 50GbE; single-port SFP28; PCIe4.0 x8; (MCX631435AE-GDA)</t>
  </si>
  <si>
    <t>ConnectX-6 Lx EN NIC; 50GbE; single-port SFP28; PCIe4.0 x8; (MCX631105AE-GDA)</t>
  </si>
  <si>
    <t>ConnectX-6 Lx EN NIC; 50GbE; single-port SFP28; PCIe4.0 x8; (MCX631105AC-GDA)</t>
  </si>
  <si>
    <t>ConnectX-6 Lx EN NIC; 50GbE; single-port SFP28; PCIe4.0 x8; (MCX631105AN-GDA)</t>
  </si>
  <si>
    <t>ConnectX-6 Lx EN NIC; OCP3.0; 25GbE; dual-port SFP28; PCIe4.0 x8; (MCX631432AN-ADA)</t>
  </si>
  <si>
    <t>ConnectX-6 Lx EN NIC; 25GbE; dual-port SFP28; PCIe4.0 x8; (MCX631102AN-ADA)</t>
  </si>
  <si>
    <t>ConnectX-6 Lx EN NIC; 25GbE; dual-port SFP28; PCIe4.0 x8; (MCX631102AE-ADA)</t>
  </si>
  <si>
    <t>ConnectX-6 Lx EN NIC; OCP3.0; 25GbE; dual-port SFP28; PCIe4.0 x8; (MCX631432AE-ADA)</t>
  </si>
  <si>
    <t>ConnectX-5 EN NIC; OCP2.0
  Type 1; 50GbE; single-port QSFP28; PCIe3.0 x16; (MCX545B-GCUN)</t>
  </si>
  <si>
    <t>ConnectX-5 EN NIC; 40/50GbE; single-port QSFP28; PCIe3.0 x8; (MCX513A-GCHT)</t>
  </si>
  <si>
    <t>ConnectX-5 EN NIC; 40/50GbE; dual-port QSFP28; PCIe3.0 x8; (MCX514A-GCHT)</t>
  </si>
  <si>
    <t>ConnectX-5 EN NIC; OCP3.0; 100GbE; single-port QSFP28; PCIe3.0 x16; (MCX565A-CCAB)</t>
  </si>
  <si>
    <t>ConnectX-5 VPI NIC; EDR IB/100GbE; dual-port QSFP28; PCIe3.0 x16; (MCX556A-ECUT)</t>
  </si>
  <si>
    <t>BlueField-2 SmartNIC EN DPU; 25GbE; dual-port SFP56; PCIe4.0 x8; (MBF2M332A-AEEO)</t>
  </si>
  <si>
    <t>BlueField-2 SmartNIC EN DPU; 25GbE; dual-port SFP56; PCIe4.0 x8; (MBF2H322A-AEEO)</t>
  </si>
  <si>
    <t>BlueField-2 SmartNIC EN DPU; 25GbE; dual-port SFP56; PCIe4.0 x8; (MBF2H322A-AENO)</t>
  </si>
  <si>
    <t>BlueField-2 SmartNIC EN DPU; 25GbE; dual-port SFP56; PCIe4.0 x8; (MBF2H332A-AENO)</t>
  </si>
  <si>
    <t>BlueField-2 SmartNIC VPI DPU; HDR100
  EDR IB/100GbE; dual-port QSFP56; PCIe4.0 x16; (MBF2M516A-EENO)</t>
  </si>
  <si>
    <t>BlueField-2 SmartNIC EN DPU; 100GbE; dual-port QSFP56; PCIe4.0 x16; (MBF2H516A-CENO)</t>
  </si>
  <si>
    <t>BlueField-2 SmartNIC VPI DPU; HDR100
  EDR IB/100GbE; dual-port QSFP56; PCIe4.0 x16; (MBF2H516A-EEEO)</t>
  </si>
  <si>
    <t>BlueField-2 SmartNIC EN DPU; 100GbE; dual-port QSFP56; PCIe4.0 x16; (MBF2M516A-CENO)</t>
  </si>
  <si>
    <t>BlueField-2 SmartNIC EN DPU; OCP3.0; 25GbE; dual-port SFP56; PCIe4.0 x16; (MBF2M912A-AENA)</t>
  </si>
  <si>
    <t>BlueField-2 SmartNIC EN DPU; OCP3.0; 25GbE; dual-port SFP56; PCIe4.0 x16; (MBF2M922A-AEEA)</t>
  </si>
  <si>
    <t>BlueField-2 SmartNIC EN DPU; OCP3.0; 25GbE; dual-port SFP56; PCIe4.0 x16; (MBF2M922A-AENA)</t>
  </si>
  <si>
    <t>ConnectX-4 Lx EN NIC; 25GbE; dual-port SFP28; PCIe3.0 x8; (MCX4121A-ACHT)</t>
  </si>
  <si>
    <t>ConnectX-4 Lx EN NIC; OCP3.0; 10GbE; dual-port SFP28; PCIe3.0 x8; (MCX4621A-XCAB)</t>
  </si>
  <si>
    <t>ConnectX-7 Family</t>
  </si>
  <si>
    <t>ConnectX-4 Lx EN NIC; OCP2.0
  Type 1; 10GbE; dual-port SFP28; PCIe3.0 x8; (MCX4421A-XCH)</t>
  </si>
  <si>
    <t>ConnectX-6 Dx EN NIC; OCP3.0; 100GbE; single-port QSFP56; PCIe4.0 x16; (MCX623435AN-CDA)</t>
  </si>
  <si>
    <t>ConnectX-6 Dx EN NIC; OCP3.0; 100GbE; single-port QSFP56; PCIe4.0 x16; (MCX623435AC-CDA)</t>
  </si>
  <si>
    <t>ConnectX-6 Dx EN NIC; 100GbE; single-port QSFP56; PCIe4.0 x16; (MCX623105AC-CDA)</t>
  </si>
  <si>
    <t>ConnectX-6 Dx EN NIC; OCP3.0; 25GbE; dual-port SFP28; PCIe4.0 x16; (MCX623432AS-ADA) 15b12 101D 15B3 0107</t>
  </si>
  <si>
    <t>ConnectX-6 Dx EN NIC; 25GbE; dual-port SFP28; PCIe4.0 x16; (MCX623102AS-ADA) 15b13 101D 15B3 0108</t>
  </si>
  <si>
    <t>ConnectX-6 Dx EN NIC; 25GbE; dual-port SFP28; PCIe4.0 x8; (MCX621202AS-ADA)</t>
  </si>
  <si>
    <t>ConnectX-6 Dx EN NIC; 25GbE; dual-port SFP28; PCIe4.0 x8; (MCX621202AC-ADA)</t>
  </si>
  <si>
    <t>BlueField-2 SmartNIC EN DPU; 100GbE; dual-port QSFP56; PCIe4.0 x16; (MBF2M516A-CECO)</t>
  </si>
  <si>
    <t>BlueField-2 SmartNIC VPI DPU; HDR100
  EDR IB/100GbE; dual-port QSFP56; PCIe4.0 x16; (MBF2M516A-EECO)</t>
  </si>
  <si>
    <t>BlueField-2 SmartNIC EN DPU; 25GbE; dual-port SFP56; PCIe4.0 x8; (MBF2H332A-AECO)</t>
  </si>
  <si>
    <t>BlueField-2 SmartNIC EN DPU; 25GbE; dual-port SFP56; PCIe4.0 x8; (MBF2H322A-AECO)</t>
  </si>
  <si>
    <t>BlueField-2 SmartNIC EN DPU; 200GbE; single-port QSFP56; PCIe4.0 x16; (MBF2M355A-VECO)</t>
  </si>
  <si>
    <t>BlueField-2 SmartNIC EN DPU; 200GbE; single-port QSFP56; PCIe4.0 x16; (MBF2M355A-VESO)</t>
  </si>
  <si>
    <t>BlueField-2 SmartNIC EN DPU; 100GbE; dual-port QSFP56; PCIe4.0 x16; (MBF2H516A-CEEO)</t>
  </si>
  <si>
    <t>BlueField-2 SmartNIC VPI DPU; HDR IB/200GbE; single-port QSFP56; PCIe4.0 x16; (MBF2M345A-HESO)</t>
  </si>
  <si>
    <t>BlueField-2 SmartNIC VPI DPU; HDR IB/200GbE; single-port QSFP56; PCIe4.0 x16; (MBF2M345A-HECO)</t>
  </si>
  <si>
    <t>BlueField-2 SmartNIC EN DPU; 25GbE; dual-port SFP56; PCIe4.0 x8; (MBF2H522C-AECO)</t>
  </si>
  <si>
    <t>BlueField-2 SmartNIC EN DPU; 25GbE; dual-port SFP56; PCIe4.0 x8; (MBF2H512C-AESO)</t>
  </si>
  <si>
    <t>BlueField-2 SmartNIC EN DPU; 25GbE; dual-port SFP56; PCIe4.0 x8; (MBF2H512C-AECO)</t>
  </si>
  <si>
    <t>BlueField-2 SmartNIC VPI DPU; HDR100
  EDR IB/100GbE; dual-port QSFP56; PCIe4.0 x16; (MBF2M516C-EECO)</t>
  </si>
  <si>
    <t>BlueField-2 SmartNIC EN DPU; 100GbE; dual-port QSFP56; PCIe4.0 x16; (MBF2H516C-CECO)</t>
  </si>
  <si>
    <t>BlueField-2 SmartNIC VPI DPU; HDR100
  EDR IB/100GbE; dual-port QSFP56; PCIe4.0 x16; (MBF2M516C-EESO)</t>
  </si>
  <si>
    <t>BlueField-2 SmartNIC VPI DPU; HDR100
  EDR IB/100GbE; dual-port QSFP56; PCIe4.0 x16; (MBF2H516C-EESO)</t>
  </si>
  <si>
    <t>BlueField-2 SmartNIC EN DPU; 100GbE; dual-port QSFP56; PCIe4.0 x16; (MBF2H516C-CESO)</t>
  </si>
  <si>
    <t>BlueField-2 SmartNIC EN DPU; 100GbE; dual-port QSFP56; PCIe4.0 x16; (MBF2H536C-CESO)</t>
  </si>
  <si>
    <t>BlueField-2 SmartNIC VPI DPU; HDR100
  EDR IB/100GbE; dual-port QSFP56; PCIe4.0 x16; (MBF2H536C-CECO)</t>
  </si>
  <si>
    <t>ConnectX-7 EN NIC; OCP3.0; 400GbE; single-port QSFP-DD; PCIe5.0 x16; (MCX71343DMC-WEA)</t>
  </si>
  <si>
    <t>ConnectX-7 EN NIC; OCP3.0; 400GbE; single-port QSFP-DD; PCIe5.0 x16; (MCX71343DMS-WEA)</t>
  </si>
  <si>
    <t>ConnectX-7 VPI NIC; NDR200/HDR IB /200GbE; dual-port QSFP; PCIe5.0 x16; (MCX755106AS-HEA)</t>
  </si>
  <si>
    <t>ConnectX-7 EN NIC; 100GbE; dual-port QSFP; PCIe5.0 x16; (MCX713106AC-CEA)</t>
  </si>
  <si>
    <t>ConnectX-7 EN NIC; 100GbE; dual-port QSFP; PCIe5.0 x16; (MCX713106AS-CEA)</t>
  </si>
  <si>
    <t>ConnectX-7 EN NIC; OCP3.0; 200GbE; dual-port QSFP; PCIe5.0 x16; (MCX713436MC-VEA)</t>
  </si>
  <si>
    <t>ConnectX-7 EN NIC; OCP3.0; 200GbE; dual-port QSFP; PCIe5.0 x16; (MCX713436MS-VEA)</t>
  </si>
  <si>
    <t>ConnectX-7 EN NIC; 400GbE; single-port QSFP; PCIe5.0 x16; (MCX713105AC-WEA)</t>
  </si>
  <si>
    <t>ConnectX-7 EN NIC; 400GbE; single-port QSFP; PCIe5.0 x16; (MCX713105AS-WEA)</t>
  </si>
  <si>
    <t>ConnectX-7 EN NIC; OCP3.0; 100GbE; dual-port QSFP; PCIe5.0 x16; (MCX713436MC-CEA)</t>
  </si>
  <si>
    <t>ConnectX-7 VPI NIC; HDR IB /200GbE; dual-port QSFP; 1st port IB only; PCIe5.0 x16; (MCX753436AS-HEA)</t>
  </si>
  <si>
    <t>ConnectX-7 EN NIC; OCP3.0; 100GbE; dual-port QSFP; PCIe5.0 x16; (MCX713436MS-CEA)</t>
  </si>
  <si>
    <t>ConnectX-7 VPI NIC; OCP3.0; NDR200 IB /200GbE; dual-port QSFP112; PCIe5.0 x16; (MCX753436MS-HEA)</t>
  </si>
  <si>
    <t>ConnectX-7 EN NIC; 25GbE; quad-port SFP; PCIe4.0 x16; (MCX713104AS-ADA)</t>
  </si>
  <si>
    <t>ConnectX-7 EN NIC; 25GbE; quad-port SFP; PCIe4.0 x16; (MCX713104AC-ADA)</t>
  </si>
  <si>
    <t>ConnectX-7 EN NIC; 400GbE; single-port QSFP; PCIe5.0 x16; (MCX715105AC-WEA)</t>
  </si>
  <si>
    <t>ConnectX-7 EN NIC; 400GbE; single-port QSFP; PCIe5.0 x16; (MCX715105AS-WEA)</t>
  </si>
  <si>
    <t>ConnectX-7 VPI NIC; OCP3.0; NDR IB /400GbE; single-port OSFP; PCIe5.0 x16; (MCX75343AMC-NEA)</t>
  </si>
  <si>
    <t>ConnectX-7 VPI NIC; OCP3.0; NDR IB /400GbE; single-port OSFP; PCIe5.0 x16; (MCX75343AMS-NEA)</t>
  </si>
  <si>
    <t>ConnectX-7 VPI NIC; NDR IB /400GbE; single-port OSFP; PCIe5.0 x16; (MCX75310AAC-NEA)</t>
  </si>
  <si>
    <t>ConnectX-7 VPI NIC; NDR200 IB /200GbE; dual-port QSFP112; PCIe5.0 x16; (MCX755106AC-HEA)</t>
  </si>
  <si>
    <t>ConnectX-7 VPI NIC; NDR200 IB /200GbE; single-port OSFP; PCIe5.0 x16; (MCX75510AAS-HEA)</t>
  </si>
  <si>
    <t>ConnectX-7 VPI NIC; NDR IB /400GbE; single-port OSFP; PCIe5.0 x16; (MCX75310AAS-NEA)</t>
  </si>
  <si>
    <t>ConnectX-7 VPI NIC; NDR200 IB /200GbE; single-port OSFP; PCIe5.0 x16; (MCX75310AAS-HEA)</t>
  </si>
  <si>
    <t>ConnectX-7 VPI NIC; NDR IB /400GbE; single-port OSFP; PCIe5.0 x16; (MCX75510AAS-NEA)</t>
  </si>
  <si>
    <t>ConnectX-6 Lx EN NIC; 25GbE; dual-port SFP28; PCIe4.0 x8; (MCX631102AS-ADA)</t>
  </si>
  <si>
    <t>ConnectX-6 Lx EN NIC; OCP3.0; 25GbE; dual-port SFP28; PCIe4.0 x8; (MCX631432AS-ADA)</t>
  </si>
  <si>
    <t>Micron Technology
 Inc</t>
  </si>
  <si>
    <t>Micron NVMe PCIe SSD Controller</t>
  </si>
  <si>
    <t>Micron P610DC NVMe PCIe SSD Controller</t>
  </si>
  <si>
    <t>MTFDHAL3T8TDP-1AT1ZABYY</t>
  </si>
  <si>
    <t>MTFDHAL3T2TDR-1AT1ZABYY</t>
  </si>
  <si>
    <t>MTFDHAL6T4TDR-1AT1ZABYY</t>
  </si>
  <si>
    <t>MTFDHAL7T6TDP-1AT1ZABYY</t>
  </si>
  <si>
    <t>MTFDHAL12T8TDR-1AT1ZABYY</t>
  </si>
  <si>
    <t>MTFDHAL15T3TDP-1AT1ZABYY</t>
  </si>
  <si>
    <t>Micron_7300_MTFD</t>
  </si>
  <si>
    <t>MTFDHBE960TDF-1AW1ZABYY</t>
  </si>
  <si>
    <t>MTFDHBE1T9TDF-1AW1ZABYY</t>
  </si>
  <si>
    <t>MTFDHBE3T8TDF-1AW1ZABYY</t>
  </si>
  <si>
    <t>MTFDHBE7T6TDF-1AW1ZABYY</t>
  </si>
  <si>
    <t>MTFDHBA480TDF-1AW1ZABYY</t>
  </si>
  <si>
    <t>MTFDHBA960TDF-1AW1ZABYY</t>
  </si>
  <si>
    <t>MTFDHBG1T9TDF-1AW1ZABYY</t>
  </si>
  <si>
    <t>MTFDHBG3T8TDF-1AW1ZABYY</t>
  </si>
  <si>
    <t>MTFDHBE800TDG-1AW1ZABYY</t>
  </si>
  <si>
    <t>MTFDHBE1T6TDG-1AW1ZABYY</t>
  </si>
  <si>
    <t>MTFDHBE3T2TDG-1AW1ZABYY</t>
  </si>
  <si>
    <t>MTFDHBE6T4TDG-1AW1ZABYY</t>
  </si>
  <si>
    <t>MTFDHBA400TDG-1AW1ZABYY</t>
  </si>
  <si>
    <t>MTFDHBA800TDG-1AW1ZABYY</t>
  </si>
  <si>
    <t>MTFDHBE6T4TDG-1AW4ZABYY</t>
  </si>
  <si>
    <t>MTFDHBA960TDF-1AW42ABYY</t>
  </si>
  <si>
    <t>MTFDHBG1T9TDF-1AW42ABYY</t>
  </si>
  <si>
    <t>MTFDHBG3T8TDF-1AW42ABYY</t>
  </si>
  <si>
    <t>MTFDHBA800TDG-1AW42ABY</t>
  </si>
  <si>
    <t>MTFDHBA800TDG-1AW12ABYY</t>
  </si>
  <si>
    <t>MTFDHBG3T8TDF-1AW12ABYY</t>
  </si>
  <si>
    <t>MTFDHBG1T9TDF-1AW12ABYY</t>
  </si>
  <si>
    <t>MTFDHBA960TDF-1AW12ABYY</t>
  </si>
  <si>
    <t>7400_MTFD</t>
  </si>
  <si>
    <t>Micron_7450_MTFD</t>
  </si>
  <si>
    <t>MTFDKCC960TDZ-1AZ15ABYY</t>
  </si>
  <si>
    <t>MTFDKCC1T9TDZ-AAZ4ZABYYES</t>
  </si>
  <si>
    <t>MTFDKCB1T9TDZ-AAZ4ZABYYES</t>
  </si>
  <si>
    <t>MTFDKCC800TFC-1AZ1ZABYY</t>
  </si>
  <si>
    <t>MTFDKBG1T9TDZ-AAZ4ZABYYES</t>
  </si>
  <si>
    <t>MTFDKCC800TFC-1AZ4ZABYY</t>
  </si>
  <si>
    <t>MTFDKCC800TFC-1AZ45ABYY</t>
  </si>
  <si>
    <t>MTFDKBZ1T9TDZ-AAZ4ZABYYES</t>
  </si>
  <si>
    <t>MTFDKCE1T9TDZ-AAZ4ZABYYES</t>
  </si>
  <si>
    <t>MTFDKCB800TFC-1AZ15ABYY</t>
  </si>
  <si>
    <t>MTFDKCB1T9TDZ-1AZ4ZABYY</t>
  </si>
  <si>
    <t>MTFDKCC800TFC-1AZ15ABYY</t>
  </si>
  <si>
    <t>MTFDKCC1T9TDZ-1AZ4ZABYY</t>
  </si>
  <si>
    <t>MTFDKBG1T9TDZ-1AZ1ZABYY</t>
  </si>
  <si>
    <t>MTFDKCC1T6TFC-1AZ4ZABYY</t>
  </si>
  <si>
    <t>MTFDKCB1T9TDZ-1AZ1ZABYY</t>
  </si>
  <si>
    <t>MTFDKCC1T9TDZ-1AZ1ZABYY</t>
  </si>
  <si>
    <t>MTFDKBG1T9TDZ-1AZ15ABYY</t>
  </si>
  <si>
    <t>MTFDKCC1T6TFC-1AZ45ABYY</t>
  </si>
  <si>
    <t>MTFDKCB1T9TDZ-1AZ15ABYY</t>
  </si>
  <si>
    <t>MTFDKCC1T6TFC-1AZ1ZABYY</t>
  </si>
  <si>
    <t>MTFDKCB1T6TFC-1AZ15ABYY</t>
  </si>
  <si>
    <t>MTFDKCC1T9TDZ-1AZ15ABYY</t>
  </si>
  <si>
    <t>MTFDKBZ1T9TDZ-1AZ15ABYY</t>
  </si>
  <si>
    <t>MTFDKCC1T6TFC-1AZ15ABYY</t>
  </si>
  <si>
    <t>MTFDKCC3T2TFC-1AZ4ZABYY</t>
  </si>
  <si>
    <t>MTFDKCC3T2TFC-1AZ45ABYY</t>
  </si>
  <si>
    <t>MTFDKCE1T9TDZ-1AZ15ABYY</t>
  </si>
  <si>
    <t>MTFDKCB3T8TDZ-AAZ4ZABYYES</t>
  </si>
  <si>
    <t>MTFDKCC3T2TFC-1AZ1ZABYY</t>
  </si>
  <si>
    <t>MTFDKBG3T8TDZ-AAZ4ZABYYES</t>
  </si>
  <si>
    <t>MTFDKCC3T2TFC-1AZ15ABYY</t>
  </si>
  <si>
    <t>MTFDKCC3T8TDZ-AAZ4ZABYYES</t>
  </si>
  <si>
    <t>MTFDKCC6T4TFC-1AZ4ZABYY</t>
  </si>
  <si>
    <t>MTFDKBZ3T8TDZ-AAZ4ZABYYES</t>
  </si>
  <si>
    <t>MTFDKCE3T8TDZ-AAZ4ZABYYES</t>
  </si>
  <si>
    <t>MTFDKCC6T4TFC-1AZ45ABYY</t>
  </si>
  <si>
    <t>MTFDKCC6T4TFC-1AZ1ZABYY</t>
  </si>
  <si>
    <t>MTFDKCC6T4TFC-1AZ15ABYY</t>
  </si>
  <si>
    <t>MTFDKCC960TDZ-1AZ1ZABYY</t>
  </si>
  <si>
    <t>MTFDKBA960TDZ-AAZ15ABYYES</t>
  </si>
  <si>
    <t>MTFDKBG960TDZ-AAZ45ABYYES</t>
  </si>
  <si>
    <t>MTFDKBA960TDZ-AAZ4ZABYYES</t>
  </si>
  <si>
    <t>MTFDKBG960TDZ-AAZ4ZABYYES</t>
  </si>
  <si>
    <t>MTFDKCB960TDZ-AAZ4ZABYYES</t>
  </si>
  <si>
    <t>MTFDKCC960TDZ-AAZ4ZABYYES</t>
  </si>
  <si>
    <t>MTFDKCB7T6TDZ-1AZ15ABYY</t>
  </si>
  <si>
    <t>MTFDKCC7T6TDZ-1AZ15ABYY</t>
  </si>
  <si>
    <t>MTFDKCB960TDZ-1AZ4ZABYY</t>
  </si>
  <si>
    <t>MTFDKCC960TDZ-1AZ4ZABYY</t>
  </si>
  <si>
    <t>MTFDKBA960TDZ-1AZ1ZABYY</t>
  </si>
  <si>
    <t>MTFDKBG960TDZ-1AZ1ZABYY</t>
  </si>
  <si>
    <t>MTFDKCB960TDZ-1AZ1ZABYY</t>
  </si>
  <si>
    <t>MTFDKBA960TDZ-1AZ15ABYY</t>
  </si>
  <si>
    <t>MTFDKBG960TDZ-1AZ15ABYY</t>
  </si>
  <si>
    <t>MTFDKCB960TDZ-1AZ15ABYY</t>
  </si>
  <si>
    <t>MTFDKCB7T6TDZ-AAZ4ZABYYES</t>
  </si>
  <si>
    <t>MTFDKCB7T6TDZ-1AZ4ZABYY</t>
  </si>
  <si>
    <t>MTFDKCC7T6TDZ-AAZ4ZABYYES</t>
  </si>
  <si>
    <t>MTFDKCC7T6TDZ-1AZ4ZABYY</t>
  </si>
  <si>
    <t>MTFDKCB7T6TDZ-1AZ1ZABYY</t>
  </si>
  <si>
    <t>MTFDKCC7T6TDZ-1AZ1ZABYY</t>
  </si>
  <si>
    <t>MTFDKBU3T8TDZ-AAZ4ZABYYES</t>
  </si>
  <si>
    <t>MTFDKCB3T8TDZ-1AZ4ZABYY</t>
  </si>
  <si>
    <t>MTFDKCC3T8TDZ-1AZ4ZABYY</t>
  </si>
  <si>
    <t>MTFDKBG3T8TDZ-1AZ1ZABYY</t>
  </si>
  <si>
    <t>MTFDKCB3T8TDZ-1AZ1ZABYY</t>
  </si>
  <si>
    <t>MTFDKCC3T8TDZ-1AZ1ZABYY</t>
  </si>
  <si>
    <t>MTFDKBG3T8TDZ-1AZ15ABYY</t>
  </si>
  <si>
    <t>MTFDKCB3T8TDZ-1AZ15ABYY</t>
  </si>
  <si>
    <t>MTFDKCC3T8TDZ-1AZ15ABYY</t>
  </si>
  <si>
    <t>MTFDKBZ3T8TDZ-1AZ15ABYY</t>
  </si>
  <si>
    <t>MTFDKCE3T8TDZ-1AZ15ABYY</t>
  </si>
  <si>
    <t>MTFDKBZ960TDZ-AAZ4ZABYYES</t>
  </si>
  <si>
    <t>MTFDKCE960TDZ-AAZ4ZABYYES</t>
  </si>
  <si>
    <t>MTFDKBU960TDZ-AAZ4ZABYYES</t>
  </si>
  <si>
    <t>MTFDKBZ960TDZ-1AZ15ABYY</t>
  </si>
  <si>
    <t>MTFDKCE960TDZ-1AZ15ABYY</t>
  </si>
  <si>
    <t>MTFDKBU1T9TDZ-AAZ4ZABYYES</t>
  </si>
  <si>
    <t>MTFDKBG1T9TFR-1BC1ZABYY</t>
  </si>
  <si>
    <t>MTFDKCB1T9TFR-1BC1ZABYY</t>
  </si>
  <si>
    <t>MTFDKCC6T4TFS-1BC15ABYY</t>
  </si>
  <si>
    <t>MTFDKCC6T4TFS-1BC1ZABYY</t>
  </si>
  <si>
    <t>MTFDKCC1T9TFR-1BC1ZABYY</t>
  </si>
  <si>
    <t>MTFDKCB6T4TFS-1BC1ZABYY</t>
  </si>
  <si>
    <t>MTFDKBG3T8TFR-1BC15ABYY</t>
  </si>
  <si>
    <t>MTFDKCC3T8TFR-1BC15ABYY</t>
  </si>
  <si>
    <t>MTFDKCB3T8TFR-1BC15ABYY</t>
  </si>
  <si>
    <t>MTFDKCB960TFR-1BC1ZABYY</t>
  </si>
  <si>
    <t>MTFDKCC960TFR-1BC1ZABYY</t>
  </si>
  <si>
    <t>MTFDKBG1T9TFR-1BC15ABYY</t>
  </si>
  <si>
    <t>MTFDKCC1T9TFR-1BC15ABYY</t>
  </si>
  <si>
    <t>MTFDKBG3T8TFR-1BC1ZABYY</t>
  </si>
  <si>
    <t>MTFDKCB1T9TFR-1BC15ABYY</t>
  </si>
  <si>
    <t>MTFDKBA960TFR-1BC15ABYY</t>
  </si>
  <si>
    <t>MTFDKBG960TFR-1BC15ABYY</t>
  </si>
  <si>
    <t>MTFDKCC960TFR-1BC15ABYY</t>
  </si>
  <si>
    <t>MTFDKCB960TFR-1BC15ABYY</t>
  </si>
  <si>
    <t>MTFDKBA960TFR-1BC1ZABYY</t>
  </si>
  <si>
    <t>MTFDKBG960TFR-1BC1ZABYY</t>
  </si>
  <si>
    <t>MTFDKCB3T8TFR-1BC1ZABYY</t>
  </si>
  <si>
    <t>MTFDKCC3T8TFR-1BC1ZABYY</t>
  </si>
  <si>
    <t>MTFDKCC7T6TFR-1BC15ABYY</t>
  </si>
  <si>
    <t>MTFDKCB7T6TFR-1BC15ABYY</t>
  </si>
  <si>
    <t>MTFDKCC7T6TFR-1BC1ZABYY</t>
  </si>
  <si>
    <t>MTFDKCB7T6TFR-1BC1ZABYY</t>
  </si>
  <si>
    <t>MTFDKCC6T4TFS-1BC45ABYY</t>
  </si>
  <si>
    <t>MTFDKCC6T4TFS-1BC4ZABYY</t>
  </si>
  <si>
    <t>MTFDKCC12T8TFS-1BC1ZABYY</t>
  </si>
  <si>
    <t>MTFDKCC12T8TFS-1BC15ABYY</t>
  </si>
  <si>
    <t>MTFDKBA800TFC-1AZ1ZABYY</t>
  </si>
  <si>
    <t>MTFDKCB800TFC-1AZ1ZABYY</t>
  </si>
  <si>
    <t>MTFDKCB1T6TFC-1AZ1ZABYY</t>
  </si>
  <si>
    <t>MTFDKCB3T2TFC-1AZ1ZABYY</t>
  </si>
  <si>
    <t>MTFDKCC800TFS-1BC4ZABYY</t>
  </si>
  <si>
    <t>MTFDKCC800TFS-1BC45ABYY</t>
  </si>
  <si>
    <t>MTFDKCC1T6TFS-1BC4ZABYY</t>
  </si>
  <si>
    <t>MTFDKCC1T6TFS-1BC45ABYY</t>
  </si>
  <si>
    <t>MTFDKCC3T2TFS-1BC4ZABYY</t>
  </si>
  <si>
    <t>MTFDKCC3T2TFS-1BC45ABYY</t>
  </si>
  <si>
    <t>MTFDKCB1T6TFS-1BC15ABYY</t>
  </si>
  <si>
    <t>MTFDKCC1T6TFS-1BC1ZABYY</t>
  </si>
  <si>
    <t>MTFDKCB1T6TFS-1BC1ZABYY</t>
  </si>
  <si>
    <t>MTFDKCC3T2TFS-1BC15ABYY</t>
  </si>
  <si>
    <t>MTFDKCC3T2TFS-1BC1ZABYY</t>
  </si>
  <si>
    <t>MTFDKCB3T2TFS-1BC1ZABYY</t>
  </si>
  <si>
    <t>MTFDKCC800TFS-1BC15ABYY</t>
  </si>
  <si>
    <t>MTFDKCB800TFS-1BC15ABYY</t>
  </si>
  <si>
    <t>MTFDKCC800TFS-1BC1ZABYY</t>
  </si>
  <si>
    <t>MTFDKCB800TFS-1BC1ZABYY</t>
  </si>
  <si>
    <t>MTFDKBA800TFS-1BC1ZABYY</t>
  </si>
  <si>
    <t>MTFDKCC1T6TFS-1BC15ABYY</t>
  </si>
  <si>
    <t>MTFDKCB960TFR-1BC4ZABYY</t>
  </si>
  <si>
    <t>MTFDKCC960TFR-1BC4ZABYY</t>
  </si>
  <si>
    <t>MTFDKCB1T9TFR-1BC4ZABYY</t>
  </si>
  <si>
    <t>MTFDKCC1T9TFR-1BC4ZABYY</t>
  </si>
  <si>
    <t>MTFDKCC3T8TFR-1BC4ZABYY</t>
  </si>
  <si>
    <t>MTFDKCB3T8TFR-1BC4ZABYY</t>
  </si>
  <si>
    <t>MTFDKCB7T6TFR-1BC4ZABYY</t>
  </si>
  <si>
    <t>MTFDKCC7T6TFR-1BC4ZABYY</t>
  </si>
  <si>
    <t>MTFDKCC7T6TFR-1BC15FCYY</t>
  </si>
  <si>
    <t>MTFDKCC15T3TFR-1BC1ZABYY</t>
  </si>
  <si>
    <t>MTFDKCC15T3TFR-1BC15ABYY</t>
  </si>
  <si>
    <t>MTFDKCB3T2TFS-1BC15ABYY</t>
  </si>
  <si>
    <t>MTFDKBA480TFR-1BC1ZABYY</t>
  </si>
  <si>
    <t>Dell EC NVMe ISE 7400 MU M.2 80 800GB</t>
  </si>
  <si>
    <t>Dell EC NVMe OPAL 7400 MU M.2 80 800GB</t>
  </si>
  <si>
    <t>Dell EC NVMe ISE 7400 RI M.2 480GB</t>
  </si>
  <si>
    <t>Dell EC NVMe OPAL 7400 RI M.2 480GB</t>
  </si>
  <si>
    <t>Dell EC NVMe ISE 7400 RI M.2 960GB</t>
  </si>
  <si>
    <t>Dell EC NVMe ISE 7400 RI M.2 110 960GB</t>
  </si>
  <si>
    <t>Dell EC NVMe OPAL 7400 RI M.2 110 3.84TB</t>
  </si>
  <si>
    <t>Dell EC NVMe OPAL 7400 RI M.2 960GB</t>
  </si>
  <si>
    <t>Dell EC NVMe OPAL 7400 RI M.2 110 960GB</t>
  </si>
  <si>
    <t>Dell EC NVMe ISE 7400 RI M.2 110 1.92TB</t>
  </si>
  <si>
    <t>Dell EC NVMe OPAL 7400 RI M.2 110 1.92TB</t>
  </si>
  <si>
    <t>Dell EC NVMe ISE 7400 RI M.2 110 3.84TB</t>
  </si>
  <si>
    <t>MTFDKBA480TFR-1BC15ABYY</t>
  </si>
  <si>
    <t>MTFDKBZ3T8TFR-1BC15ABYY</t>
  </si>
  <si>
    <t>MTFDKBZ7T6TFR-1BC15ABYY</t>
  </si>
  <si>
    <t>MTFDKBA800TFS-1BC15ABYY</t>
  </si>
  <si>
    <t>MTFDKBA400TFS-1BC15ABYY</t>
  </si>
  <si>
    <t>MTFDKBG1T6TFS-1BC15ABYY</t>
  </si>
  <si>
    <t>MTFDKBG3T2TFS-1BC15ABYY</t>
  </si>
  <si>
    <t>MO000800KXNXH</t>
  </si>
  <si>
    <t>MO0001600KXNZV</t>
  </si>
  <si>
    <t>MO0003200KXPAA</t>
  </si>
  <si>
    <t>MO0006400KXPAB</t>
  </si>
  <si>
    <t>VO007680KXNZT</t>
  </si>
  <si>
    <t>VO003840KXNZR</t>
  </si>
  <si>
    <t>VO001920KXNZQ</t>
  </si>
  <si>
    <t>VO000960KXNXD</t>
  </si>
  <si>
    <t>VR000960KXNZU</t>
  </si>
  <si>
    <t>VS001920KXNXF</t>
  </si>
  <si>
    <t>VR000480KXNXE</t>
  </si>
  <si>
    <t>MTFDKBA400TFS-1BC1ZABYY</t>
  </si>
  <si>
    <t>Dell EC NVMe FIPS 7400 RI M.2 80 480GB</t>
  </si>
  <si>
    <t>Dell EC NVMe FIPS 7400 RI M.2 80 960GB</t>
  </si>
  <si>
    <t>Dell EC NVMe FIPS 7400 RI M.2 110 960GB</t>
  </si>
  <si>
    <t>Dell EC NVMe FIPS 7400 RI M.2 110 1.92TB</t>
  </si>
  <si>
    <t>Dell EC NVMe FIPS 7400 RI M.2 110 3.84TB</t>
  </si>
  <si>
    <t>Dell EC NVMe FIPS 7400 MU M.2 80 800GB</t>
  </si>
  <si>
    <t>MTFDKCC15T3TGH-1BC1ZABYY</t>
  </si>
  <si>
    <t>MTFDKCC6T4TGJ-1BC1ZABYY</t>
  </si>
  <si>
    <t>MTFDKCC12T8TGJ-1BC1ZABYY</t>
  </si>
  <si>
    <t>MTFDKCC7T6TGH-1BC1ZABYY</t>
  </si>
  <si>
    <t>MTFDKCC25T6TGJ-1BC1ZABYY</t>
  </si>
  <si>
    <t>Dell EC NVMe ISE 7450 RI M.2 80 480GB</t>
  </si>
  <si>
    <t>Dell EC NVMe ISE 7450 RI M.2 80 960GB</t>
  </si>
  <si>
    <t>Dell EC NVMe ISE 7450 MU M.2 80 800GB</t>
  </si>
  <si>
    <t>Dell EC NVMe ISE 7450 RI M.2 110 960G</t>
  </si>
  <si>
    <t>Dell EC NVMe ISE 7450 RI M.2 110 1920GB</t>
  </si>
  <si>
    <t>Dell EC NVMe ISE 7450 RI M.2 110 3840GB</t>
  </si>
  <si>
    <t>Dell EC NVMe SED 7450 RI M.2 80 480GB</t>
  </si>
  <si>
    <t>Dell EC NVMe SED 7450 RI M.2 80 960GB</t>
  </si>
  <si>
    <t>Dell EC NVMe FIPS 7450 RI M.2 80 480GB</t>
  </si>
  <si>
    <t>Dell EC NVMe FIPS 7450 RI M.2 80 960GB</t>
  </si>
  <si>
    <t>Dell DN NVMe FIPS 7450 RI M.2 110 960GB</t>
  </si>
  <si>
    <t>Micron_7500_EEFDKCC15T3TGP</t>
  </si>
  <si>
    <t>Dell DC NVMe ISE 7450 RI U.2 960GB</t>
  </si>
  <si>
    <t>Dell DC NVMe ISE 7450 RI U.2 1.92TB</t>
  </si>
  <si>
    <t>Dell DC NVMe ISE 7450 RI U.2 3.84TB</t>
  </si>
  <si>
    <t>Dell DC NVMe ISE 7450 RI U.2 7.68TB</t>
  </si>
  <si>
    <t>Dell DC NVMe ISE 7450 RI U.2 15.36TB</t>
  </si>
  <si>
    <t>Dell DC NVMe ISE 7450 MU U.2 800GB</t>
  </si>
  <si>
    <t>Dell DC NVMe ISE 7450 MU U.2 1.6TB</t>
  </si>
  <si>
    <t>Dell DC NVMe ISE 7450 MU U.2 3.2TB</t>
  </si>
  <si>
    <t>Dell DC NVMe ISE 7450 MU U.2 6.4TB</t>
  </si>
  <si>
    <t>Dell DC NVMe ISE 7450 MU U.2 12.8TB</t>
  </si>
  <si>
    <t>UCS-NVMEG4-M1536D</t>
  </si>
  <si>
    <t>UCSX-NVMEG4M1536D</t>
  </si>
  <si>
    <t>UCSB-NVMEM6-M1920</t>
  </si>
  <si>
    <t>UCS-S3260-NVMM19T</t>
  </si>
  <si>
    <t>UCSB-NVMEM6-M3800</t>
  </si>
  <si>
    <t>UCS-S3260-NVMM38T</t>
  </si>
  <si>
    <t>Micron 6500 ION EEFDKCC30T7TGR</t>
  </si>
  <si>
    <t>MTFDKCC960TGP-1BK1DABYY</t>
  </si>
  <si>
    <t>MTFDKCC1T9TGP-1BK1DABYY</t>
  </si>
  <si>
    <t>MTFDKCC3T8TGP-1BK1DABYY</t>
  </si>
  <si>
    <t>MTFDKCC7T6TGP-1BK1DABYY</t>
  </si>
  <si>
    <t>MTFDKCC15T3TGP-1BK1DABYY</t>
  </si>
  <si>
    <t>MTFDKCC960TGP-1BK1JABYY</t>
  </si>
  <si>
    <t>MTFDKCC1T9TGP-1BK1JABYY</t>
  </si>
  <si>
    <t>MTFDKCC3T8TGP-1BK1JABYY</t>
  </si>
  <si>
    <t>MTFDKCC7T6TGP-1BK1JABYY</t>
  </si>
  <si>
    <t>MTFDKCC15T3TGP-1BK1JABYY</t>
  </si>
  <si>
    <t>MTFDKCC800TGQ-1BK1DABYY</t>
  </si>
  <si>
    <t>MTFDKCC1T6TGQ-1BK1DABYY</t>
  </si>
  <si>
    <t>MTFDKCC3T2TGQ-1BK1DABYY</t>
  </si>
  <si>
    <t>MTFDKCC6T4TGQ-1BK1DABYY</t>
  </si>
  <si>
    <t>MTFDKCC12T8TGQ-1BK1DABYY</t>
  </si>
  <si>
    <t>Dell DC NVMe SED 7450 MU U.2 1.6TB</t>
  </si>
  <si>
    <t>Dell DC NVMe SED 7450 MU U.2 3.2TB</t>
  </si>
  <si>
    <t>Dell DC NVMe SED 7450 MU U.2 6.4TB</t>
  </si>
  <si>
    <t>Dell DC NVMe SED 7450 MU U.2 12.8TB</t>
  </si>
  <si>
    <t>MTFDKCC800TGQ-1BK1JABYY</t>
  </si>
  <si>
    <t>MTFDKCC1T6TGQ-1BK1JABYY</t>
  </si>
  <si>
    <t>MTFDKCC3T2TGQ-1BK1JABYY</t>
  </si>
  <si>
    <t>MTFDKCC6T4TGQ-1BK1JABYY</t>
  </si>
  <si>
    <t>MTFDKCC12T8TGQ-1BK1JABYY</t>
  </si>
  <si>
    <t>Dell DN NVMe FIPS 7400 RI M.2 80 480GB</t>
  </si>
  <si>
    <t>MTFDLAL25T6THB-1BK1JABYY</t>
  </si>
  <si>
    <t>MTFDLBQ3T8THA-1BK1DFCYY</t>
  </si>
  <si>
    <t>MTFDLBQ7T6THA-1BK1DFCYY</t>
  </si>
  <si>
    <t>MTFDLBQ15T3THA-1BK1DFCYY</t>
  </si>
  <si>
    <t>MTFDLBQ6T4THB-1BK1DFCYY</t>
  </si>
  <si>
    <t>MTFDLBQ3T2THB-1BK1DFCYY</t>
  </si>
  <si>
    <t>MTFDLBQ12T8THB-1BK1DFCYY</t>
  </si>
  <si>
    <t>MTFDLAL7T6THA-1BK1DABYY</t>
  </si>
  <si>
    <t>MTFDLAL15T3THA-1BK1DABYY</t>
  </si>
  <si>
    <t>MTFDLAL3T2THB-1BK1DABYY</t>
  </si>
  <si>
    <t>MTFDLAL6T4THB-1BK1DABYY</t>
  </si>
  <si>
    <t>MTFDLAL12T8THB-1BK1DABYY</t>
  </si>
  <si>
    <t>MTFDLAL3T8THA-1BK1DFCYY</t>
  </si>
  <si>
    <t>MTFDLAL7T6THA-1BK1DFCYY</t>
  </si>
  <si>
    <t>MTFDLAL15T3THA-1BK1DFCYY</t>
  </si>
  <si>
    <t>MTFDLAL3T2THB-1BK1DFCYY</t>
  </si>
  <si>
    <t>MTFDLAL6T4THB-1BK1DFCYY</t>
  </si>
  <si>
    <t>MTFDLAL12T8THB-1BK1DFCYY</t>
  </si>
  <si>
    <t>MTFDLBQ3T8THA-1BK1JABYY</t>
  </si>
  <si>
    <t>MTFDLBQ7T6THA-1BK1JABYY</t>
  </si>
  <si>
    <t>MTFDLBQ15T3THA-1BK1JABYY</t>
  </si>
  <si>
    <t>MTFDLBQ3T2THB-1BK1JABYY</t>
  </si>
  <si>
    <t>MTFDLBQ6T4THB-1BK1JABYY</t>
  </si>
  <si>
    <t>MTFDLBQ12T8THB-1BK1JABYY</t>
  </si>
  <si>
    <t>MTFDLBQ3T8THA-1BK1DABYY</t>
  </si>
  <si>
    <t>MTFDLBQ7T6THA-1BK1DABYY</t>
  </si>
  <si>
    <t>MTFDLBQ15T3THA-1BK1DABYY</t>
  </si>
  <si>
    <t>MTFDLBQ3T2THB-1BK1DABYY</t>
  </si>
  <si>
    <t>MTFDLBQ6T4THB-1BK1DABYY</t>
  </si>
  <si>
    <t>MTFDLBQ12T8THB-1BK1DABYY</t>
  </si>
  <si>
    <t>MTFDLAL3T8THA-1BK1JABYY</t>
  </si>
  <si>
    <t>MTFDLAL7T6THA-1BK1JABYY</t>
  </si>
  <si>
    <t>MTFDLAL15T3THA-1BK1JABYY</t>
  </si>
  <si>
    <t>MTFDLAL3T2THB-1BK1JABYY</t>
  </si>
  <si>
    <t>MTFDLAL6T4THB-1BK1JABYY</t>
  </si>
  <si>
    <t>MTFDLAL12T8THB-1BK1JABYY</t>
  </si>
  <si>
    <t>MTFDLAL3T8THA-1BK1DABYY</t>
  </si>
  <si>
    <t>MTFDLBQ7T6THG-1BP1JABYY</t>
  </si>
  <si>
    <t>MTFDLAL61T4THL-1BK4JABYY</t>
  </si>
  <si>
    <t>MTFDLBQ1T9THG-1BP1JABYY</t>
  </si>
  <si>
    <t>MTFDLBQ3T8THG-1BP1JABYY</t>
  </si>
  <si>
    <t>MTFDLBQ3T2THS-1BP1JABYY</t>
  </si>
  <si>
    <t>MTFDLBQ6T4THS-1BP1JABYY</t>
  </si>
  <si>
    <t>MTFDLBQ12T8THS-1BP1JABYY</t>
  </si>
  <si>
    <t>MTFDLAL15T3THG-1BP1DFCYY</t>
  </si>
  <si>
    <t>MTFDLAL15T3THG-1BP1JABYY</t>
  </si>
  <si>
    <t>MTFDLAL1T9THG-1BP1JABYY</t>
  </si>
  <si>
    <t>MTFDLAL3T8THG-1BP1JABYY</t>
  </si>
  <si>
    <t>MTFDLAL7T6THG-1BP1JABYY</t>
  </si>
  <si>
    <t>MTFDLAL1T6THS-1BP1JABYY</t>
  </si>
  <si>
    <t>MTFDLAL3T2THS-1BP1JABYY</t>
  </si>
  <si>
    <t>MTFDLAL6T4THS-1BP1JABYY</t>
  </si>
  <si>
    <t>MTFDLAL12T8THS-1BP1JABYY</t>
  </si>
  <si>
    <t>MTFDLBQ15T3THG-1BP1JABYY</t>
  </si>
  <si>
    <t>MTFDLBQ1T6THS-1BP1JABYY</t>
  </si>
  <si>
    <t>MTFDLCE1T9THG-1BP1JABYY</t>
  </si>
  <si>
    <t>MTFDLCE3T8THG-1BP1JABYY</t>
  </si>
  <si>
    <t>MTFDLCE7T6THG-1BP1JABYY</t>
  </si>
  <si>
    <t>MTFDLCE15T3THG-1BP1JABYY</t>
  </si>
  <si>
    <t>MTFDLCE1T6THS-1BP1JABYY</t>
  </si>
  <si>
    <t>MTFDLCE3T2THS-1BP1JABYY</t>
  </si>
  <si>
    <t>MTFDLCE6T4THS-1BP1JABYY</t>
  </si>
  <si>
    <t>MTFDLCE12T8THS-1BP1JABYY</t>
  </si>
  <si>
    <t>MTFDLBT1T9THG-1BP1JABYY</t>
  </si>
  <si>
    <t>MTFDLBT3T8THG-1BP1JABYY</t>
  </si>
  <si>
    <t>MTFDLBT7T6THG-1BP1JABYY</t>
  </si>
  <si>
    <t>MTFDLBT15T3THG-1BP1JABYY</t>
  </si>
  <si>
    <t>MTFDLBT1T6THS-1BP1JABYY</t>
  </si>
  <si>
    <t>MTFDLBT3T2THS-1BP1JABYY</t>
  </si>
  <si>
    <t>MTFDLBT6T4THS-1BP1JABYY</t>
  </si>
  <si>
    <t>MTFDLBT12T8THS-1BP1JABYY</t>
  </si>
  <si>
    <t>MTFDLAL1T9THG-1BP1DFCYY</t>
  </si>
  <si>
    <t>MTFDLAL3T8THG-1BP1DFCYY</t>
  </si>
  <si>
    <t>MTFDLAL7T6THG-1BP1DFCYY</t>
  </si>
  <si>
    <t>MTFDLAL1T6THS-1BP1DFCYY</t>
  </si>
  <si>
    <t>MTFDLAL3T2THS-1BP1DFCYY</t>
  </si>
  <si>
    <t>MTFDLBQ1T9THG-1BP1DFCYY</t>
  </si>
  <si>
    <t>MTFDLBQ3T8THG-1BP1DFCYY</t>
  </si>
  <si>
    <t>MTFDLBQ7T6THG-1BP1DFCYY</t>
  </si>
  <si>
    <t>MTFDLBQ15T3THG-1BP1DFCYY</t>
  </si>
  <si>
    <t>MTFDLBQ1T6THS-1BP1DFCYY</t>
  </si>
  <si>
    <t>MTFDLBQ3T2THS-1BP1DFCYY</t>
  </si>
  <si>
    <t>MTFDLBQ6T4THS-1BP1DFCYY</t>
  </si>
  <si>
    <t>MTFDLBQ12T8THS-1BP1DFCYY</t>
  </si>
  <si>
    <t>MTFDLCE1T9THG-1BP1DFCYY</t>
  </si>
  <si>
    <t>MTFDLCE3T8THG-1BP1DFCYY</t>
  </si>
  <si>
    <t>MTFDLCE7T6THG-1BP1DFCYY</t>
  </si>
  <si>
    <t>MTFDLCE15T3THG-1BP1DFCYY</t>
  </si>
  <si>
    <t>MTFDLCE1T6THS-1BP1DFCYY</t>
  </si>
  <si>
    <t>MTFDLCE3T2THS-1BP1DFCYY</t>
  </si>
  <si>
    <t>MTFDLCE6T4THS-1BP1DFCYY</t>
  </si>
  <si>
    <t>MTFDLCE12T8THS-1BP1DFCYY</t>
  </si>
  <si>
    <t>MTFDLBT1T9THG-1BP1DFCYY</t>
  </si>
  <si>
    <t>MTFDLBT3T8THG-1BP1DFCYY</t>
  </si>
  <si>
    <t>MTFDLBT7T6THG-1BP1DFCYY</t>
  </si>
  <si>
    <t>MTFDLBT15T3THG-1BP1DFCYY</t>
  </si>
  <si>
    <t>MTFDLBT1T6THS-1BP1DFCYY</t>
  </si>
  <si>
    <t>MTFDLBT3T2THS-1BP1DFCYY</t>
  </si>
  <si>
    <t>MTFDLBT6T4THS-1BP1DFCYY</t>
  </si>
  <si>
    <t>MTFDLBT12T8THS-1BP1DFCYY</t>
  </si>
  <si>
    <t>MTFDLAL6T4THS-1BP1DFCYY</t>
  </si>
  <si>
    <t>MTFDLAL12T8THS-1BP1DFCYY</t>
  </si>
  <si>
    <t>MTFDMCE7T6THM-2BP1JABYY</t>
  </si>
  <si>
    <t>MTFDLBT3T8THA-1BK1DABYY</t>
  </si>
  <si>
    <t>MTFDLBT7T6THA-1BK1DABYY</t>
  </si>
  <si>
    <t>MTFDLBT15T3THA-1BK1DABYY</t>
  </si>
  <si>
    <t>MTFDLCE3T8THA-1BK1DABYY</t>
  </si>
  <si>
    <t>MTFDLCE7T6THA-1BK1DABYY</t>
  </si>
  <si>
    <t>MTFDLCE15T3THA-1BK1DABYY</t>
  </si>
  <si>
    <t>MTFDLBQ61T4THL-1BK1JABYY</t>
  </si>
  <si>
    <t>MTFDLBQ30T7THL-1BK1JABYY</t>
  </si>
  <si>
    <t>MTFDLAL30T7THL-1BK1JABYY</t>
  </si>
  <si>
    <t>MTFDLBN30T7THL-1BK1JABYY</t>
  </si>
  <si>
    <t>MTFDLBN61T4THL-1BK1JABYY</t>
  </si>
  <si>
    <t>MTFDKCC960TGP-1BK1DFCYY</t>
  </si>
  <si>
    <t>MTFDKCC1T9TGP-1BK1DFCYY</t>
  </si>
  <si>
    <t>MTFDKCC3T8TGP-1BK1DFCYY</t>
  </si>
  <si>
    <t>MTFDKCC7T6TGP-1BK1DFCYY</t>
  </si>
  <si>
    <t>MTFDKCC15T3TGP-1BK1DFCYY</t>
  </si>
  <si>
    <t>MTFDLAL245T7QHF-1BQ1JABYY</t>
  </si>
  <si>
    <t>MTFDMBQ7T6THM-2BP1DFCYY</t>
  </si>
  <si>
    <t>MTFDMBQ15T3THM-2BP1DFCYY</t>
  </si>
  <si>
    <t>MTFDMBQ3T2THP-2BP1DFCYY</t>
  </si>
  <si>
    <t>MTFDMBQ6T4THP-2BP1DFCYY</t>
  </si>
  <si>
    <t>MTFDMBQ12T8THP-2BP1DFCYY</t>
  </si>
  <si>
    <t>MTFDMBT7T6THM-2BP1DFCYY</t>
  </si>
  <si>
    <t>MTFDMBT15T3THM-2BP1DFCYY</t>
  </si>
  <si>
    <t>MTFDMCE7T6THM-2BP1DFCYY</t>
  </si>
  <si>
    <t>MTFDMCE15T3THM-2BP1DFCYY</t>
  </si>
  <si>
    <t>MTFDLAL30T7THG-1BP1JABYY</t>
  </si>
  <si>
    <t>NEC Corporation</t>
  </si>
  <si>
    <t>MegaRAID SAS 9362-8i</t>
  </si>
  <si>
    <t>QLE2692 16G FC HBA</t>
  </si>
  <si>
    <t>QLE2690 16G FC HBA</t>
  </si>
  <si>
    <t>945N-8i</t>
  </si>
  <si>
    <t>946N-8i 2GB</t>
  </si>
  <si>
    <t>946N-8i 4GB</t>
  </si>
  <si>
    <t>944N-8i</t>
  </si>
  <si>
    <t>956N-8i</t>
  </si>
  <si>
    <t>N8104-150</t>
  </si>
  <si>
    <t>N8104-151</t>
  </si>
  <si>
    <t>N8104-152</t>
  </si>
  <si>
    <t>N8104-154</t>
  </si>
  <si>
    <t>New H3C Technologies Co.
 Ltd.</t>
  </si>
  <si>
    <t>UN HBA H460-M1</t>
  </si>
  <si>
    <t>UN HBA H460-B1</t>
  </si>
  <si>
    <t>UN RAID P460-M4</t>
  </si>
  <si>
    <t>UN RAID P460-B4</t>
  </si>
  <si>
    <t>H3C P2404-Mf-4i-2GB</t>
  </si>
  <si>
    <t>H3C P2404-Mf-4i-1GB</t>
  </si>
  <si>
    <t>H3C P4408-Mf-8i-2GB</t>
  </si>
  <si>
    <t>H3C P4408-Mf-8i-4GB</t>
  </si>
  <si>
    <t>UN RAID P460-M2</t>
  </si>
  <si>
    <t>UN RAID P460-B2</t>
  </si>
  <si>
    <t>H3C NIC-ETH640F-L-2*25G (MCX4121A-ACAT)</t>
  </si>
  <si>
    <t>H3C NIC-620F-B2-25Gb-2P (MCX4121A-ACAT)</t>
  </si>
  <si>
    <t>H3C UN-NIC-ETH540F-LP-2P(MCX4121A-XCA)</t>
  </si>
  <si>
    <t>H3C UN-NIC-ETH540F-3S-2P(MCX4121A-XCA)</t>
  </si>
  <si>
    <t>H3C UN-NIC-ETH640F-3S-2P(MCX4121A-ACA)</t>
  </si>
  <si>
    <t>H3C NIC-GE-4P-360T-L3</t>
  </si>
  <si>
    <t>H3C NIC-10GE-2P-560F-L2</t>
  </si>
  <si>
    <t>H3C NIC-10GE-2P-560T-L2</t>
  </si>
  <si>
    <t>H3C NIC-10GE-2P-530F</t>
  </si>
  <si>
    <t>H3C CNA-10GE-2P-560F-B2</t>
  </si>
  <si>
    <t>H3C NIC-10GE-2P-560F-LOM</t>
  </si>
  <si>
    <t>H3C CNA-560T-B2-10Gb-2P</t>
  </si>
  <si>
    <t>H3C CNA-560T-L2-10Gb-2P</t>
  </si>
  <si>
    <t>H3C NIC-GE-4P-360T-B2</t>
  </si>
  <si>
    <t>H3C NIC-GE-4P-360T-L2</t>
  </si>
  <si>
    <t>H3C NIC-GE-4P-360T-S2</t>
  </si>
  <si>
    <t>NIC-IB1040i-Mb-2P</t>
  </si>
  <si>
    <t>RAID-P5408-Mf-8i-4GB</t>
  </si>
  <si>
    <t>RAID-P5408-Ma-8i-4GB</t>
  </si>
  <si>
    <t>NIC-FC730i-Mb-2x32G</t>
  </si>
  <si>
    <t>HBA-H5408-Mf-8i</t>
  </si>
  <si>
    <t>NIC-ETH641i-Mb-2P</t>
  </si>
  <si>
    <t>H3C P4408-Ma-8i-2GB</t>
  </si>
  <si>
    <t>NIC-ETH640i-Mb-2P</t>
  </si>
  <si>
    <t>UN RAID P4408-Mr-8i-2GB</t>
  </si>
  <si>
    <t>NIC-ETH531F-LP-2P</t>
  </si>
  <si>
    <t>H3C NIC-ETH330T-LP-4P</t>
  </si>
  <si>
    <t>UN HBA H4508-Mf-8i</t>
  </si>
  <si>
    <t>UN-NIC-ETH565T-3S-2P</t>
  </si>
  <si>
    <t>NIC-ETH630F-LP-2P</t>
  </si>
  <si>
    <t>UN-RAID-MARVELL-M.2</t>
  </si>
  <si>
    <t>H3C UN-NIC-ETH360T-3S-4P</t>
  </si>
  <si>
    <t>UN-NIC-ETH561F-sL-4*10G</t>
  </si>
  <si>
    <t>UN-NIC-ETH561F-sL-2*10G</t>
  </si>
  <si>
    <t>UN-NIC-ETH561F-3S-2P</t>
  </si>
  <si>
    <t>UN-NIC-ETH660F-3S-2P</t>
  </si>
  <si>
    <t>H3C NIC-ETH641F-LP-2P</t>
  </si>
  <si>
    <t>H3C NIC-ETH330T-3S-4P</t>
  </si>
  <si>
    <t>UN RAID P4408-Mr-2</t>
  </si>
  <si>
    <t>UN RAID P460-Mr1-8i-4GB</t>
  </si>
  <si>
    <t>UN HBA H460-Mr1-8i</t>
  </si>
  <si>
    <t>NIC-ETH531F-3S-2P</t>
  </si>
  <si>
    <t>NIC-ETH1040F-LP-2P</t>
  </si>
  <si>
    <t>7.68TB PCIe*Gen4 X4 NVMe U.2 2.5in RI P5520 SSD UC Generic Module(CTO&amp;BTO)</t>
  </si>
  <si>
    <t>7.68TB PCIe*Gen4 X4 NVMe U.2 3.5in RI P5520 SSD UCC Generic Module(CTO&amp;BTO)</t>
  </si>
  <si>
    <t>7.68TB PCIe*Gen4 X4 NVMe U.2 2.5in RI P5520 SSD Generic Module(Spare Part)</t>
  </si>
  <si>
    <t>15.36TB PCIe*Gen4 X4 NVMe U.2 2.5in RI P5520 SSD UCS Generic Module(CTO&amp;BTO)</t>
  </si>
  <si>
    <t>15.36TB PCIe*Gen4 X4 NVMe U.2 3.5in RI P5520 SSD UCC Generic Module(CTO&amp;BTO)</t>
  </si>
  <si>
    <t>15.36TB PCIe*Gen4 X4 NVMe U.2 2.5in RI P5520 SSD Generic Module(Spare Part)</t>
  </si>
  <si>
    <t>1.6TB PCIe*Gen4 X4 NVMe U.2 2.5in MU P5620 SSD UC Generic Module(CTO&amp;BTO)</t>
  </si>
  <si>
    <t>1.6TB PCIe*Gen4 X4 NVMe U.2 3.5in MU P5620 SSD UCC Generic Module(CTO&amp;BTO)</t>
  </si>
  <si>
    <t>1.6TB PCIe*Gen4 X4 NVMe U.2 2.5in MU P5620 SSD Generic Module(Spare Part)</t>
  </si>
  <si>
    <t>3.2TB PCIe*Gen4 X4 NVMe U.2 2.5in MU P5620 SSD UC Generic Module(CTO&amp;BTO)</t>
  </si>
  <si>
    <t>3.2TB PCIe*Gen4 X4 NVMe U.2 3.5in MU P5620 SSD UCC Generic Module(CTO&amp;BTO)</t>
  </si>
  <si>
    <t>3.2TB PCIe*Gen4 X4 NVMe U.2 2.5in MU P5620 SSD Generic Module(Spare Part)</t>
  </si>
  <si>
    <t>1.92TB PCIe*Gen5 x4 NVMe U.2 2.5in RI PS1010 SSD UCS Generic Module(CTO&amp;BTO)</t>
  </si>
  <si>
    <t>1.92TB PCIe*Gen5 x4 NVMe U.2 3.5in RI PS1010 SSD UCC Generic Module(CTO&amp;BTO)</t>
  </si>
  <si>
    <t>1.92TB PCIe*Gen5 x4 NVMe U.2 2.5in RI PS1010 SSD Generic Module(Spare Part)</t>
  </si>
  <si>
    <t>3.84TB PCIe*Gen5 x4 NVMe U.2 2.5in RI PS1010 SSD UCS Generic Module(CTO&amp;BTO)</t>
  </si>
  <si>
    <t>3.84TB PCIe*Gen5 x4 NVMe U.2 3.5in RI PS1010 SSD UCC Generic Module(CTO&amp;BTO)</t>
  </si>
  <si>
    <t>3.84TB PCIe*Gen5 x4 NVMe U.2 2.5in RI PS1010 SSD Generic Module(Spare Part)</t>
  </si>
  <si>
    <t>7.68TB PCIe*Gen5 x4 NVMe U.2 2.5in RI PS1010 SSD UCS Generic Module(CTO&amp;BTO)</t>
  </si>
  <si>
    <t>7.68TB PCIe*Gen5 x4 NVMe U.2 3.5in RI PS1010 SSD UCC Generic Module(CTO&amp;BTO)</t>
  </si>
  <si>
    <t>7.68TB PCIe*Gen5 x4 NVMe U.2 2.5in RI PS1010 SSD Generic Module(Spare Part)</t>
  </si>
  <si>
    <t>15.36TB PCIe*Gen5 x4 NVMe U.2 2.5in RI PS1010 SSD UCS Generic Module(CTO&amp;BTO)</t>
  </si>
  <si>
    <t>15.36TB PCIe*Gen5 x4 NVMe U.2 3.5in RI PS1010 SSD UCC Generic Module(CTO&amp;BTO)</t>
  </si>
  <si>
    <t>15.36TB PCIe*Gen5 x4 NVMe U.2 2.5in RI PS1010 SSD Generic Module(Spare Part)</t>
  </si>
  <si>
    <t>6.4TB PCIe*Gen4 X4 NVMe U.2 2.5in MU P5620 SSD UC Generic Module(CTO&amp;BTO)</t>
  </si>
  <si>
    <t>6.4TB PCIe*Gen4 X4 NVMe U.2 3.5in MU P5620 SSD UCC Generic Module(CTO&amp;BTO)</t>
  </si>
  <si>
    <t>6.4TB PCIe*Gen4 X4 NVMe U.2 2.5in MU P5620 SSD Generic Module(Spare Part)</t>
  </si>
  <si>
    <t>12.8TB PCIe*Gen4 X4 NVMe U.2 2.5in MU P5620 SSD UCS Generic Module(CTO&amp;BTO)</t>
  </si>
  <si>
    <t>12.8TB PCIe*Gen4 X4 NVMe U.2 3.5in MU P5620 SSD UCC Generic Module(CTO&amp;BTO)</t>
  </si>
  <si>
    <t>12.8TB PCIe*Gen4 X4 NVMe U.2 2.5in MU P5620 SSD Generic Module(Spare Part)</t>
  </si>
  <si>
    <t>1.92TB PCIe*Gen4 X4 NVMe U.2 2.5in RI P5520 SSD UC Generic Module(CTO&amp;BTO)</t>
  </si>
  <si>
    <t>1.92TB PCIe*Gen4 X4 NVMe U.2 3.5in RI P5520 SSD UCC Generic Module(CTO&amp;BTO)</t>
  </si>
  <si>
    <t>1.92TB PCIe*Gen4 X4 NVMe U.2 2.5in RI P5520 SSD Generic Module(Spare Part)</t>
  </si>
  <si>
    <t>3.84TB PCIe*Gen4 X4 NVMe U.2 2.5in RI P5520 SSD UC Generic Module(CTO&amp;BTO)</t>
  </si>
  <si>
    <t>3.84TB PCIe*Gen4 X4 NVMe U.2 3.5in RI P5520 SSD UCC Generic Module(CTO&amp;BTO)</t>
  </si>
  <si>
    <t>3.84TB PCIe*Gen4 X4 NVMe U.2 2.5in RI P5520 SSD Generic Module(Spare Part)</t>
  </si>
  <si>
    <t>RAID-B9540-LP-2i</t>
  </si>
  <si>
    <t>1.92TB PCIe5.0 x4 NVMe U.2 2.5in RI UH712a SSD UCS Generic Module(CTO&amp;BTO)</t>
  </si>
  <si>
    <t>3.84TB PCIe5.0 x4 NVMe U.2 2.5in RI UH712a SSD UCS Generic Module(CTO&amp;BTO)</t>
  </si>
  <si>
    <t>7.68TB PCIe5.0 x4 NVMe U.2 2.5in RI UH712a SSD UCS Generic Module(CTO&amp;BTO)</t>
  </si>
  <si>
    <t>15.36TB PCIe5.0 x4 NVMe U.2 2.5in RI UH712a SSD UCS Generic Module(CTO&amp;BTO)</t>
  </si>
  <si>
    <t>3.2TB PCIe5.0 x4 NVMe U.2 2.5in MU UH832a SSD UCS Generic Module(CTO&amp;BTO)</t>
  </si>
  <si>
    <t>1.6TB PCIe5.0 x4 NVMe U.2 2.5in MU UH832a SSD UCS Generic Module(CTO&amp;BTO)</t>
  </si>
  <si>
    <t>6.4TB PCIe5.0 x4 NVMe U.2 2.5in MU UH832a SSD UCS Generic Module(CTO&amp;BTO)</t>
  </si>
  <si>
    <t>12.8TB PCIe5.0 x4 NVMe U.2 2.5in MU UH832a SSD UCS Generic Module(CTO&amp;BTO)</t>
  </si>
  <si>
    <t>NVIDIA</t>
  </si>
  <si>
    <t>MCP78S [GeForce 8200] SATA Controller</t>
  </si>
  <si>
    <t>MCP78S [GeForce 8200] (AHCI mode) SATA Controller</t>
  </si>
  <si>
    <t>MCP89 SATA Controller (AHCI mode)</t>
  </si>
  <si>
    <t>NVIDIA BlueField-3 VPI DPU; 100GbE; dual-port QSFP112; PCIe5.0 x16; (900-9D3B6-00CC-AA0)</t>
  </si>
  <si>
    <t>BlueField-3 B3220 P-Series DPU; NDR 200 IB / 200GbE; dual-port QSFP112; PCIe5.0 (900-9D3B6-00CV-AA0)</t>
  </si>
  <si>
    <t>BlueField-3 B3220 P-Series DPU; NDR 200 IB / 200GbE; dual-port QSFP112; PCIe5.0 (900-9D3B6-00SV-AA0)</t>
  </si>
  <si>
    <t>BlueField-3 B3140L E-Series SuperNIC; NDR IB / 400GbE; single-port QSFP112; PCIe5.0 (900-9D3B4-00PN-EA0)</t>
  </si>
  <si>
    <t>BlueField-3 B3140L E-Series SuperNIC; NDR IB / 400GbE; single-port QSFP112; PCIe5.0 (900-9D3B4-00EN-EA0)</t>
  </si>
  <si>
    <t>BlueField-3 B3140H E-Series SuperNIC; NDR IB / 400GbE; single-port QSFP112; PCIe5.0 (900-9D3D4-00EN-HA0)</t>
  </si>
  <si>
    <t>BlueField-3 B3220L E-Series SuperNIC; NDR 200 IB / 200GbE; dual-port QSFP112; PCIe5.0 (900-9D3B4-00SV-EA0)</t>
  </si>
  <si>
    <t>BlueField-3 B3220L E-Series SuperNIC; NDR 200 IB / 200GbE; dual-port QSFP112; PCIe5.0 (900-9D3B4-00CV-EA0)</t>
  </si>
  <si>
    <t>BlueField-3 B3140H E-Series SuperNIC; NDR IB / 400GbE; single-port QSFP112; PCIe5.0 (900-9D3D4-00NN-HA0)</t>
  </si>
  <si>
    <t>BlueField-3 B3210E E-Series DPU; HDR 100 IB / 100GbE; dual-port QSFP112; PCIe5.0 (900-9D3B6-00CC-EA0)</t>
  </si>
  <si>
    <t>BlueField-3 B3210E E-Series DPU; HDR 100 IB / 100GbE; dual-port QSFP112; PCIe5.0 (900-9D3B6-00SC-EA0)</t>
  </si>
  <si>
    <t>BlueField-3 B3210L E-Series SuperNIC; HDR 100 IB / 100GbE; dual-port QSFP112; PCIe4.0 (900-9D3B4-00SC-EA0)</t>
  </si>
  <si>
    <t>BlueField-3 B3210L E-Series SuperNIC; HDR 100 IB / 100GbE; dual-port QSFP112; PCIe4.0 (900-9D3B4-00CC-EA0)</t>
  </si>
  <si>
    <t>BlueField-3 B3140H E-Series SuperNIC; NDR IB / 400GbE; single-port QSFP112; PCIe5.0 (900-9D3D4-00NN-LA0)</t>
  </si>
  <si>
    <t>BlueField-3 B3240 P-Series DPU; 400GbE / NDR IB; dual-port QSFP112; PCIe5.0 (900-9D3B6-00CN-AB0)</t>
  </si>
  <si>
    <t>BlueField-3 B3240 P-Series DPU; 400GbE / NDR IB; dual-port QSFP112; PCIe5.0 (900-9D3B6-00SN-AB0)</t>
  </si>
  <si>
    <t>BlueField-3 B3220 P-Series DPU; NDR 200 IB / 200GbE; dual-port QSFP112; PCIe5.0 (900-9D3B6-00CV-PA0)</t>
  </si>
  <si>
    <t>Oracle 10 Gb/40 Gb Ethernet Adapter</t>
  </si>
  <si>
    <t>Oracle Flash Accelerator F640 PCIe Card 7115454</t>
  </si>
  <si>
    <t>Oracle 6.4 TB NVMe SSD 7115452 &amp; 7115453</t>
  </si>
  <si>
    <t>Oracle¬Æ 6.4 TB NVMe SSD DC P4610 Series ICRPC2DD2ORA6.4T (2.5‚Äù U.2
  PN: 7361456)</t>
  </si>
  <si>
    <t>Oracle¬Æ 6.4 TB NVMe SSD DC P4600 Series ICDPC2DD2ORA6.4T (2.5‚Äù U.2)</t>
  </si>
  <si>
    <t>Oracle¬Æ 3.84 TB NVMe SSD DC P5500 Series (2.5‚Äù U.2)</t>
  </si>
  <si>
    <t>Oracle¬Æ 6.8TB (7.68TB max) NVMe SSD DC P5500 Series (2.5‚Äù U.2)</t>
  </si>
  <si>
    <t>Oracle U.2 PM1733 3.84TB NVMe PCIe 4.0 x4 (MZWLR3T8HBLS-00AU3)</t>
  </si>
  <si>
    <t>Oracle U.2 PM1733 7.68TB NVMe PCIe 4.0 x4 (MZWLR7T6HALA-00AU3)</t>
  </si>
  <si>
    <t>Oracle U.2 PM1733 7.68TB NVMe PCIe 4.0 x4 (MZWLJ7T6HALA-00AU3)</t>
  </si>
  <si>
    <t>Oracle U.2 PM1733a 1.92TB NVMe PCIe 4.0 x4 (MZWLR1T9HCJR-00AU3)</t>
  </si>
  <si>
    <t>Oracle U.2 PM1733a 3.84TB NVMe PCIe 4.0 x4 (MZWLR3T8HCLS-00AU3)</t>
  </si>
  <si>
    <t>Oracle U.2 PM1733a 7.68TB NVMe PCIe 4.0 x4 (MZWLR7T6HBLA-00AU3)</t>
  </si>
  <si>
    <t>Oracle U.2 PM1733a 15.36TB NVMe PCIe 4.0 x4 (MZWLR15THBLA-00AU3)</t>
  </si>
  <si>
    <t>Oracle¬Æ 3.84 TB NVMe SSD DC P5520 Series (2.5 U.2)"</t>
  </si>
  <si>
    <t>Oracle¬Æ 7.68 TB NVMe SSD DC P5520 Series (2.5 U.2)"</t>
  </si>
  <si>
    <t>Oracle¬Æ 15.3TB TB NVMe SSD DC P5520 Series (2.5‚Äù U.2)</t>
  </si>
  <si>
    <t>Oracle¬Æ 15.36TB TB NVMe SSD DC P5520 Series (2.5‚Äù U.2)</t>
  </si>
  <si>
    <t>Oracle¬Æ 3.84 TB NVMe SSD DC PS1010 Series (2.5 U.2)"</t>
  </si>
  <si>
    <t>Oracle¬Æ 7.68 TB NVMe SSD DC PS1010 Series (2.5 U.2)"</t>
  </si>
  <si>
    <t>Oracle¬Æ 15.36 TB NVMe SSD DC PS1010 Series (2.5 U.2)"</t>
  </si>
  <si>
    <t>Oracle¬Æ 3.84 TB NVMe SSD DC PS1010 Series (7.5mm E3.S)</t>
  </si>
  <si>
    <t>Oracle¬Æ 7.68 TB NVMe SSD DC PS1010 Series (7.5mm E3.S)</t>
  </si>
  <si>
    <t>Oracle¬Æ 15.36 TB NVMe SSD DC PS1010 Series (7.5mm E3.S)</t>
  </si>
  <si>
    <t>Oracle U.2 PM1743 3.84TB NVMe PCIe 5.0 x4 (MZWLO3T8HCLS-00AU3)</t>
  </si>
  <si>
    <t>Oracle U.2 PM1743 7.68TB NVMe PCIe 5.0 x4 (MZWLO7T6HBLA-00AU3)</t>
  </si>
  <si>
    <t>Oracle U.2 PM1743 15.36TB NVMe PCIe 5.0 x4 (MZWLO15THBLA-00AU3)</t>
  </si>
  <si>
    <t>Oracle E3.S PM1743 3.84TB NVMe PCIe 5.0 x4 (MZ3LO3T8HCJR-00AU3)</t>
  </si>
  <si>
    <t>Oracle E3.S PM1743 7.68TB NVMe PCIe 5.0 x4 (MZ3LO7T6HBLT-00AU3)</t>
  </si>
  <si>
    <t>Oracle E3.S PM1743 15.36TB NVMe PCIe 5.0 x4 (MZ3LO15THBLA-00AU3)</t>
  </si>
  <si>
    <t>MTFDLAL15T3THA-1BK6DABRC</t>
  </si>
  <si>
    <t>Oracle¬Æ 1.92 TB NVMe SSD DC PS1010 Series (2.5 U.2)"</t>
  </si>
  <si>
    <t>Oracle America
 Inc (formerly Sun Microsystems
 Inc)</t>
  </si>
  <si>
    <t>Sun Quad Port GbE PCIe 2.0 Low Profile Adapter
  UTP</t>
  </si>
  <si>
    <t>Sun Quad Port GbE PCIe 2.0 ExpressModule
  UTP</t>
  </si>
  <si>
    <t>Sun Quad Port GbE PCIe 2.0 ExpressModule
  MMF</t>
  </si>
  <si>
    <t>Sun Quad Port GbE PCIe 2.0 Low Profile Adapter
  MMF</t>
  </si>
  <si>
    <t>Pensando Systems Inc</t>
  </si>
  <si>
    <t>Naples100/68-0003-02</t>
  </si>
  <si>
    <t>DSC1-2S25-4H8P-S</t>
  </si>
  <si>
    <t>DSC1-2S25-8H8P</t>
  </si>
  <si>
    <t>DSC1-2S25-4P8P-S</t>
  </si>
  <si>
    <t>DSC1-2S25-4H8P-H</t>
  </si>
  <si>
    <t>DSC1-2S25-4H8P-HS</t>
  </si>
  <si>
    <t>DSC1-2S25-4P8P-HS</t>
  </si>
  <si>
    <t>DSC1-2Q100-4F8P-H</t>
  </si>
  <si>
    <t>DSC1-2Q100-4F8P</t>
  </si>
  <si>
    <t>DSC1-2Q100-8F8P</t>
  </si>
  <si>
    <t>DSC-100 40/100G 2-port 8G RAM 16G eMMC G1 Services Card
  Ethernet Controller</t>
  </si>
  <si>
    <t>DSC1-2S25-4H8P</t>
  </si>
  <si>
    <t>DSC-100V 50/100G 2-port 8G RAM 64G eMMC G1 Services Card
  Ethernet Controller</t>
  </si>
  <si>
    <t>Pensando DSP DSC-100 Ent 100Gb Card
  Ethernet Controller</t>
  </si>
  <si>
    <t>DSC-25 10/25G 2-port 4G RAM 8G eMMC G1 Services Card
  Ethernet Controller</t>
  </si>
  <si>
    <t>DSC-25-OCP 10/25G 2-port 4G RAM 8G eMMC G1 Services Card
  Ethernet Controller</t>
  </si>
  <si>
    <t>Pensando DSP DSC-25 Cld-SP 10/25Gb Card
  Ethernet Controller</t>
  </si>
  <si>
    <t>Pensando DSP DSC-25 Cld-SP OCP3 Card
  Ethernet Controller</t>
  </si>
  <si>
    <t>Pensando DSP DSC-100 Cld-SP 100Gb Card
  Ethernet Controller</t>
  </si>
  <si>
    <t>DSC-25 10/25G 2-port 4G RAM 8G eMMC G1 LoLatency Services Card
  Ethernet Controller</t>
  </si>
  <si>
    <t>Pensando DSC 4014 Card
  Ethernet Controller</t>
  </si>
  <si>
    <t>Pensando DSC 4015 Card
  Ethernet Controller</t>
  </si>
  <si>
    <t>Pensando DSC 4016 Card
  Ethernet Controller</t>
  </si>
  <si>
    <t>Pensando DSC 4017 Card
  Ethernet Controller</t>
  </si>
  <si>
    <t>Pensando DSC 4018 Card
  Ethernet Controller</t>
  </si>
  <si>
    <t>DSC2-200 50/100/200G 2-port 32G RAM 64G eMMC G2 Services Card
  Ethernet Controller</t>
  </si>
  <si>
    <t>Pensando DSC 5002 Elba Card
  Ethernet Controller</t>
  </si>
  <si>
    <t>DSC-100 40/100G 2-port 8G RAM 8G eMMC G1 Services Card
  Management Controller</t>
  </si>
  <si>
    <t>DSC-100 40/100G 2-port 4G RAM 8G eMMC G1 Services Card
  Management Controller</t>
  </si>
  <si>
    <t>DSC-25 10/25G 2-port 4G RAM 8G eMMC G1 Services Card
  Management Controller</t>
  </si>
  <si>
    <t>DSC-25 10/25G 2-port 8G RAM 8G eMMC G1 Services Card
  Management Controller</t>
  </si>
  <si>
    <t>DSC-100V 40/100G 2-port 4G RAM 8G eMMC G1 Services Card
  Management Controller</t>
  </si>
  <si>
    <t>DSC-25-OCP 10/25G 2-port 4G RAM 8G eMMC G1 Services Card
  Management Controller</t>
  </si>
  <si>
    <t>DSP DSC-25 10/25G 2p SFP28 Card
  Management Controller</t>
  </si>
  <si>
    <t>DSC-100V 50/100G 2-port 8G RAM 64G eMMC G1 Services Card
  Management Controller</t>
  </si>
  <si>
    <t>Pensando DSP DSC-100 Ent 100Gb Card
  Management Controller</t>
  </si>
  <si>
    <t>Pensando DSP DSC-25 Cld-SP 10/25Gb Card
  Management Controller</t>
  </si>
  <si>
    <t>Pensando DSP DSC-25 Cld-SP OCP3 Card
  Management Controller</t>
  </si>
  <si>
    <t>Pensando DSP DSC-100 Cld-SP 100Gb Card
  Management Controller</t>
  </si>
  <si>
    <t>DSC-25 10/25G 2-port 4G RAM 8G eMMC G1 LoLatency Services Card
  Management Controller</t>
  </si>
  <si>
    <t>Pensando DSC 4014 Card
  Management Controller</t>
  </si>
  <si>
    <t>Pensando DSC 4015 Card
  Management Controller</t>
  </si>
  <si>
    <t>Pensando DSC 4016 Card
  Management Controller</t>
  </si>
  <si>
    <t>Pensando DSC 4017 Card
  Management Controller</t>
  </si>
  <si>
    <t>Pensando DSC 4018 Card
  Management Controller</t>
  </si>
  <si>
    <t>Pensando DSC 5001 Elba Card
  Management Controller</t>
  </si>
  <si>
    <t>Pensando DSC 5002 Elba Card
  Management Controller</t>
  </si>
  <si>
    <t>Pensando DSC 5003 Elba Card
  Management Controller</t>
  </si>
  <si>
    <t>DSC1-2Q100-4V8P</t>
  </si>
  <si>
    <t>DSC1-2Q100-8V64P</t>
  </si>
  <si>
    <t>DSC1-2Q100-8F16P-H</t>
  </si>
  <si>
    <t>DSC1-2S25-4P8P-DS</t>
  </si>
  <si>
    <t>DSC1-2S25-4H8P-HSC</t>
  </si>
  <si>
    <t>DSC1-2S25-4P8P-HSC</t>
  </si>
  <si>
    <t>DSC1-2Q100-8F16P-HC</t>
  </si>
  <si>
    <t>DSC1-2S25-4H8P-SL</t>
  </si>
  <si>
    <t>DSC1-2Q100-8F16P-D</t>
  </si>
  <si>
    <t>Pensando DSC 5000 Card
  Ethernet Controller</t>
  </si>
  <si>
    <t>DSC2-25 10/25G 2-port 16G RAM 64G eMMC G2 Services Card
  Ethernet Controller</t>
  </si>
  <si>
    <t>Pensando DSC-25 v2 10/25Gb 2p 16GB Card
  Ethernet Controller</t>
  </si>
  <si>
    <t>Pensando DSC-25 v2 100G 2p 32GB Spl Card
  Ethernet Controller</t>
  </si>
  <si>
    <t>DSC2-100 40/50/100G 2-port 32G RAM 64G eMMC G2 Services Card
  Ethernet Controller</t>
  </si>
  <si>
    <t>Pensando DSC25v2 10/25G 2p 32GB Spl Card
  Ethernet Controller</t>
  </si>
  <si>
    <t>DSC2-25 10/25G 2-port 32G RAM 64G eMMC G2 Services Card
  Ethernet Controller</t>
  </si>
  <si>
    <t>Pensando DSC 5000 Card
  Management Controller</t>
  </si>
  <si>
    <t>DSC2-25 10/25G 2-port 16G RAM 64G eMMC G2 Services Card
  Management Controller</t>
  </si>
  <si>
    <t>Pensando DSC-25 v2 10/25Gb 2p 16GB Card
  Management Controller</t>
  </si>
  <si>
    <t>Pensando DSC-25 v2 100G 2p 32GB Spl Card
  Management Controller</t>
  </si>
  <si>
    <t>DSC2-100 40/50/100G 2-port 32G RAM 64G eMMC G2 Services Card
  Management Controller</t>
  </si>
  <si>
    <t>Pensando DSC25v2 10/25G 2p 32GB Spl Card
  Management Controller</t>
  </si>
  <si>
    <t>DSC2-25 10/25G 2-port 32G RAM 64G eMMC G2 Services Card
  Management Controller</t>
  </si>
  <si>
    <t>DSC2-200 50/100/200G 2-port 32G RAM 64G eMMC G2 Services Card ADI
  Ethernet Controller</t>
  </si>
  <si>
    <t>DSC2-200 50/100/200G 2-port 32G RAM 64G eMMC G2 DPU Interposer
  Ethernet Controller</t>
  </si>
  <si>
    <t>DSC2-200 50/100/200G 2-port 32G RAM 64G eMMC G2 DPU R4
  Ethernet Controller</t>
  </si>
  <si>
    <t>DSC2-200 50/100/200G 2-port 32G RAM 64G eMMC G2 DPU R5
  Ethernet Controller</t>
  </si>
  <si>
    <t>DSC2A-200 50/100/200G 2-port 32G RAM 64G eMMC G2 Services Card
  Ethernet Controller</t>
  </si>
  <si>
    <t>DSC2-200 50/100/200G 2-port 32G RAM 64G eMMC G2 DPU R2</t>
  </si>
  <si>
    <t>DSC2-200 50/100/200G 2-port 32G RAM 64G eMMC G2 DPU</t>
  </si>
  <si>
    <t>DSC2-200 50/100/200G 2-port 32G RAM 64G eMMC G2 DPU R3</t>
  </si>
  <si>
    <t>DSC2-200 50/100/200G 2-port 32G RAM 64G eMMC G2 DPU R4</t>
  </si>
  <si>
    <t>DSC2-200 50/100/200G 2-port 32G RAM 64G eMMC G2 DPU R5</t>
  </si>
  <si>
    <t>DSC2A-200 50/100/200G 2-port 32G RAM 64G eMMC G2 Services Card
  Management Controller</t>
  </si>
  <si>
    <t>PHISON</t>
  </si>
  <si>
    <t>HPE Compute Edge Server 7.2TB NVMe Gen4 Mainstream Performance Mixed Use M.2 22110 XT PLP SSD</t>
  </si>
  <si>
    <t>EPM-5970 PASCARI X100P</t>
  </si>
  <si>
    <t>Seagate Nytro 5060 NVMe SSD</t>
  </si>
  <si>
    <t>PASCARI D205V</t>
  </si>
  <si>
    <t>QLogic</t>
  </si>
  <si>
    <t>2600 Series Fibre Channel to PCI Express HBA</t>
  </si>
  <si>
    <t>2600 Series 16Gb Fibre Channel</t>
  </si>
  <si>
    <t>QLE2672</t>
  </si>
  <si>
    <t>QLE2670</t>
  </si>
  <si>
    <t>QLE2694</t>
  </si>
  <si>
    <t>QLE2694L</t>
  </si>
  <si>
    <t>QLE2694U</t>
  </si>
  <si>
    <t>QLE2692</t>
  </si>
  <si>
    <t>QLE2690</t>
  </si>
  <si>
    <t>QLE2742</t>
  </si>
  <si>
    <t>QLE2740</t>
  </si>
  <si>
    <t>QLE2764</t>
  </si>
  <si>
    <t>QLogic 57712 10 Gigabit Ethernet Adapter</t>
  </si>
  <si>
    <t>2700 Series 16/32Gb Fibre Channel to PCI Express HBA</t>
  </si>
  <si>
    <t>QLE2742-CSC</t>
  </si>
  <si>
    <t>QLogic FastLinQ QL41262H 25GbE Adapter</t>
  </si>
  <si>
    <t>QLE2764 Quad Port 32Gb Fibre Channel to PCIe Adapter</t>
  </si>
  <si>
    <t>QLE2684 Quad Port 16Gb Fibre Channel to PCIe Adapter</t>
  </si>
  <si>
    <t>QMH2684 Quad Port 16Gb Fibre Channel to PCIe Adapter</t>
  </si>
  <si>
    <t>QLE2694 Quad Port 16Gb Fibre Channel to PCIe Adapter</t>
  </si>
  <si>
    <t>QLE2694L Quad Port 16Gb Fibre Channel to PCIe Adapter</t>
  </si>
  <si>
    <t>QLE2684L Quad Port 16Gb Fibre Channel to PCIe Adapter</t>
  </si>
  <si>
    <t>QLogic FastLinQ QL41xxx 10/25/40/50 GbE Ethernet Adapter</t>
  </si>
  <si>
    <t>QLE2690 Single Port 16Gb Fibre Channel to PCIe Adapter</t>
  </si>
  <si>
    <t>QLE2692 Dual Port 16Gb Fibre Channel to PCIe Adapter</t>
  </si>
  <si>
    <t>QLE2740 Single Port 32Gb Fibre Channel to PCIe Adapter</t>
  </si>
  <si>
    <t>QLE2742 Dual Port 32Gb Fibre Channel to PCIe Adapter</t>
  </si>
  <si>
    <t>QML2692 Dual Port 16Gb Fibre Channel to PCIe Adapter</t>
  </si>
  <si>
    <t>QMP2692 Dual Port 16Gb Fibre Channel to PCIe Adapter</t>
  </si>
  <si>
    <t>QME2692 Dual Port 16Gb Fibre Channel to PCIe Adapter</t>
  </si>
  <si>
    <t>QME2742 Dual Port 32Gb Fibre Channel to PCIe Adapter</t>
  </si>
  <si>
    <t>SN1600Q Single Port 32Gb Fibre Channel to PCIe Adapter</t>
  </si>
  <si>
    <t>SN1600Q Dual Port 32Gb Fibre Channel to PCIe Adapter</t>
  </si>
  <si>
    <t>2700 Series 16/32Gb Fibre Channel to PCIe Adapter</t>
  </si>
  <si>
    <t>2800 Series 32G / 64G Fibre Channel to PCIe Adapter</t>
  </si>
  <si>
    <t>QLE2770 Single Port 32GFC PCIe Gen4 x8 Adapter</t>
  </si>
  <si>
    <t>QLE2772 Dual Port 32GFC PCIe Gen4 x8 Adapter</t>
  </si>
  <si>
    <t>QLE2774 Quad Port 32GFC PCIe Gen4 x16 Adapter</t>
  </si>
  <si>
    <t>QLE2690M Single Port 16Gb Fibre Channel to PCIe Adapter</t>
  </si>
  <si>
    <t>QLE2692M Dual Port 16Gb Fibre Channel to PCIe Adapter</t>
  </si>
  <si>
    <t>QLE2740M Single Port 32Gb Fibre Channel to PCIe Adapter</t>
  </si>
  <si>
    <t>QLE2742M Dual Port 32Gb Fibre Channel to PCIe Adapter</t>
  </si>
  <si>
    <t>SN1610Q - 1P Enhanced 32GFC Single Port Fibre Channel Host Bus Adapter</t>
  </si>
  <si>
    <t>SN1610Q - 2P Enhanced 32GFC Dual Port Fibre Channel Host Bus Adapter</t>
  </si>
  <si>
    <t>QLE2872 Dual Port 64GFC PCIe Gen4 x8 Adapter</t>
  </si>
  <si>
    <t>QLE2870 Single Port 64GFC PCIe Gen4 x8 Adapter</t>
  </si>
  <si>
    <t>QLE2874 Quad Port 64GFC PCIe Gen4 x16 Adapter</t>
  </si>
  <si>
    <t>Quanta Computer Inc.</t>
  </si>
  <si>
    <t>Quanta 3008</t>
  </si>
  <si>
    <t>Quanta SAS 3108 mezz PD-32 for RAID 5</t>
  </si>
  <si>
    <t>Quanta SAS 3108 mezz PD-32 for Raid 6</t>
  </si>
  <si>
    <t>Quanta SAS 3108 mezz PD-240 for RAID 6</t>
  </si>
  <si>
    <t>QS-3216</t>
  </si>
  <si>
    <t>ON 25GbE ConnectX-4 LX EN Dual port</t>
  </si>
  <si>
    <t>Quanta 3008A</t>
  </si>
  <si>
    <t>Quanta SAS 3108 mezz PD-32 /w JBOD Mode</t>
  </si>
  <si>
    <t>Quanta QS-8204-8i</t>
  </si>
  <si>
    <t>Quanta QS-8238-16i</t>
  </si>
  <si>
    <t>Quanta QS-8236-16i</t>
  </si>
  <si>
    <t>Quanta QS-8240-24i</t>
  </si>
  <si>
    <t>Quanta QS-8242-24i</t>
  </si>
  <si>
    <t>QS-3516B-R6-PD32</t>
  </si>
  <si>
    <t>QS-3516B-R6-PD32 /w JBOD Mode</t>
  </si>
  <si>
    <t>Quanta QS-8204-8i Controller</t>
  </si>
  <si>
    <t>ON 10GbE X550</t>
  </si>
  <si>
    <t>Quanta SAS 3108</t>
  </si>
  <si>
    <t>ON 10GbE X557-T2</t>
  </si>
  <si>
    <t>ON 25GbE CX4 LX EN Dual port</t>
  </si>
  <si>
    <t>Quanta 3816B</t>
  </si>
  <si>
    <t>Quanta 3916B</t>
  </si>
  <si>
    <t>Quanta 3816A</t>
  </si>
  <si>
    <t>ON 1GbE I350</t>
  </si>
  <si>
    <t>SAMSUNG ELECTRONICS CO.,LTD</t>
  </si>
  <si>
    <t>Samsung XS1715 PCIe SSD Controller</t>
  </si>
  <si>
    <t>Samsung NVMe XS1715 800GB MZWEI800HAGM</t>
  </si>
  <si>
    <t>Samsung NVMe XS1715 400GB MZWEI400HMGP</t>
  </si>
  <si>
    <t>Samsung NVMe XS1715 1.6TB MZWEI1T6HAGP</t>
  </si>
  <si>
    <t>Samsung NVMe SSD SM1715 Series MZWKI3T2HMJM (3.2TB
  2.5-inch)</t>
  </si>
  <si>
    <t>Samsung NVMe SSD SM1715 Series MZWKI3T2HMJM (3.2TB
  HHHL)</t>
  </si>
  <si>
    <t>Samsung NVMe SSD SM1715 Series MZWKI800HMHP (800GB
  2.5-inch)</t>
  </si>
  <si>
    <t>Samsung NVMe SSD SM1715 Series MZWKI1T6HMHP (1.6TB
  2.5-inch)</t>
  </si>
  <si>
    <t>Samsung NVMe SSD SM1715 Series MZWKI1T6HMHP (1.6TB
  HHHL)</t>
  </si>
  <si>
    <t>Samsung NVMe SSD PM1725 Series MZWLK3T2HCJL-00003(3.2TB
  2.5-inch)</t>
  </si>
  <si>
    <t>Samsung NVMe SSD PM1725 Series MZWLK1T9HCHP-00003(1.92TB
  2.5-inch)</t>
  </si>
  <si>
    <t>Samsung NVMe SSD PM1725 Series MZWLK1T6HCHP-00003(1.6TB
  2.5-inch)</t>
  </si>
  <si>
    <t>Samsung NVMe SSD PM1725 Series MZWLK800HCHP-00003(800GB
  2.5-inch)</t>
  </si>
  <si>
    <t>Samsung NVMe SSD PM1725 Series MZPLK3T2HCJL-00003(3.2TB
  HHHL)</t>
  </si>
  <si>
    <t>Samsung NVMe SSD PM1725 Series MZPLK6T4HCJL-00003(6.4TB
  HHHL)</t>
  </si>
  <si>
    <t>Samsung NVMe SSD PM1725 Series MZPLK1T6HCHP-00003(1.6TB
  HHHL)</t>
  </si>
  <si>
    <t>Samsung 1725 PCIe SSD Controller</t>
  </si>
  <si>
    <t>Dell Express Flash NVMe PM1725 3.2TB PCIe SSD Controller</t>
  </si>
  <si>
    <t>Dell Express Flash NVMe PM1725 3.2TB PCIe HHHL SSD Controller</t>
  </si>
  <si>
    <t>Dell Express Flash NVMe PM1725 6.4TB PCIe HHHL SSD Controller</t>
  </si>
  <si>
    <t>Samsung NVMe SM1725 800GB PCIe SSD Controller</t>
  </si>
  <si>
    <t>Samsung NVMe SM1725 1.6TB PCIe SSD Controller</t>
  </si>
  <si>
    <t>Samsung NVMe SM1725 3.2TB PCIe SSD Controller</t>
  </si>
  <si>
    <t>Samsung NVMe SM1725 6.4TB PCIe SSD Controller</t>
  </si>
  <si>
    <t>Samsung NVMe SM1725 3.2TB PCIe HHHL SSD Controller</t>
  </si>
  <si>
    <t>Samsung NVMe SM1725 6.4TB PCIe HHHL SSD Controller</t>
  </si>
  <si>
    <t>Samsung NVMe SM1725 12.8TB PCIe HHHL SSD Controller</t>
  </si>
  <si>
    <t>Samsung NVMe SSD PM1725a Series MZWLL800HEHP-00003 (800GB 2.5-inch)</t>
  </si>
  <si>
    <t>Samsung NVMe SSD PM1725a Series MZWLL1T6HEHP-00003 (1.6TB 2.5-inch)</t>
  </si>
  <si>
    <t>Samsung NVMe SSD PM1725a Series MZWLL3T2HMJP-00003 (3.2TB 2.5-inch)</t>
  </si>
  <si>
    <t>Samsung NVMe SSD PM1725a Series MZWLL6T4HMLS-00003 (6.4TB 2.5-inch)</t>
  </si>
  <si>
    <t>Samsung NVMe SSD PM1725a Series MZPLL1T6HEHP-00003 (1.6TB HHHL)</t>
  </si>
  <si>
    <t>Samsung NVMe SSD PM1725a Series MZPLL3T2HMLS-00003 (3.2TB HHHL)</t>
  </si>
  <si>
    <t>Samsung NVMe SSD PM1725a Series MZPLL6T4HMLS-00003 (6.4TB HHHL)</t>
  </si>
  <si>
    <t>Samsung NVMe SSD PM1725a Series MZPLL800HMHQ-00003 (800GB
  HHHL)</t>
  </si>
  <si>
    <t>PM1725 SSD 3.2TB 2.5‚Äù</t>
  </si>
  <si>
    <t>PM1725 SSD 3.2TB AIC</t>
  </si>
  <si>
    <t>Samsung NVMe SSD PM983 Series (960GB
  M.2)</t>
  </si>
  <si>
    <t>Samsung NVMe SSD PM983 Series (1.92TB
  M.2)</t>
  </si>
  <si>
    <t>Samsung NVMe SSD PM983 Series (3.84TB
  M.2)</t>
  </si>
  <si>
    <t>Samsung NVMe SSD PM983 Series MZQLB960HAJR-00007(960GB
  2.5-inch)</t>
  </si>
  <si>
    <t>Samsung NVMe SSD PM983 Series MZQLB1T9HAJR-00007 (1.92TB
  2.5-inch)</t>
  </si>
  <si>
    <t>Samsung NVMe SSD PM983 Series MZQLB3T8HALS-00007 (3.84TB
  2.5-inch)</t>
  </si>
  <si>
    <t>Samsung NVMe SSD PM983 Series MZQLB7T6HMLA-00007 (7.68TB
  2.5-inch)</t>
  </si>
  <si>
    <t>Samsung NVMe SSD PM1725b Series MZPLL1T6HAJQ-00005 (1.6TB
  HHHL)</t>
  </si>
  <si>
    <t>Samsung NVMe SSD PM1725b Series MZPLL3T2HAJQ-00005 (3.2TB
  HHHL)</t>
  </si>
  <si>
    <t>Samsung NVMe SSD PM1725b Series MZPLL6T4HMLA-00005 (6.4TB
  HHHL)</t>
  </si>
  <si>
    <t>Samsung NVMe SSD PM1725b Series MZPLL12THMLA-00005 (12.8TB
  HHHL)</t>
  </si>
  <si>
    <t>Samsung NVMe SSD PM1725b Series MZWLL1T6HAJQ-00005 (1.6TB
  2.5inch)</t>
  </si>
  <si>
    <t>Samsung NVMe SSD PM1725b Series MZWLL3T2HAJQ-00005 (3.2TB
  2.5inch)</t>
  </si>
  <si>
    <t>Samsung NVMe SSD PM1725b Series MZWLL6T4HMLA-00005 (6.4TB
  2.5inch)</t>
  </si>
  <si>
    <t>Samsung NVMe SSD PM1725b Series MZWLL12THMLA-00005 (12.8TB
  2.5inch)</t>
  </si>
  <si>
    <t>Samsung NVMe SSD PM983 Series MZQLB960HAJR-00003 (960GB
  2.5-inch)</t>
  </si>
  <si>
    <t>Samsung NVMe SSD PM983 Series MZQLB1T9HAJR-00003 (1.92TB
  2.5-inch)</t>
  </si>
  <si>
    <t>Samsung NVMe SSD PM983 Series MZQLB3T8HALS-00003 (3.84TB
  2.5-inch)</t>
  </si>
  <si>
    <t>Samsung NVMe SSD PM983 Series MZQLB7T6HMLA-00003 (7.68TB
  2.5-inch)</t>
  </si>
  <si>
    <t>HPE 1.92TB NVMe x4 RI SFF SCN U.3 DS SSD</t>
  </si>
  <si>
    <t>HPE 1.6TB NVMe x8 MU HH DS Card</t>
  </si>
  <si>
    <t>HPE 960GB NVMe x4 RI SFF SCN U.3 SSD</t>
  </si>
  <si>
    <t>Samsung NVMe SSD PM1733 Series MZWLJ3T8HBLS-00007 (3.84TB
  2.5-inch)</t>
  </si>
  <si>
    <t>Samsung NVMe SSD PM1733 Series MZWLJ7T6HALA-00007 (7.68TB
  2.5-inch)</t>
  </si>
  <si>
    <t>Samsung NVMe SSD PM1733 Series MZWLJ15THALA-00007 (15.36TB
  2.5-inch)</t>
  </si>
  <si>
    <t>Samsung NVMe SSD PM1735 Series MZPLJ1T6HBJR-00007 (1.6TB
  HHHL)</t>
  </si>
  <si>
    <t>Samsung NVMe SSD PM1735 Series MZPLJ3T2HBJR-00007 (3.2TB
  HHHL)</t>
  </si>
  <si>
    <t>Samsung NVMe SSD PM1735 Series MZPLJ6T4HALA-00007 (6.4TB
  HHHL)</t>
  </si>
  <si>
    <t>Samsung NVMe SSD PM1735 Series MZPLJ12THALA-00007 (12.8TB
  HHHL)</t>
  </si>
  <si>
    <t>HPE 1.6TB PCIe x8 MU HH DS Card</t>
  </si>
  <si>
    <t>Samsung NVMe SSD PM1733 Series MZWLJ1T9HBJR-0007C (1.92TB
  2.5-inch)</t>
  </si>
  <si>
    <t>Samsung NVMe SSD PM1733 Series MZWLJ3T8HBLS-0007C (3.84TB
  2.5-inch)</t>
  </si>
  <si>
    <t>Samsung NVMe SSD PM1733 Series MZWLJ7T6HALA-0007C (7.68TB
  2.5-inch)</t>
  </si>
  <si>
    <t>Samsung NVMe SSD PM1733 Series MZWLJ15THALA-0007C (15.36TB
  2.5-inch)</t>
  </si>
  <si>
    <t>Samsung NVMe SSD PM9A3 Series MZQL2960HCJR-00A07 (960GB
  2.5-inch)</t>
  </si>
  <si>
    <t>Samsung NVMe SSD PM9A3 Series MZQL21T9HCJR-00A07 (1.92TB
  2.5-inch)</t>
  </si>
  <si>
    <t>Samsung NVMe SSD PM9A3 Series MZQL23T8HCLS-00A07 (3.84TB
  2.5-inch)</t>
  </si>
  <si>
    <t>Samsung NVMe SSD PM9A3 Series MZQL27T6HBLA-00A07 (7.68TB
  2.5-inch)</t>
  </si>
  <si>
    <t>Samsung NVMe SSD PM9A3 Series MZQL2960HCJR-00B7C (960GB
  2.5-inch)</t>
  </si>
  <si>
    <t>Samsung NVMe SSD PM9A3 Series MZQL21T9HCJR-00B7C (1.92TB
  2.5-inch)</t>
  </si>
  <si>
    <t>Samsung NVMe SSD PM9A3 Series MZQL23T8HCLS-00B7C (3.84TB
  2.5-inch)</t>
  </si>
  <si>
    <t>Samsung NVMe SSD PM9A3 Series MZQL27T6HBLA-00B7C (7.68TB
  2.5-inch)</t>
  </si>
  <si>
    <t>Samsung NVMe SSD PM9A3 Series MZ1L2960HCJR-00A07 (960GB
  M.2)</t>
  </si>
  <si>
    <t>Samsung NVMe SSD PM9A3 Series MZ1L21T9HCLS-00A07 (1.92TB
  M.2)</t>
  </si>
  <si>
    <t>Samsung NVMe SSD PM9A3 Series MZ1L23T8HBLA-00A07 (3.84TB
  M.2)</t>
  </si>
  <si>
    <t>Samsung NVMe SSD PM1733a Series MZWLR1T9HCJR-00A07 (1.92TB
  2.5-inch)</t>
  </si>
  <si>
    <t>Samsung NVMe SSD PM1733a Series MZWLR3T8HCLS-00A07 (3.84TB
  2.5-inch)</t>
  </si>
  <si>
    <t>Samsung NVMe SSD PM1733a Series MZWLR7T6HBLA-00A07 (7.68TB
  2.5-inch)</t>
  </si>
  <si>
    <t>Samsung NVMe SSD PM1733a Series MZWLR15THBLA-00A07 (15.36TB
  2.5-inch)</t>
  </si>
  <si>
    <t>Samsung NVMe SSD PM1733a Series MZWLR30THBLA-00A07 (30.72TB
  2.5-inch)</t>
  </si>
  <si>
    <t>Samsung NVMe SSD PM1743 Series MZ3LO1T9HCJR-00A07(1.92TB
  E3.S)</t>
  </si>
  <si>
    <t>Samsung NVMe SSD PM1743 Series MZ3LO3T8HCJR-00A07(3.84TB
  E3.S)</t>
  </si>
  <si>
    <t>Samsung NVMe SSD PM1743 Series MZ3LO7T6HBLT-00A07(7.68TB
  E3.S)</t>
  </si>
  <si>
    <t>Samsung NVMe SSD PM1743 Series MZ3LO15THBLA-00A07(15.36TB
 E3.S)</t>
  </si>
  <si>
    <t>Samsung NVMe SSD PM1743 Series MZWLO1T9HCJR-00A07(1.92TB
  2.5-inch)</t>
  </si>
  <si>
    <t>Samsung NVMe SSD PM1743 Series MZWLO3T8HCLS-00A07(3.84TB
  2.5-inch)</t>
  </si>
  <si>
    <t>Samsung NVMe SSD PM1743 Series MZWLO7T6HBLA-00A07(7.68TB
  2.5-inch)</t>
  </si>
  <si>
    <t>Samsung NVMe SSD PM1743 Series MZWLO15THBLA-00A07(15.36TB
  2.5-inch)</t>
  </si>
  <si>
    <t>Samsung NVMe SSD PM1743 Series MZWLO1T9HCJR-00B07(1.92TB
  2.5-inch)</t>
  </si>
  <si>
    <t>Samsung NVMe SSD PM1743 Series MZWLO3T8HCLS-00B07(3.84TB
  2.5-inch)</t>
  </si>
  <si>
    <t>Samsung NVMe SSD PM1743 Series MZWLO7T6HBLA-00B07(7.68TB
  2.5-inch)</t>
  </si>
  <si>
    <t>Samsung NVMe SSD PM1743 Series MZWLO15THBLA-00B07(15.36TB
  2.5-inch)</t>
  </si>
  <si>
    <t>Samsung NVMe SSD¬†PM1743¬†Series MZ3LO1T9HCJR-00B07(1.92TB
  E3.S)</t>
  </si>
  <si>
    <t>Samsung NVMe SSD¬†PM1743¬†Series MZ3LO3T8HCJR-00B07(3.84TB
  E3.S)</t>
  </si>
  <si>
    <t>Samsung NVMe SSD¬†PM1743¬†Series MZ3LO7T6HBLT-00B07(7.68TB
  E3.S)</t>
  </si>
  <si>
    <t>Samsung NVMe SSD¬†PM1743¬†Series MZ3LO15THBLA-00B07(15.36TB
 E3.S)</t>
  </si>
  <si>
    <t>Samsung NVMe SSD PM9A3 Series MZQL215THBLA-00A07 (15.36TB
  2.5-inch)</t>
  </si>
  <si>
    <t>Samsung NVMe SSD PM9A3 series MZ1L2960HCJR-00AMV (960GB
  M.2)</t>
  </si>
  <si>
    <t>Samsung NVMe SSD PM9A3 series MZ1L21T9HCLS-00AMV (1920GB
  M.2)</t>
  </si>
  <si>
    <t>Samsung NVMe SSD PM9A3 series MZ1L23T8HBLA-00AMV (3840GB
  M.2)</t>
  </si>
  <si>
    <t>Samsung PM9A5 MZQL21T6HCJR-00A07 1.6TB U.2</t>
  </si>
  <si>
    <t>Samsung PM9A5 MZQL23T2HCLS-00A07 3.2TB U.2</t>
  </si>
  <si>
    <t>Samsung PM9A5 MZQL26T4HBLA-00A07 6.4TB U.2</t>
  </si>
  <si>
    <t>Samsung NVMe SSD¬†PM1745¬†Series MZ3LO1T6HCJR-00A07(1.6TB
  E3.S)</t>
  </si>
  <si>
    <t>Samsung NVMe SSD¬†PM1745¬†Series MZ3LO3T2HCJR-00A07(3.2TB
  E3.S)</t>
  </si>
  <si>
    <t>Samsung NVMe SSD¬†PM1745¬†Series MZ3LO6T4HBLT-00A07(6.4TB
  E3.S)</t>
  </si>
  <si>
    <t>Samsung NVMe SSD¬†PM1745¬†Series MZ3LO12THBLA-00A07(12.8TB
 E3.S)</t>
  </si>
  <si>
    <t>Samsung NVMe SSD¬†PM1745¬†Series MZWLO1T6HCJR-00A07(1.6TB
  2.5-inch)</t>
  </si>
  <si>
    <t>Samsung NVMe SSD¬†PM1745¬†Series MZWLO3T2HCLS-00A07(3.2TB
  2.5-inch)</t>
  </si>
  <si>
    <t>Samsung NVMe SSD¬†PM1745¬†Series MZWLO6T4HBLA-00A07(6.4TB
  2.5-inch)</t>
  </si>
  <si>
    <t>Samsung NVMe SSD¬†PM1745¬†Series MZWLO12THBLA-00A07(12.8TB
  2.5-inch)</t>
  </si>
  <si>
    <t>Samsung NVMe SSD PM9D3a Series MZWL6960HFJA-00AW7/BW7(960GB
  2.5-inch)</t>
  </si>
  <si>
    <t>Samsung NVMe SSD PM9D3a Series MZWL61T9HFLT-00AW7/BW7(1.92TB
  2.5-inch)</t>
  </si>
  <si>
    <t>Samsung NVMe SSD PM9D3a Series MZWL63T8HFLT-00AW7/BW7(3.84TB
  2.5-inch)</t>
  </si>
  <si>
    <t>Samsung NVMe SSD PM9D3a Series MZWL67T6HBLC-00AW7/BW7(7.68TB
  2.5-inch)</t>
  </si>
  <si>
    <t>Samsung NVMe SSD PM9D3a Series MZWL615THBLF-00AW7/BW7(15.36TB
  2.5-inch)</t>
  </si>
  <si>
    <t>Samsung NVMe SSD PM9D3a Series MZWL630THBLF-00AW7/BW7(30TB
  2.5-inch)</t>
  </si>
  <si>
    <t>Samsung NVMe SSD PM9D5a Series MZWL6800HFJA-00AW7(800GB
  2.5-inch)</t>
  </si>
  <si>
    <t>Samsung NVMe SSD PM9D5a Series MZWL61T6HFLT-00AW7(1.6TB
  2.5-inch)</t>
  </si>
  <si>
    <t>Samsung NVMe SSD PM9D5a Series MZWL63T2HFLT-00AW7(3.2TB
  2.5-inch)</t>
  </si>
  <si>
    <t>Samsung NVMe SSD PM9D5a Series MZWL66T4HBLC-00AW7(6.4TB
  2.5-inch)</t>
  </si>
  <si>
    <t>Samsung NVMe SSD PM9D5a Series MZWL612THBLF-00AW7(12.8TB
  2.5-inch)</t>
  </si>
  <si>
    <t>Samsung NVMe SSD PM9D5a Series MZWL625THBLF-00AW7(25.6TB
  2.5-inch)</t>
  </si>
  <si>
    <t>Samsung NVMe SSD PM9D3a Series MZWL6960HFJA-00B07(960GB
  2.5-inch)</t>
  </si>
  <si>
    <t>Samsung NVMe SSD PM9D3a Series MZWL61T9HFLT-00B07(1.92TB
  2.5-inch)</t>
  </si>
  <si>
    <t>Samsung NVMe SSD PM9D3a Series MZWL63T8HFLT-00B07(3.84TB
  2.5-inch)</t>
  </si>
  <si>
    <t>Samsung NVMe SSD PM9D3a Series MZWL67T6HBLC-00B07(7.68TB
  2.5-inch)</t>
  </si>
  <si>
    <t>Samsung NVMe SSD PM9D3a Series MZWL615THBLF-00B07(15.36TB
  2.5-inch)</t>
  </si>
  <si>
    <t>Samsung NVMe SSD PM9D3a Series¬†MZ3L61T9HFLT-00AW7 (1.92TB
  E3.S 1T)</t>
  </si>
  <si>
    <t>Samsung NVMe SSD PM9D3a Series¬†MZ3L63T8HFLT-00AW7 (3.84TB
  E3.S 1T)</t>
  </si>
  <si>
    <t>Samsung NVMe SSD PM9D3a Series¬†MZ3L67T6HBLC-00AW7 (7.68TB
  E3.S 1T)</t>
  </si>
  <si>
    <t>Samsung NVMe SSD PM9D3a Series¬†MZ3L615THBLF-00AW7 (15.36TB
  E3.S 1T)</t>
  </si>
  <si>
    <t>SanDisk Technologies
 Inc</t>
  </si>
  <si>
    <t>WUS3BA196C7P3E3</t>
  </si>
  <si>
    <t>WUS3BA119C7P3E3</t>
  </si>
  <si>
    <t>WUS3BA138C7P3E3</t>
  </si>
  <si>
    <t>WUS3BA176C7P3E3</t>
  </si>
  <si>
    <t>WUS3CA132C7P3E3</t>
  </si>
  <si>
    <t>WUS3CA164C7P3E3</t>
  </si>
  <si>
    <t>WUS4BB096D7P3E3</t>
  </si>
  <si>
    <t>WUS4BB019D7P3E3</t>
  </si>
  <si>
    <t>Ultrastar DC SN640 3840GB WUS4BB038D7P3E3</t>
  </si>
  <si>
    <t>Ultrastar DC SN640 7680GB WUS4BB076D7P3E3</t>
  </si>
  <si>
    <t>WUS4CB080D7P3E3</t>
  </si>
  <si>
    <t>WUS4CB016D7P3E3</t>
  </si>
  <si>
    <t>WUS4CB032D7P3E3</t>
  </si>
  <si>
    <t>WUS4CB064D7P3E3</t>
  </si>
  <si>
    <t>WUS4BB096D7P3E1</t>
  </si>
  <si>
    <t>WUS4BB019D7P3E1</t>
  </si>
  <si>
    <t>WUS4BB038D7P3E1</t>
  </si>
  <si>
    <t>WUS4BB076D7P3E1</t>
  </si>
  <si>
    <t>Ultrastar DC SN840 1920GB WUS4BA119DSP3X1</t>
  </si>
  <si>
    <t>Ultrastar DC SN840 1600GB WUS4C6416DSP3X1</t>
  </si>
  <si>
    <t>Ultrastar DC SN840 3200GB WUS4C6432DSP3X1</t>
  </si>
  <si>
    <t>Ultrastar DC SN840 3840GB WUS4BA138DSP3X1</t>
  </si>
  <si>
    <t>Ultrastar DC SN840 6400GB WUS4C6464DSP3X1</t>
  </si>
  <si>
    <t>Ultrastar DC SN840 7680GB WUS4BA176DSP3X1</t>
  </si>
  <si>
    <t>Ultrastar DC SN840 15360GB WUS4BA1A1DSP3X1</t>
  </si>
  <si>
    <t>Ultrastar DC SN840 1600GB WUS4C6416DSP3X3</t>
  </si>
  <si>
    <t>Ultrastar DC SN840 1920GB WUS4BA119DSP3X3</t>
  </si>
  <si>
    <t>Ultrastar DC SN840 3200GB WUS4C6432DSP3X3</t>
  </si>
  <si>
    <t>Ultrastar DC SN840 3840GB WUS4BA138DSP3X3</t>
  </si>
  <si>
    <t>Ultrastar DC SN840 6400GB WUS4C6464DSP3X3</t>
  </si>
  <si>
    <t>Ultrastar DC SN840 7680GB WUS4BA176DSP3X3</t>
  </si>
  <si>
    <t>Ultrastar DC SN840 15360GB WUS4BA1A1DSP3X3</t>
  </si>
  <si>
    <t>Ultrastar DC SN840 1600GB WUS4C6416DSP3X4</t>
  </si>
  <si>
    <t>Ultrastar DC SN840 1920GB WUS4BA119DSP3X4</t>
  </si>
  <si>
    <t>Ultrastar DC SN840 3200GB WUS4C6432DSP3X4</t>
  </si>
  <si>
    <t>Ultrastar DC SN840 3840GB WUS4BA138DSP3X4</t>
  </si>
  <si>
    <t>Ultrastar DC SN840 7680GB WUS4BA176DSP3X4</t>
  </si>
  <si>
    <t>Ultrastar DC SN840 6400GB WUS4C6464DSP3X4</t>
  </si>
  <si>
    <t>Ultrastar DC SN840 15360GB WUS4BA1A1DSP3X4</t>
  </si>
  <si>
    <t>Ultrastar DC SN840 1600GB WUS4C6416DSP3X5</t>
  </si>
  <si>
    <t>Ultrastar DC SN840 1920GB WUS4BA119DSP3X5</t>
  </si>
  <si>
    <t>Ultrastar DC SN840 3200GB WUS4C6432DSP3X5</t>
  </si>
  <si>
    <t>Ultrastar DC SN840 3840GB WUS4BA138DSP3X5</t>
  </si>
  <si>
    <t>Ultrastar DC SN840 6400GB WUS4C6464DSP3X5</t>
  </si>
  <si>
    <t>Ultrastar DC SN840 7680GB WUS4BA176DSP3X5</t>
  </si>
  <si>
    <t>Ultrastar DC SN840 15360GB WUS4BA1A1DSP3X5</t>
  </si>
  <si>
    <t>WUS4CB080D7P3E4</t>
  </si>
  <si>
    <t>WUS4BB096D7P3E4</t>
  </si>
  <si>
    <t>WUS4CB016D7P3E4</t>
  </si>
  <si>
    <t>WUS4BB019D7P3E4</t>
  </si>
  <si>
    <t>WUS4CB032D7P3E4</t>
  </si>
  <si>
    <t>WUS4BB038D7P3E4</t>
  </si>
  <si>
    <t>WUS4CB064D7P3E4</t>
  </si>
  <si>
    <t>WUS4BB076D7P3E4</t>
  </si>
  <si>
    <t>Ultrastar DC SN650 15360GB WUS5EA1A1ESP5E3</t>
  </si>
  <si>
    <t>Ultrastar DC SN650 7.68TB WUS5EA176ESP5E1</t>
  </si>
  <si>
    <t>Ultrastar DC SN655 15.36TB WUS5EA1A1ESP7E4</t>
  </si>
  <si>
    <t>Ultrastar DC SN650 7.68TB WUS5EA176ESP5E3</t>
  </si>
  <si>
    <t>Ultrastar DC SN650 15360GB WUS5EA1A1ESP5E1</t>
  </si>
  <si>
    <t>Ultrastar DC SN655 3.84TB WUS5EA138ESP7E1</t>
  </si>
  <si>
    <t>Ultrastar DC SN655 7.68TB WUS5EA176ESP7E1</t>
  </si>
  <si>
    <t>Ultrastar DC SN655 15.36TB WUS5EA1A1ESP7E1</t>
  </si>
  <si>
    <t>Ultrastar DC SN655 3.84TB WUS5EA138ESP7E3</t>
  </si>
  <si>
    <t>Ultrastar DC SN655 7.68TB WUS5EA176ESP7E3</t>
  </si>
  <si>
    <t>Ultrastar DC SN655 15.36TB WUS5EA1A1ESP7E3</t>
  </si>
  <si>
    <t>Ultrastar DC SN655 3.84TB WUS5EA138ESP7E4</t>
  </si>
  <si>
    <t>Ultrastar DC SN655 7.68TB WUS5EA176ESP7E4</t>
  </si>
  <si>
    <t>SanDisk DC SN861 U.2 15.36TB SDS6BA1A1OSP9X7</t>
  </si>
  <si>
    <t>SanDisk DC SN861 E1.S 15.36TB SDS6BA1A1OKP8X7</t>
  </si>
  <si>
    <t>SanDisk DC SN861 E3.S 15.36TB SDS6BA1A1OBPAX7</t>
  </si>
  <si>
    <t>SanDisk DC SN861 U.2 1.92TB SDS6BA119PSP9X1</t>
  </si>
  <si>
    <t>SanDisk DC SN861 U.2 3.84TB SDS6BA138PSP9X1</t>
  </si>
  <si>
    <t>SanDisk DC SN861 U.2 7.68TB SDS6BA176PSP9X1</t>
  </si>
  <si>
    <t>SanDisk DC SN861 U.2 1.60TB SDS6CA216PSP9X1</t>
  </si>
  <si>
    <t>SanDisk DC SN861 U.2 3.20TB SDS6CA232PSP9X1</t>
  </si>
  <si>
    <t>SanDisk DC SN861 U.2 6.40TB SDS6CA264PSP9X1</t>
  </si>
  <si>
    <t>SanDisk DC SN861 U.2 1.92TB SDS6BA119PSP9X3</t>
  </si>
  <si>
    <t>SanDisk DC SN861 U.2 3.84TB SDS6BA138PSP9X3</t>
  </si>
  <si>
    <t>SanDisk DC SN861 U.2 7.68TB SDS6BA176PSP9X3</t>
  </si>
  <si>
    <t>SanDisk DC SN861 U.2 1.60TB SDS6CA216PSP9X3</t>
  </si>
  <si>
    <t>SanDisk DC SN861 U.2 3.20TB SDS6CA232PSP9X3</t>
  </si>
  <si>
    <t>SanDisk DC SN861 U.2 6.40TB SDS6CA264PSP9X3</t>
  </si>
  <si>
    <t>SanDisk DC SN861 U.2 1.92TB SDS6BA119PSP9X7</t>
  </si>
  <si>
    <t>SanDisk DC SN861 U.2 3.84TB SDS6BA138PSP9X7</t>
  </si>
  <si>
    <t>SanDisk DC SN861 U.2 7.68TB SDS6BA176PSP9X7</t>
  </si>
  <si>
    <t>SanDisk DC SN861 U.2 1.60TB SDS6CA216PSP9X7</t>
  </si>
  <si>
    <t>SanDisk DC SN861 U.2 3.20TB SDS6CA232PSP9X7</t>
  </si>
  <si>
    <t>SanDisk DC SN861 U.2 6.40TB SDS6CA264PSP9X7</t>
  </si>
  <si>
    <t>SanDisk DC SN861 U.2 6.40TB SDS6CA264OSP9X1</t>
  </si>
  <si>
    <t>SanDisk DC SN861 U.2 12.80TB SDS6CA2A2OSP9X1</t>
  </si>
  <si>
    <t>SanDisk DC SN861 U.2 1.60TB SDS6CA216OSP9X3</t>
  </si>
  <si>
    <t>SanDisk DC SN861 U.2 3.20TB SDS6CA232OSP9X3</t>
  </si>
  <si>
    <t>SanDisk DC SN861 U.2 6.40TB SDS6CA264OSP9X3</t>
  </si>
  <si>
    <t>SanDisk DC SN861 U.2 12.80TB SDS6CA2A2OSP9X3</t>
  </si>
  <si>
    <t>SanDisk DC SN861 U.2 1.60TB SDS6CA216OSP9X7</t>
  </si>
  <si>
    <t>SanDisk DC SN861 U.2 3.20TB SDS6CA232OSP9X7</t>
  </si>
  <si>
    <t>SanDisk DC SN861 U.2 6.40TB SDS6CA264OSP9X7</t>
  </si>
  <si>
    <t>SanDisk DC SN861 U.2 12.80TB SDS6CA2A2OSP9X7</t>
  </si>
  <si>
    <t>SanDisk DC SN861 U.2 3.20TB SDS6CA232OSP9X1</t>
  </si>
  <si>
    <t>SanDisk DC SN861 E1.S 1.92TB SDS6BA119OKP8X1</t>
  </si>
  <si>
    <t>SanDisk DC SN861 E1.S 3.84TB SDS6BA138OKP8X1</t>
  </si>
  <si>
    <t>SanDisk DC SN861 E1.S 7.68TB SDS6BA176OKP8X1</t>
  </si>
  <si>
    <t>SanDisk DC SN861 E1.S 15.36TB SDS6BA1A1OKP8X1</t>
  </si>
  <si>
    <t>SanDisk DC SN861 E1.S 1.92TB SDS6BA119OKP8X3</t>
  </si>
  <si>
    <t>SanDisk DC SN861 E1.S 3.84TB SDS6BA138OKP8X3</t>
  </si>
  <si>
    <t>SanDisk DC SN861 E1.S 7.68TB SDS6BA176OKP8X3</t>
  </si>
  <si>
    <t>SanDisk DC SN861 E1.S 15.36TB SDS6BA1A1OKP8X3</t>
  </si>
  <si>
    <t>SanDisk DC SN861 E1.S 1.92TB SDS6BA119OKP8X7</t>
  </si>
  <si>
    <t>SanDisk DC SN861 E1.S 3.84TB SDS6BA138OKP8X7</t>
  </si>
  <si>
    <t>SanDisk DC SN861 E1.S 7.68TB SDS6BA176OKP8X7</t>
  </si>
  <si>
    <t>SanDisk DC SN861 E1.S 1.92TB SDS6A72TO9P8X7</t>
  </si>
  <si>
    <t>SanDisk DC SN861 E3.S 7.68TB SDS6BA176OBPAX3</t>
  </si>
  <si>
    <t>SanDisk DC SN861 E3.S 15.36TB SDS6BA1A1OBPAX3</t>
  </si>
  <si>
    <t>SanDisk DC SN861 E3.S 1.92TB SDS6BA119OBPAX7</t>
  </si>
  <si>
    <t>SanDisk DC SN861 E3.S 3.84TB SDS6BA138OBPAX7</t>
  </si>
  <si>
    <t>SanDisk DC SN861 E3.S 7.68TB SDS6BA176OBPAX7</t>
  </si>
  <si>
    <t>SanDisk DC SN861 U.2 1.92TB SDS6BA119OSP9X1</t>
  </si>
  <si>
    <t>SanDisk DC SN861 U.2 3.84TB SDS6BA138OSP9X1</t>
  </si>
  <si>
    <t>SanDisk DC SN861 U.2 7.68TB SDS6BA176OSP9X1</t>
  </si>
  <si>
    <t>SanDisk DC SN861 U.2 15.36TB SDS6BA1A1OSP9X1</t>
  </si>
  <si>
    <t>SanDisk DC SN861 U.2 1.92TB SDS6BA119OSP9X3</t>
  </si>
  <si>
    <t>SanDisk DC SN861 U.2 3.84TB SDS6BA138OSP9X3</t>
  </si>
  <si>
    <t>SanDisk DC SN861 U.2 7.68TB SDS6BA176OSP9X3</t>
  </si>
  <si>
    <t>SanDisk DC SN861 U.2 15.36TB SDS6BA1A1OSP9X3</t>
  </si>
  <si>
    <t>SanDisk DC SN861 U.2 1.92TB SDS6BA119OSP9X7</t>
  </si>
  <si>
    <t>SanDisk DC SN861 E3.S 1.92TB SDS6BA119OBPAX1</t>
  </si>
  <si>
    <t>SanDisk DC SN861 U.2 7.68TB SDS6BA176OSP9X7</t>
  </si>
  <si>
    <t>SanDisk DC SN861 E3.S 3.84TB SDS6BA138OBPAX1</t>
  </si>
  <si>
    <t>SanDisk DC SN861 E3.S 7.68TB SDS6BA176OBPAX1</t>
  </si>
  <si>
    <t>SanDisk DC SN861 E3.S 15.36TB SDS6BA1A1OBPAX1</t>
  </si>
  <si>
    <t>SanDisk DC SN861 U.2 1.60TB SDS6CA216OSP9X1</t>
  </si>
  <si>
    <t>SanDisk DC SN861 E3.S 1.92TB SDS6BA119OBPAX3</t>
  </si>
  <si>
    <t>SanDisk DC SN861 E3.S 3.84TB SDS6BA138OBPAX3</t>
  </si>
  <si>
    <t>SanDisk DC SN861 E1.S 0.96TB SDS6A761TO9P8X7</t>
  </si>
  <si>
    <t>SanDisk DC SN861 U.2 3.84TB SDS6BA138OSP9X7</t>
  </si>
  <si>
    <t>SanDisk DC SN861 U.2 3.84TB SDS6BA138PSP9X1 (0TS2520)</t>
  </si>
  <si>
    <t>SanDisk DC SN861 U.2 7.68TB SDS6BA176PSP9X1 (0TS2521)</t>
  </si>
  <si>
    <t>SanDisk DC SN861 U.2 3.20TB SDS6CA232PSP9X1 (0TS2523)</t>
  </si>
  <si>
    <t>SanDisk DC SN861 U.2 6.40TB SDS6CA264PSP9X1 (0TS2524)</t>
  </si>
  <si>
    <t>SanDisk DC SN861 U.2 3.20TB SDS6CA232OSP9X1(0TS2642)</t>
  </si>
  <si>
    <t>SanDisk DC SN861 U.2 6.40TB SDS6CA264OSP9X1(0TS2643)</t>
  </si>
  <si>
    <t>SanDisk DC SN861 U.2 12.80TB SDS6CA2A2OSP9X1(0TS2615)</t>
  </si>
  <si>
    <t>SanDisk DC SN861 U.2 15.36TB SDS6BA1A1OSP9X1(0TS2611)</t>
  </si>
  <si>
    <t>SanDisk DC SN861 U.2 7.68TB SDS6BA176OSP9X1(0TS2640)</t>
  </si>
  <si>
    <t>SanDisk DC SN861 U.2 3.84TB SDS6BA138OSP9X1(0TS2639)</t>
  </si>
  <si>
    <t>ScaleFlux Inc</t>
  </si>
  <si>
    <t>CSD-3320</t>
  </si>
  <si>
    <t>Schweitzer Engineering Laboratories
 Inc.</t>
  </si>
  <si>
    <t>SEL-3390E4</t>
  </si>
  <si>
    <t>Seagate Technology LLC</t>
  </si>
  <si>
    <t>SKHynix Memory Solutions</t>
  </si>
  <si>
    <t>VK007680KWWFQ</t>
  </si>
  <si>
    <t>MK006400KWWFK</t>
  </si>
  <si>
    <t>VK003840KWWFP</t>
  </si>
  <si>
    <t>MK003200KWWFH</t>
  </si>
  <si>
    <t>VK001920KWWFN</t>
  </si>
  <si>
    <t>MK001600KWWFF</t>
  </si>
  <si>
    <t>VK000960KWWFL</t>
  </si>
  <si>
    <t>MK000800KWWFE</t>
  </si>
  <si>
    <t>VS000960KWXFN</t>
  </si>
  <si>
    <t>SK Hynix SSD PE8010 Series (960 GB
  2.5-inch U.3) HFS960GETFEI-D430A</t>
  </si>
  <si>
    <t>SK Hynix SSD PE8010 Series (1920 GB
  2.5-inch U.3) HFS1T9GETFEI-D430A</t>
  </si>
  <si>
    <t>SK Hynix SSD PE8010 Series (3840 GB
  2.5-inch U.3) HFS3T8GETFEI-D430A</t>
  </si>
  <si>
    <t>SK Hynix SSD PE8010 Series (7680 GB
  2.5-inch U.3) HFS7T6GETFEI-D430A</t>
  </si>
  <si>
    <t>SK Hynix SSD PE8030 Series (800 GB
  2.5-inch U.3) HFS800GETFEI-D430A</t>
  </si>
  <si>
    <t>SK Hynix SSD PE8030 Series (1600 GB
  2.5-inch U.3) HFS1T6GETFEI-D430A</t>
  </si>
  <si>
    <t>SK Hynix SSD PE8030 Series (3200 GB
  2.5-inch U.3) HFS3T2GETFEI-D430A</t>
  </si>
  <si>
    <t>SK Hynix SSD PE8030 Series (6400 GB
  2.5-inch U.3) HFS6T4GETFEI-D430A</t>
  </si>
  <si>
    <t>PE8110 Series HFS1T9GEEWX091N (2TB
  EDSFF E1.S 15mm)</t>
  </si>
  <si>
    <t>PE8110 Series HFS3T8GEEWX091N (4TB
  EDSFF E1.S 15mm)</t>
  </si>
  <si>
    <t>PE8110 Series HFS7T6GEEWX091N (8TB
  EDSFF E1.S 15mm)</t>
  </si>
  <si>
    <t>PE9110 Series HFS3T8GEEWX132N (4TB
  EDSFF E1.S 15mm)</t>
  </si>
  <si>
    <t>PE9110 Series HFS1T9GEEWX132N (2TB
  EDSFF E1.S 15mm)</t>
  </si>
  <si>
    <t>PE9110 Series HFS7T6GEEWX132N (8TB
  EDSFF E1.S 15mm)</t>
  </si>
  <si>
    <t>HFS800GEETX070N</t>
  </si>
  <si>
    <t>HFS1T6GEETX070N</t>
  </si>
  <si>
    <t>HFS3T2GEETX070N</t>
  </si>
  <si>
    <t>HFS6T4GEETX070N</t>
  </si>
  <si>
    <t>PE8110 Series HFS960GDE0X098N (1TB
  M.2
  22110D)</t>
  </si>
  <si>
    <t>PE8110 Series HFS3T8GDE0X098N (4TB
  M.2
  22110D)</t>
  </si>
  <si>
    <t>PE8110 Series HFS1T9GDE0X098N (2TB
  M.2
  22110D)</t>
  </si>
  <si>
    <t>HFS3T8GD0FEI-A430A</t>
  </si>
  <si>
    <t>HFS1T9GD0FEI-A430A</t>
  </si>
  <si>
    <t>HFS960GD0FEI-A430A</t>
  </si>
  <si>
    <t>HFS960GDJ0X132N</t>
  </si>
  <si>
    <t>HFS1T9GDJ0X132N</t>
  </si>
  <si>
    <t>HFS3T8GDJ0X132N</t>
  </si>
  <si>
    <t>HFS960GDE0X098N non-FIPS</t>
  </si>
  <si>
    <t>HFS1T9GDE0X098N non-FIPS</t>
  </si>
  <si>
    <t>HFS3T8GDE0X098N non-FIPS</t>
  </si>
  <si>
    <t>HFS960GDE0X098N FIPS</t>
  </si>
  <si>
    <t>HFS1T9GDE0X098N FIPS</t>
  </si>
  <si>
    <t>HFS3T8GDE0X098N FIPS</t>
  </si>
  <si>
    <t>HFS1T9GFJCX140N</t>
  </si>
  <si>
    <t>HFS3T8GFJCX140N</t>
  </si>
  <si>
    <t>HFS7T6GFJCX140N</t>
  </si>
  <si>
    <t>HFS15T3FJCX140N</t>
  </si>
  <si>
    <t>HFS1T6GFJCX140N</t>
  </si>
  <si>
    <t>HFS3T2GFJCX140N</t>
  </si>
  <si>
    <t>HFS6T4GFJCX140N</t>
  </si>
  <si>
    <t>HFS12T8FJCX140N</t>
  </si>
  <si>
    <t>PE9010 Series HFS1T9GEJWX132N (2TB
  EDSFF E1.S 15mm)</t>
  </si>
  <si>
    <t>PE9010 Series HFS3T8GEJWX132N (4TB
  EDSFF E1.S
  15mm)</t>
  </si>
  <si>
    <t>PE9010 Series HFS7T6GEJWX132N (8TB
  EDSFF E1.S
  15mm)</t>
  </si>
  <si>
    <t>HFS960GDC0X139N</t>
  </si>
  <si>
    <t>HFS1T9GDC0X139N</t>
  </si>
  <si>
    <t>HFS3T8GDC0X139N</t>
  </si>
  <si>
    <t>PEB110 Series HFS1T9GFMWX183N (2TB
  EDSFF E1.S 15mm)</t>
  </si>
  <si>
    <t>PEB110 Series HFS3T8GFMWX183N (4TB
  EDSFF E1.S 15mm)</t>
  </si>
  <si>
    <t>PEB110 Series HFS7T6GFMWX183N (8TB
  EDSFF E1.S 15mm)</t>
  </si>
  <si>
    <t>HFS1T9GFPWX183N</t>
  </si>
  <si>
    <t>HFS3T8GFPWX183N</t>
  </si>
  <si>
    <t>HFS7T6GFPWX183N</t>
  </si>
  <si>
    <t>HFS15T3FPWX183N</t>
  </si>
  <si>
    <t>Smart Modular Technologies</t>
  </si>
  <si>
    <t>DC4800 Gen4 E1.S 3.84TB</t>
  </si>
  <si>
    <t>DC4800 Gen4 E1.S 7.68TB</t>
  </si>
  <si>
    <t>Solarflare Communications</t>
  </si>
  <si>
    <t>SFN8542</t>
  </si>
  <si>
    <t>SFN8522</t>
  </si>
  <si>
    <t>SFN8522M</t>
  </si>
  <si>
    <t>SFN8722</t>
  </si>
  <si>
    <t>SFN8042</t>
  </si>
  <si>
    <t>X2522</t>
  </si>
  <si>
    <t>X2542</t>
  </si>
  <si>
    <t>X2541</t>
  </si>
  <si>
    <t>SFC9220 10/40G Ethernet Controller</t>
  </si>
  <si>
    <t>SFN8041</t>
  </si>
  <si>
    <t>X2552</t>
  </si>
  <si>
    <t>SOLID STATE STORAGE TECHNOLOGY CORPORATION</t>
  </si>
  <si>
    <t>EJ5-2W3840/EJ5-2W7680/EJ5-2W15360P</t>
  </si>
  <si>
    <t>PJ1-KW3840P</t>
  </si>
  <si>
    <t>PJ1-GW240GP/PJ1-GW480P/PJ1-GW960P/PJ1-GW1920P</t>
  </si>
  <si>
    <t>CX3-8D480G/CX3-8D960G/CX3-8D1T92</t>
  </si>
  <si>
    <t>Solidigm Technology</t>
  </si>
  <si>
    <t>Solidigm‚Ñ¢ D5-P5430 SBFPF2BU038T (3.8 TB
  2.5 U.2"</t>
  </si>
  <si>
    <t>Solidigm‚Ñ¢ D5-P5430 SBFPF2BU076T (7.6 TB
  2.5 U.2)"</t>
  </si>
  <si>
    <t>Solidigm‚Ñ¢ D5-P5430 SBFPF2BU153T (15.3 TB
  2.5 U.2)"</t>
  </si>
  <si>
    <t>Solidigm‚Ñ¢ D5-P5430 SBFPF2BU038TOF (3.8 TB
  2.5 U.2)"</t>
  </si>
  <si>
    <t>Solidigm‚Ñ¢ D5-P5430 SBFPF2BU076TOF (7.6 TB
  2.5 U.2)"</t>
  </si>
  <si>
    <t>Solidigm‚Ñ¢ D5-P5430 SBFPF2BU153TOF (15.3 TB
  2.5 U.2)"</t>
  </si>
  <si>
    <t>Solidigm‚Ñ¢ D7-P5810 SSDPF2SQ800GZ (800 GB
  2.5 U.2)"</t>
  </si>
  <si>
    <t>Solidigm‚Ñ¢ SSD D7-P5620 Series SSDPF2KE016T1 (1.6 TB
  2.5 U.2)"</t>
  </si>
  <si>
    <t>Solidigm‚Ñ¢ SSD D7-P5620 Series SSDPF2KE032T1 (3.2 TB
  2.5 U.2)"</t>
  </si>
  <si>
    <t>Solidigm‚Ñ¢ SSD D7-P5620 Series SSDPF2KE064T1 (6.4 TB
  2.5 U.2)"</t>
  </si>
  <si>
    <t>Solidigm‚Ñ¢ SSD D7-P5620 Series SSDPF2KE128T1 (12.8 TB
  2.5 U.2)"</t>
  </si>
  <si>
    <t>Solidigm‚Ñ¢ SSD D7-P5520 Series SSDPF2KX019T1 (1.9 TB
  2.5 U.2)"</t>
  </si>
  <si>
    <t>Solidigm‚Ñ¢ SSD D7-P5520 Series SSDPF2KX038T1 (3.8 TB
  2.5 U.2)"</t>
  </si>
  <si>
    <t>Solidigm‚Ñ¢ SSD D7-P5520 Series SSDPF2KX076T1 (7.6 TB
  2.5 U.2)"</t>
  </si>
  <si>
    <t>Solidigm‚Ñ¢ SSD D7-P5520 Series SSDPF2KX153T1 (15.3 TB
  2.5 U.2)"</t>
  </si>
  <si>
    <t>Solidigm‚Ñ¢ SSD D7-P5620 Series SSDPF2KE016T1O (1.6 TB
  2.5 U.2)"</t>
  </si>
  <si>
    <t>Solidigm‚Ñ¢ SSD D7-P5620 Series SSDPF2KE032T1O (3.2 TB
  2.5 U.2)"</t>
  </si>
  <si>
    <t>Solidigm‚Ñ¢ SSD D7-P5620 Series SSDPF2KE064T1O (6.4 TB
  2.5 U.2)"</t>
  </si>
  <si>
    <t>Solidigm‚Ñ¢ SSD D7-P5620 Series SSDPF2KE128T1O (12.8 TB
  2.5 U.2)"</t>
  </si>
  <si>
    <t>Solidigm‚Ñ¢ SSD D7-P5520 Series SSDPF2KX019T1O (1.9 TB
  2.5 U.2)"</t>
  </si>
  <si>
    <t>Solidigm‚Ñ¢ SSD D7-P5520 Series SSDPF2KX038T1O (3.8 TB
  2.5 U.2)"</t>
  </si>
  <si>
    <t>Solidigm‚Ñ¢ SSD D7-P5520 Series SSDPF2KX076T1O (7.6 TB
  2.5 U.2)"</t>
  </si>
  <si>
    <t>Solidigm‚Ñ¢ SSD D7-P5520 Series SSDPF2KX153T1O (15.3 TB
  2.5 U.2)"</t>
  </si>
  <si>
    <t>Solidigm‚Ñ¢ D7-P5810 SSDPF2SQ016TZ (1.6 TB
  2.5 U.2)"</t>
  </si>
  <si>
    <t>Solidigm‚Ñ¢ D5-P5336 SBFPF2BV076T (7.6 TB
  2.5 U.2)"</t>
  </si>
  <si>
    <t>Solidigm‚Ñ¢ D5-P5336 SBFPF2BV153T (15.3 TB
  2.5 U.2)"</t>
  </si>
  <si>
    <t>Solidigm‚Ñ¢ D5-P5336 SBFPF2BV307T (30.7 TB
  2.5 U.2)"</t>
  </si>
  <si>
    <t>Solidigm‚Ñ¢ D5-P5336 SBFPF2BV614T (61.4 TB
  2.5 U.2)"</t>
  </si>
  <si>
    <t>Solidigm‚Ñ¢ SSD D7-PS1010 Series SB5PH27X019T (1.92 TB
  2.5 U.2)"</t>
  </si>
  <si>
    <t>Solidigm‚Ñ¢ SSD D7-PS1010 Series SB5PH27X038T (3.84 TB
  2.5 U.2)"</t>
  </si>
  <si>
    <t>Solidigm‚Ñ¢ SSD D7-PS1010 Series SB5PH27X076T (7.68 TB
  2.5 U.2)"</t>
  </si>
  <si>
    <t>Solidigm‚Ñ¢ SSD D7-PS1010 Series SB5PH27X153T (15.3 TB
  2.5 U.2)"</t>
  </si>
  <si>
    <t>Solidigm‚Ñ¢ SSD D7-PS1030 Series SB5PH27E016T (1.6 TB
  2.5 U.2)"</t>
  </si>
  <si>
    <t>Solidigm‚Ñ¢ SSD D7-PS1030 Series SB5PH27E032T (3.2 TB
  2.5 U.2)"</t>
  </si>
  <si>
    <t>Solidigm‚Ñ¢ SSD D7-PS1030 Series SB5PH27E064T (6.4 TB
  2.5 U.2)"</t>
  </si>
  <si>
    <t>Solidigm‚Ñ¢ SSD D7-PS1030 Series SB5PH27E128T (12.8 TB
  2.5 U.2)"</t>
  </si>
  <si>
    <t>Solidigm‚Ñ¢ SSD D7-PS1010 Series SB5PHA27X019T (1.92 TB
  7.5mm E3.S)</t>
  </si>
  <si>
    <t>Solidigm‚Ñ¢ SSD D7-PS1010 Series SB5PHA27X038T (3.84 TB
  7.5mm E3.S)</t>
  </si>
  <si>
    <t>Solidigm‚Ñ¢ SSD D7-PS1010 Series SB5PHA27X076T (7.68 TB
  7.5mm E3.S)</t>
  </si>
  <si>
    <t>Solidigm‚Ñ¢ SSD D7-PS1010 Series SB5PHA27X153T (15.36 TB
  7.5mm E3.S)</t>
  </si>
  <si>
    <t>Solidigm‚Ñ¢ SSD D7-PS1030 Series SB5PHA27E016T (1.6 TB
  7.5mm E3.S)</t>
  </si>
  <si>
    <t>Solidigm‚Ñ¢ SSD D7-PS1030 Series SB5PHA27E032T (3.2 TB
  7.5mm E3.S)</t>
  </si>
  <si>
    <t>Solidigm‚Ñ¢ SSD D7-PS1030 Series SB5PHA27E064T (6.4 TB
  7.5mm E3.S)</t>
  </si>
  <si>
    <t>Solidigm‚Ñ¢ SSD D7-PS1030 Series SB5PHA27E128T (12.8 TB
  7.5mm E3.S)</t>
  </si>
  <si>
    <t>Solidigm‚Ñ¢ SSD D7-PS1010 Series SB5PH27X019TOP (1.92 TB
  2.5 U.2)"</t>
  </si>
  <si>
    <t>Solidigm‚Ñ¢ SSD D7-PS1010 Series SB5PH27X038TOP (3.84 TB
  2.5 U.2)"</t>
  </si>
  <si>
    <t>Solidigm‚Ñ¢ SSD D7-PS1010 Series SB5PH27X076TOP (7.68 TB
  2.5 U.2)"</t>
  </si>
  <si>
    <t>Solidigm‚Ñ¢ SSD D7-PS1010 Series SB5PH27X153TOP (15.36 TB
  2.5 U.2)"</t>
  </si>
  <si>
    <t>Solidigm‚Ñ¢ SSD D7-PS1010 Series SB5PHA7X019TOP (1.92 TB
  7.5mm E3.S)</t>
  </si>
  <si>
    <t>Solidigm‚Ñ¢ SSD D7-PS1010 Series SB5PHA7X038TOP (3.84 TB
  7.5mm E3.S)</t>
  </si>
  <si>
    <t>Solidigm‚Ñ¢ SSD D7-PS1030 Series SB5PHA7E016TOP (1.6 TB
  7.5mm E3.S)</t>
  </si>
  <si>
    <t>Solidigm‚Ñ¢ SSD D7-PS1030 Series SB5PHA7E032TOP (3.2 TB
  7.5mm E3.S)</t>
  </si>
  <si>
    <t>Solidigm‚Ñ¢ SSD D7-PS1030 Series SB5PHA7E064TOP (6.4 TB
  7.5mm E3.S)</t>
  </si>
  <si>
    <t>Solidigm‚Ñ¢ SSD D7-PS1030 Series SB5PHA7E128TOP (12.8 TB
  7.5mm E3.S)</t>
  </si>
  <si>
    <t>Solidigm‚Ñ¢ SSD D7-PS1010 Series SB5PHA7X076TOP (7.68 TB
  7.5mm E3.S)</t>
  </si>
  <si>
    <t>Solidigm‚Ñ¢ SSD D7-PS1010 Series SB5PHA7X153TOP (15.36 TB
  7.5mm E3.S)</t>
  </si>
  <si>
    <t>Solidigm‚Ñ¢ SSD D7-PS1030 Series SB5PH27E016TOP (1.6 TB
  2.5 U.2)"</t>
  </si>
  <si>
    <t>Solidigm‚Ñ¢ SSD D7-PS1030 Series SB5PH27E032TOP (3.2 TB
  2.5 U.2)"</t>
  </si>
  <si>
    <t>Solidigm‚Ñ¢ SSD D7-PS1030 Series SB5PH27E064TOP (6.4 TB
  2.5 U.2)"</t>
  </si>
  <si>
    <t>Solidigm‚Ñ¢ SSD D7-PS1030 Series SB5PH27E128TOP (12.8 TB
  2.5 U.2)"</t>
  </si>
  <si>
    <t>Solidigm‚Ñ¢ D5-P5336 SBFPF2BV012T (122.8 TB
  2.5 U.2)"</t>
  </si>
  <si>
    <t>Solidigm‚Ñ¢ D5-P5336 SBFPFWBV0P12 (122.8 TB
  E1.L)</t>
  </si>
  <si>
    <t>Solidigm‚Ñ¢ D5-P5336 SBFPF2BV307TOF (30.72 TB
  2.5 U.2)"</t>
  </si>
  <si>
    <t>Solidigm‚Ñ¢ D5-P5336 SBFPF2BV614TOF (61.44 TB
  2.5 U.2)"</t>
  </si>
  <si>
    <t>Solidigm‚Ñ¢ D5-P5336 SBFPFWBV153T (15.36 TB
  E1.L)</t>
  </si>
  <si>
    <t>Solidigm‚Ñ¢ D5-P5336 SBFPFWBV307T (30.72 TB
  E1.L)</t>
  </si>
  <si>
    <t>Solidigm‚Ñ¢ D5-P5336 SBFPFWBV614T (61.44 TB
  E1.L)</t>
  </si>
  <si>
    <t>Solidigm‚Ñ¢ D5-P5336 SBFPFWBV153TOF (15.36 TB
  E1.L)</t>
  </si>
  <si>
    <t>Solidigm‚Ñ¢ D5-P5336 SBFPF2BV076TOP (7.68 TB
  2.5 U.2)"</t>
  </si>
  <si>
    <t>Solidigm‚Ñ¢ D5-P5336 SBFPF2BV153TOP (15.36 TB
  2.5 U.2)"</t>
  </si>
  <si>
    <t>Solidigm‚Ñ¢ D5-P5336 SBFPF2BV307TOP (30.72 TB
  2.5 U.2)"</t>
  </si>
  <si>
    <t>Solidigm‚Ñ¢ D5-P5336 SBFPF2BV614TOP (61.44 TB
  2.5 U.2)"</t>
  </si>
  <si>
    <t>Solidigm‚Ñ¢ D5-P5336 SBFPF2BV076TOF (7.68 TB
  2.5 U.2)"</t>
  </si>
  <si>
    <t>Solidigm‚Ñ¢ D5-P5336 SBFPF2BV153TOF (15.36 TB
  2.5 U.2)"</t>
  </si>
  <si>
    <t>Solidigm‚Ñ¢ D5-P5336 SBFPFABV153TOP (15.36 TB
  E3.S)</t>
  </si>
  <si>
    <t>Solidigm‚Ñ¢ D5-P5336 SBFPFABV307TOP (30.72 TB
  E3.S)</t>
  </si>
  <si>
    <t>Solidigm‚Ñ¢ D5-P5336 SBFPFABV076TOF (7.68 TB
  E3.S)</t>
  </si>
  <si>
    <t>Solidigm‚Ñ¢ D5-P5336 SBFPFABV153TOF (15.36 TB
  E3.S)</t>
  </si>
  <si>
    <t>Solidigm‚Ñ¢ D5-P5336 SBFPFABV307TOF (30.72 TB
  E3.S)</t>
  </si>
  <si>
    <t>Solidigm‚Ñ¢ D5-P5336 SBFPFWBV307TOF (30.72 TB
  E1.L)</t>
  </si>
  <si>
    <t>Solidigm‚Ñ¢ D5-P5336 SBFPFABV076T (7.68 TB
  E3.S)</t>
  </si>
  <si>
    <t>Solidigm‚Ñ¢ D5-P5336 SBFPFWBV614TOF (61.44 TB
  E1.L)</t>
  </si>
  <si>
    <t>Solidigm‚Ñ¢ D5-P5336 SBFPFABV153T (15.36 TB
  E3.S)</t>
  </si>
  <si>
    <t>Solidigm‚Ñ¢ D5-P5336 SBFPFABV307T (30.72 TB
  E3.S)</t>
  </si>
  <si>
    <t>Solidigm‚Ñ¢ D5-P5336 SBFPFABV076TOP (7.68 TB
  E3.S)</t>
  </si>
  <si>
    <t>Cisco SSD DC P5316 Series SSDPF2NV153T1O (15.36TB
  2.5 U.2</t>
  </si>
  <si>
    <t>PN: UCS-NVB15T3O1L)"</t>
  </si>
  <si>
    <t>Solidigm‚Ñ¢ D7-P5810 SSDPF2SQ032TZ (3.2 TB
  2.5 U.2)"</t>
  </si>
  <si>
    <t>Solidigm‚Ñ¢ D7-PS1010 SB5PHU7X038T (3.84 TB
  E1.S 9.5mm)</t>
  </si>
  <si>
    <t>Solidigm‚Ñ¢ D7-PS1010 SB5PHU7X076T (7.68 TB
  E1.S 9.5mm)</t>
  </si>
  <si>
    <t>Solidigm‚Ñ¢ D7-PS1010 SB5PHV7X038T (3.84 TB
  E1.S 15mm)</t>
  </si>
  <si>
    <t>Solidigm‚Ñ¢ D7-PS1010 SB5PHV7X076T (7.68 TB
  E1.S 15mm)</t>
  </si>
  <si>
    <t>Solidigm‚Ñ¢ D7-PS1010 SB5PHU7X038TOP (3.84 TB
  E1.S 9.5mm)</t>
  </si>
  <si>
    <t>Solidigm‚Ñ¢ D7-PS1010 SB5PHU7X076TOP (7.68 TB
  E1.S 9.5mm)</t>
  </si>
  <si>
    <t>Solidigm‚Ñ¢ D7-PS1010 SB5PHV7X038TOP (3.84 TB
  E1.S 15mm)</t>
  </si>
  <si>
    <t>Solidigm‚Ñ¢ D7-PS1010 SB5PHV7X076TOP (7.68 TB
  E1.S 15mm)</t>
  </si>
  <si>
    <t>Solidigm‚Ñ¢ SSD D5-P5316 Series SSDPFWNV307TZ (30.72TB
  E1.L)</t>
  </si>
  <si>
    <t>Solidigm‚Ñ¢ SSD D5-P5316 Series SSDPFWNV307TZO (30.72TB
  E1.L)</t>
  </si>
  <si>
    <t>Solidigm‚Ñ¢ SSD D5-P5316 Series SSDPF2NV307TZ (30.72TB
  2.5 U.2)"</t>
  </si>
  <si>
    <t>Solidigm‚Ñ¢ SSD D5-P5316 Series SSDPF2NV307TZO (30.72TB
  2.5 U.2)"</t>
  </si>
  <si>
    <t>Solidigm‚Ñ¢ SSD D5-P5316 Series SSDPF2NV153TZ (15.36TB
  2.5 U.2)"</t>
  </si>
  <si>
    <t>Solidigm‚Ñ¢ SSD D5-P5316 Series SSDPF2NV153TZO (15.36TB
  2.5 U.2)"</t>
  </si>
  <si>
    <t>Solidigm‚Ñ¢ SSD D5-P5316 Series SSDPFWNV153TZ (15.36TB
  E1.L)</t>
  </si>
  <si>
    <t>Solidigm‚Ñ¢ SSD D5-P5316 Series SSDPFWNV153TZO (15.36TB
  E1.L)</t>
  </si>
  <si>
    <t>Solidigm‚Ñ¢ D2-N200 SBFPF2GN160T (16 TB
  2.5 U.2)"</t>
  </si>
  <si>
    <t>Solidigm‚Ñ¢ D2-N200 SBFPF2GN160TOP (16 TB
  2.5 U.2)"</t>
  </si>
  <si>
    <t>Solidigm‚Ñ¢ D2-N200 SBFPF2GN160TOF (16 TB
  2.5 U.2)"</t>
  </si>
  <si>
    <t>Solidigm‚Ñ¢ D2-N200 SBFPF2GN320T (32 TB
  2.5 U.2)"</t>
  </si>
  <si>
    <t>Solidigm‚Ñ¢ D2-N200 SBFPF2GN320TOP (32 TB
  2.5 U.2)"</t>
  </si>
  <si>
    <t>Solidigm‚Ñ¢ D2-N200 SBFPF2GN320TOF (32 TB
  2.5 U.2)"</t>
  </si>
  <si>
    <t>Sonnet Technologies
 Inc.</t>
  </si>
  <si>
    <t>Twin10G 10GBASE-T PCIe Card</t>
  </si>
  <si>
    <t>Twin10G‚Ñ¢ 10GBASE-T PCIe Card</t>
  </si>
  <si>
    <t>Stratus Technologies</t>
  </si>
  <si>
    <t>Micron 7450 MAX NVMe SSD</t>
  </si>
  <si>
    <t>Supermicro Computer
 Inc</t>
  </si>
  <si>
    <t>SMC3108</t>
  </si>
  <si>
    <t>SMC3008</t>
  </si>
  <si>
    <t>AOC-STG-I2T</t>
  </si>
  <si>
    <t>AOC-MTGN-I2S</t>
  </si>
  <si>
    <t>AOC-STGN-i2SF</t>
  </si>
  <si>
    <t>AOC-URN2-I2XS</t>
  </si>
  <si>
    <t>AOC-2UR68-i2XS</t>
  </si>
  <si>
    <t>AOC-CTG-I2S</t>
  </si>
  <si>
    <t>AOC-UR-i4XT</t>
  </si>
  <si>
    <t>AOC-UR-i2XT</t>
  </si>
  <si>
    <t>AOC-2UR6-i4XT</t>
  </si>
  <si>
    <t>AOC-2UR68-i2XT</t>
  </si>
  <si>
    <t>AOC-URN2-i4XT</t>
  </si>
  <si>
    <t>AOC-URN2-i2XT</t>
  </si>
  <si>
    <t>AOC-2URN4-i4XT</t>
  </si>
  <si>
    <t>AOC-2UR8N4-i2XT</t>
  </si>
  <si>
    <t>AOC-CTG-I2T</t>
  </si>
  <si>
    <t>AOC-URN6-i2XT</t>
  </si>
  <si>
    <t>AOC-STGS-i2T</t>
  </si>
  <si>
    <t>AOC-STGS-i1T</t>
  </si>
  <si>
    <t>AOC-MTG-i2T</t>
  </si>
  <si>
    <t>AOC-MH25G-M2S2T</t>
  </si>
  <si>
    <t>ConnectX-4 Lx EN dual-port 25Gbps¬†NIC; Dual SFP28 connectors (AOC-S25G-m2S)</t>
  </si>
  <si>
    <t>ConnectX-4 Lx EN NIC; 2-port 25GbE SFP28 (AOC-2UR68-m2TS)</t>
  </si>
  <si>
    <t>ConnectX-4 LX NIC; Quad Port 25G (AOC-M25G-m4S)</t>
  </si>
  <si>
    <t>ConnectX-4 Lx EN controller NIC; Single SFP28 connector up to 25Gbps per port (AOC-C25G-m1S)</t>
  </si>
  <si>
    <t>ConnectX-4 Lx EN NIC; 2-port 25GbE SFP28 (AOC-URN4-m2TS)</t>
  </si>
  <si>
    <t>ConnectX-4 Lx EN 25GbE NIC; Dual SFPConnectors (AOC-MH25G-m2S2T)</t>
  </si>
  <si>
    <t>AOC-CGP-i2</t>
  </si>
  <si>
    <t>AOC-SGP-i2</t>
  </si>
  <si>
    <t>AOC-2UR68-i4G</t>
  </si>
  <si>
    <t>I350 Gigabit Network Connection</t>
  </si>
  <si>
    <t>AOC-UR-i4G</t>
  </si>
  <si>
    <t>AOC-MGP-i2</t>
  </si>
  <si>
    <t>AOC-MGP-i4</t>
  </si>
  <si>
    <t>AOC-SGP-i4</t>
  </si>
  <si>
    <t>AOC-URN2-i4GXS</t>
  </si>
  <si>
    <t>AOC-MHIBF-m2Q2G</t>
  </si>
  <si>
    <t>AOC-MHIBF-m1Q2G</t>
  </si>
  <si>
    <t>AOC-MH25G-b2S2G</t>
  </si>
  <si>
    <t>AOC-2UR66-i4G</t>
  </si>
  <si>
    <t>Intel Ethernet Controller X710/X557-AT 10GBA SE-T</t>
  </si>
  <si>
    <t>AOC-UR-i4XTF</t>
  </si>
  <si>
    <t>AOC-2UR66-i4XTF</t>
  </si>
  <si>
    <t>AOC-MTG-i4S</t>
  </si>
  <si>
    <t>AOC-S40G-i1Q</t>
  </si>
  <si>
    <t>AOC-S40G-i2Q</t>
  </si>
  <si>
    <t>AOC-STGF-i2S</t>
  </si>
  <si>
    <t>AOC-STG-i4S</t>
  </si>
  <si>
    <t>AOC-STG-i4T</t>
  </si>
  <si>
    <t>AOC-MTG-I4TM</t>
  </si>
  <si>
    <t>Broadcom NetXtreme E-Series Advanced Dual-port 10GBASE-T Ethernet Network Daughter Card (AOC-STG-b2T)</t>
  </si>
  <si>
    <t>AOC-4UR66-i4XTF</t>
  </si>
  <si>
    <t>AOC-M25G-i2S</t>
  </si>
  <si>
    <t>AOC-S25G-i2S</t>
  </si>
  <si>
    <t>AOC-URN4-i2TS</t>
  </si>
  <si>
    <t>AOC-SLG2-2TM2</t>
  </si>
  <si>
    <t>SMC3108 w/ JBOD</t>
  </si>
  <si>
    <t>AOC-SMG2-2TM2</t>
  </si>
  <si>
    <t>AOC-UM2R-8+-NI22</t>
  </si>
  <si>
    <t>SMC3216</t>
  </si>
  <si>
    <t>BPN-6S3008N3-MV2-NI22</t>
  </si>
  <si>
    <t>AOC-SLG2-2TM2-T</t>
  </si>
  <si>
    <t>ConnectX-4 Lx EN NIC; OCP; 25GbE; dual-port SFP28; (AOC-B25G-X4D)</t>
  </si>
  <si>
    <t>ConnectX-4 Lx EN NIC; OCP; 25GbE; dual-port SFP28; (AOC-B25G-6X4D)</t>
  </si>
  <si>
    <t>SMC3408 SAS-RAID</t>
  </si>
  <si>
    <t>SMC3408</t>
  </si>
  <si>
    <t>AOC-SMG3-2M2-B</t>
  </si>
  <si>
    <t>SMC3908</t>
  </si>
  <si>
    <t>SMC3808</t>
  </si>
  <si>
    <t>AOC-ATG-i2S (AOC-ATG-i2SM)</t>
  </si>
  <si>
    <t>AOC-ATG-i2T2SM</t>
  </si>
  <si>
    <t>AOC-AH25G-m2S2TM (INT X550)</t>
  </si>
  <si>
    <t>SMC3916</t>
  </si>
  <si>
    <t>AOC-SMG3-2M2-U</t>
  </si>
  <si>
    <t>SMC3816</t>
  </si>
  <si>
    <t>AOC-ATG-i2T (AOC-ATG-i2TM
  AOC-ATG-i2TB)</t>
  </si>
  <si>
    <t>AOC-ATG-i4S (AOC-ATG-i4SM)</t>
  </si>
  <si>
    <t>AOC-ATGC-i2TM</t>
  </si>
  <si>
    <t>AOC-AG-i2(AOC-AG-i2M)</t>
  </si>
  <si>
    <t>AOC-A100G-m2CM</t>
  </si>
  <si>
    <t>AOC-AG-i4 (AOC-AG-i4M)</t>
  </si>
  <si>
    <t>AOC-AG-i4S (AOC-AG-i4SM)</t>
  </si>
  <si>
    <t>AOC-AG-i8</t>
  </si>
  <si>
    <t>AOC-S100GC-i2C</t>
  </si>
  <si>
    <t>AOC-S25GC-i4S</t>
  </si>
  <si>
    <t>AOC-S25GC-i2S</t>
  </si>
  <si>
    <t>AOC-A25G-i2SM</t>
  </si>
  <si>
    <t>AOC-2UR68G4-I4XTS</t>
  </si>
  <si>
    <t>AOC-URG4N4-i4XTS (SFP+ ports only)</t>
  </si>
  <si>
    <t>AOC-MTG-i2T2S</t>
  </si>
  <si>
    <t>AOC-A25G-m2SM</t>
  </si>
  <si>
    <t>AOC-A100G-b2CM (AOC-A100G-b2CG
  AOC-A200G-b1C)</t>
  </si>
  <si>
    <t>AOC-URG4N4-m2TS</t>
  </si>
  <si>
    <t>AOC-2UR68G4-m2TS</t>
  </si>
  <si>
    <t>AOC-URG4N4-i2XT</t>
  </si>
  <si>
    <t>AOC-URG4N4-i4XTS (RJ45 ports only)</t>
  </si>
  <si>
    <t>AOC-S25G-b2S</t>
  </si>
  <si>
    <t>AOC-2UR68-b2TS</t>
  </si>
  <si>
    <t>AOC-A25G-b2S</t>
  </si>
  <si>
    <t>AOC-URN4-b2TS</t>
  </si>
  <si>
    <t>AOC-MTG-b2T</t>
  </si>
  <si>
    <t>AOC-STG-b2T</t>
  </si>
  <si>
    <t>AOC-URN4-b2XT</t>
  </si>
  <si>
    <t>AOC-S100G-b2C (AOC-S200G-b1C)</t>
  </si>
  <si>
    <t>AOC-ATG-b2TM</t>
  </si>
  <si>
    <t>SCC-A2NM2241G3-B1</t>
  </si>
  <si>
    <t>SMC3808 Tri-mode</t>
  </si>
  <si>
    <t>SMC_mLOM_MLXN_CON4_LX</t>
  </si>
  <si>
    <t>AOC-G25G-m2S</t>
  </si>
  <si>
    <t>AOC-S25G6-M2S</t>
  </si>
  <si>
    <t>SMC3816 Tri-mode</t>
  </si>
  <si>
    <t>AOC-MH25G-m2S2T-ConnectX-4 Dual SFP</t>
  </si>
  <si>
    <t>SMC4116L</t>
  </si>
  <si>
    <t>AOM-S3808NI-4NM</t>
  </si>
  <si>
    <t>AOC-SMG4-2M2</t>
  </si>
  <si>
    <t>AOC-AH25G-M2S2TM (MLX ConnectX-4)</t>
  </si>
  <si>
    <t>AOC-S400G-B1C</t>
  </si>
  <si>
    <t>AOC-S200G-B2C</t>
  </si>
  <si>
    <t>AOC-A400G-B1CM</t>
  </si>
  <si>
    <t>AOC-A200G-B2CM</t>
  </si>
  <si>
    <t>AOC-A25G-i4SM/G</t>
  </si>
  <si>
    <t>SCC-A2NM2241GH-B1</t>
  </si>
  <si>
    <t>Swissbit</t>
  </si>
  <si>
    <t>N-30</t>
  </si>
  <si>
    <t>Tyan Computer</t>
  </si>
  <si>
    <t>M7076-3008-8i</t>
  </si>
  <si>
    <t>Union Memory</t>
  </si>
  <si>
    <t>UH811a RP2023T8RK004LX</t>
  </si>
  <si>
    <t>UH711a UP2A63T8SD004LX</t>
  </si>
  <si>
    <t>UH711a UP2A61T9SD004LX</t>
  </si>
  <si>
    <t>UH711a UP2A67T6SD004LX</t>
  </si>
  <si>
    <t>UH811a RP2021T9RK004LX</t>
  </si>
  <si>
    <t>UH811a RP2027T6RK004LX</t>
  </si>
  <si>
    <t>UH831a RP2021T6RK004VX</t>
  </si>
  <si>
    <t>UH831a RP2023T2RK004VX</t>
  </si>
  <si>
    <t>UH831a RP2026T4RK004VX</t>
  </si>
  <si>
    <t>UH810a RP2001T9RK004LX</t>
  </si>
  <si>
    <t>UH810a RP2003T8RK004LX</t>
  </si>
  <si>
    <t>UH810a RP2017T6RK004LX</t>
  </si>
  <si>
    <t>UH830a RP2001T6RK004VX</t>
  </si>
  <si>
    <t>UH830a RP2013T2RK004VX</t>
  </si>
  <si>
    <t>UH830a RP2006T4RK004VX</t>
  </si>
  <si>
    <t>Union Memory UH812a UP2091T9HK015LX</t>
  </si>
  <si>
    <t>Union Memory UH712a UP2091T9SK015LX</t>
  </si>
  <si>
    <t>Union Memory UH832a UP2091T6HK015VX</t>
  </si>
  <si>
    <t>Union Memory UH812a UP2093T8HK015LX</t>
  </si>
  <si>
    <t>Union Memory UH812a UP2097T6HK015LX</t>
  </si>
  <si>
    <t>Union Memory UH812a UP20915THK015LX</t>
  </si>
  <si>
    <t>Union Memory UH712a UP2093T8SK015LX</t>
  </si>
  <si>
    <t>Union Memory UH712a UP2097T6SK015LX</t>
  </si>
  <si>
    <t>Union Memory UH712a UP20915TSK015LX</t>
  </si>
  <si>
    <t>Union Memory UH832a UP2093T2HK015VX</t>
  </si>
  <si>
    <t>Union Memory UH832a UP2096T4HK015VX</t>
  </si>
  <si>
    <t>Union Memory UH832a UP20912THK015VX</t>
  </si>
  <si>
    <t>UMIS UH713a UP20C7T6HD005LX</t>
  </si>
  <si>
    <t>UMIS UH832c UP20A1T6HK015VX</t>
  </si>
  <si>
    <t>UMIS UH812c UP20A1T9HK015LX</t>
  </si>
  <si>
    <t>UMIS UH713a UP20B1T9HD065LX</t>
  </si>
  <si>
    <t>UMIS UH713a UP20B3T8HD065LX</t>
  </si>
  <si>
    <t>UMIS UH713a UP20C15THD005LX</t>
  </si>
  <si>
    <t>UMIS UH733a UP20B1T6HD065VX</t>
  </si>
  <si>
    <t>UMIS UH733a UP20B3T2HD065VX</t>
  </si>
  <si>
    <t>UMIS UH733a UP20C6T4HD005VX</t>
  </si>
  <si>
    <t>UMIS UH733a UP20C12THD005VX</t>
  </si>
  <si>
    <t>UMIS UH812c UP20A3T8HK015LX</t>
  </si>
  <si>
    <t>UMIS UH812c UP20A7T6HK045LX</t>
  </si>
  <si>
    <t>UMIS UH812c UP20A15THK045LX</t>
  </si>
  <si>
    <t>UMIS UH812c UPC0A7T6HK045LX</t>
  </si>
  <si>
    <t>UMIS UH812c UPC0A15THK045LX</t>
  </si>
  <si>
    <t>UMIS UH832c UP20A3T2HK015VX</t>
  </si>
  <si>
    <t>UMIS UH832c UP20A6T4HK045VX</t>
  </si>
  <si>
    <t>UMIS UH832c UP20A12THK045VX</t>
  </si>
  <si>
    <t>UMIS UH832c UPC0A6T4HK045VX</t>
  </si>
  <si>
    <t>UMIS UH832c UPC0A12THK045VX</t>
  </si>
  <si>
    <t>VMware</t>
  </si>
  <si>
    <t>80003ES2LAN Gigabit Ethernet Controller</t>
  </si>
  <si>
    <t>VMware 82599 RoCE</t>
  </si>
  <si>
    <t>test-iovp</t>
  </si>
  <si>
    <t>VMware NIC-test1</t>
  </si>
  <si>
    <t>iovp_test1</t>
  </si>
  <si>
    <t>Western Digital Technologies
 Inc.</t>
  </si>
  <si>
    <t>WUS3CA180C7P3E3</t>
  </si>
  <si>
    <t>WUS3CA116C7P3E3</t>
  </si>
  <si>
    <t>Ultrastar DC SN655 15360 GB WUS5EA1A1ESP7E7</t>
  </si>
  <si>
    <t>UltraStar DC SN655 7680 GB WUS5EA176ESP7E7</t>
  </si>
  <si>
    <t>SN655 WUS5EA138ESP7E7 3.84TB</t>
  </si>
  <si>
    <t>SN655 NETAPPX4013WCOFB7T6NTF 7.68TB</t>
  </si>
  <si>
    <t>SN655 NETAPPX4014WCOFB15TNTE 15.36TB</t>
  </si>
  <si>
    <t>XP330</t>
  </si>
  <si>
    <t>XP210</t>
  </si>
  <si>
    <t>XP212</t>
  </si>
  <si>
    <t>XC310</t>
  </si>
  <si>
    <t>2*10GE Fiber X722 LOM</t>
  </si>
  <si>
    <t>XP332</t>
  </si>
  <si>
    <t>XP380</t>
  </si>
  <si>
    <t>XP382</t>
  </si>
  <si>
    <t>XC382</t>
  </si>
  <si>
    <t>XFSP4151T90000N</t>
  </si>
  <si>
    <t>XFSP4161T60000N</t>
  </si>
  <si>
    <t>XP150IT-M</t>
  </si>
  <si>
    <t>XR760IT-M</t>
  </si>
  <si>
    <t>XR450C-M</t>
  </si>
  <si>
    <t>XP450C-M</t>
  </si>
  <si>
    <t>XR450C-MX</t>
  </si>
  <si>
    <t>XR150-M</t>
  </si>
  <si>
    <t>XP150-M</t>
  </si>
  <si>
    <t>XR760-M</t>
  </si>
  <si>
    <t>XR230-M</t>
  </si>
  <si>
    <t>iBMA Virtual Network Controller</t>
  </si>
  <si>
    <t>XR370-M-8i</t>
  </si>
  <si>
    <t>XC370-M-8i</t>
  </si>
  <si>
    <t>XR370-M-16i</t>
  </si>
  <si>
    <t>XC370-M-16i</t>
  </si>
  <si>
    <t>XR170-M-8i</t>
  </si>
  <si>
    <t>XC170-M-8i</t>
  </si>
  <si>
    <t>XR170-M-16i</t>
  </si>
  <si>
    <t>XC170-M-16i</t>
  </si>
  <si>
    <t>XFSP4153T80000N</t>
  </si>
  <si>
    <t>XFSP4163T20000N</t>
  </si>
  <si>
    <t>XFSP4157T60000N</t>
  </si>
  <si>
    <t>XFSP4166T40000N</t>
  </si>
  <si>
    <t>XC383</t>
  </si>
  <si>
    <t>XP460C-M</t>
  </si>
  <si>
    <t>XR470C-M-8i</t>
  </si>
  <si>
    <t>XU470C-M-8i</t>
  </si>
  <si>
    <t>XR470C-M-16i</t>
  </si>
  <si>
    <t>XC331</t>
  </si>
  <si>
    <t>XC386</t>
  </si>
  <si>
    <t>XC333</t>
  </si>
  <si>
    <t>XC470C-M-8i</t>
  </si>
  <si>
    <t>XC470C-M-16i</t>
  </si>
  <si>
    <t>XR450C-M JBOD Mode</t>
  </si>
  <si>
    <t>XP450C-M JBOD Mode</t>
  </si>
  <si>
    <t>XR450C-MX JBOD Mode</t>
  </si>
  <si>
    <t>XP460C-M JBOD Mode</t>
  </si>
  <si>
    <t>XP270-M2</t>
  </si>
  <si>
    <t>XC385</t>
  </si>
  <si>
    <t>Yangtze Memory Technologies Co.
 Ltd</t>
  </si>
  <si>
    <t>YMTC YMES3XJ16B78HE</t>
  </si>
  <si>
    <t>YMTC YMES3XJ11B78ME</t>
  </si>
  <si>
    <t>YMTC YMES3XJ12B78ME</t>
  </si>
  <si>
    <t>YMTC YMES3XJ17B78ME</t>
  </si>
  <si>
    <t>YMTC YMES3XJ14B78HE</t>
  </si>
  <si>
    <t>YMTC YMES3XJ15B78HE</t>
  </si>
  <si>
    <t>ZTE Corporation</t>
  </si>
  <si>
    <t>ConnectX-4 Lx EN NIC;25GbE; dual-port SFP28(NS312)</t>
  </si>
  <si>
    <t>ConnectX-4 Lx EN NIC;10GbE; dual-port SFP+(NS212)</t>
  </si>
  <si>
    <t>ZTE SmartIOC2100 SDPSA/B_I-18i</t>
  </si>
  <si>
    <t>ZTE SmartIOC2100 RM243-18i</t>
  </si>
  <si>
    <t>ZTE SmartROC3100 SDPSA/B-18i 4G</t>
  </si>
  <si>
    <t>ZTE SmartROC3100 SDPSA/B_L-18i 2G</t>
  </si>
  <si>
    <t>ZTE SmartROC3100 RM241-18i 2G</t>
  </si>
  <si>
    <t>ZTE SmartROC3100 RM242-18i 4G</t>
  </si>
  <si>
    <t>ZTE SmartIOC2100 RS243-18i</t>
  </si>
  <si>
    <t>ZTE SmartIOC2100¬†RM243B-18i</t>
  </si>
  <si>
    <t>ZTE SmartROC3100 RS241-18i 2G</t>
  </si>
  <si>
    <t>ZTE SmartROC3100 RS242-18i 4G</t>
  </si>
  <si>
    <t>ZTE SmartROC3100 RM241B-18i 2G</t>
  </si>
  <si>
    <t>ZTE SmartROC3100 RM242B-18i 4G</t>
  </si>
  <si>
    <t>ZTE SmartIOC2200 RM346-16i</t>
  </si>
  <si>
    <t>ZTE SmartIOC2200 RS346-16i</t>
  </si>
  <si>
    <t>ZTE SmartROC3200 RM344-16i 4G</t>
  </si>
  <si>
    <t>ZTE SmartROC3200 RM345-16i 8G</t>
  </si>
  <si>
    <t>ZTE SmartROC3200 RS344-16i 4G</t>
  </si>
  <si>
    <t>ZTE SmartROC3200 RS345-16i 8G</t>
  </si>
  <si>
    <t>NO127</t>
  </si>
  <si>
    <t>NO127D</t>
  </si>
  <si>
    <t>ZTE SmartIOC2100 RS233-8i</t>
  </si>
  <si>
    <t>ZTE SmartROC3100 RS231-8i 2G</t>
  </si>
  <si>
    <t>ZTE SmartROC3100 RS232-8i 4G</t>
  </si>
  <si>
    <t>Component</t>
  </si>
  <si>
    <t>Size</t>
  </si>
  <si>
    <t>Nodes</t>
  </si>
  <si>
    <t>vCPU</t>
  </si>
  <si>
    <t>RAM (GB)</t>
  </si>
  <si>
    <t>Disk (GB)</t>
  </si>
  <si>
    <t>Location</t>
  </si>
  <si>
    <t>Required</t>
  </si>
  <si>
    <t>SDDC Manager</t>
  </si>
  <si>
    <t>Base</t>
  </si>
  <si>
    <t>VCF Management Services</t>
  </si>
  <si>
    <t>Yes</t>
  </si>
  <si>
    <t>Protection Blueprint Requirements</t>
  </si>
  <si>
    <t>License Server</t>
  </si>
  <si>
    <t>Identity Broker</t>
  </si>
  <si>
    <t>Cloud Proxy</t>
  </si>
  <si>
    <t>VCF Fleet Components</t>
  </si>
  <si>
    <t>Offline Software Depot</t>
  </si>
  <si>
    <t>No</t>
  </si>
  <si>
    <t>Management Domain vCenter</t>
  </si>
  <si>
    <t>Medium</t>
  </si>
  <si>
    <t>VCF Management Domain</t>
  </si>
  <si>
    <t>Large</t>
  </si>
  <si>
    <t>Management Domain NSX Managers (Local / Global)</t>
  </si>
  <si>
    <t>Management Domain NSX Edges</t>
  </si>
  <si>
    <t>Small</t>
  </si>
  <si>
    <t>X-Large</t>
  </si>
  <si>
    <t>Management Domain Virtual Network Appliances</t>
  </si>
  <si>
    <t>Management Domain AVI Load Balancer</t>
  </si>
  <si>
    <t>AVI Management Domain</t>
  </si>
  <si>
    <t>Management Domain Security Services Platform</t>
  </si>
  <si>
    <t>Security Serices Platform Management Domain</t>
  </si>
  <si>
    <t>vDefend and AVI Licensing Hub</t>
  </si>
  <si>
    <t>Base with SSP in Management Domain</t>
  </si>
  <si>
    <t>Workload Domain vCenter</t>
  </si>
  <si>
    <t>VCF Workload Domain</t>
  </si>
  <si>
    <t>Workload Domain NSX Managers (Local / Global)</t>
  </si>
  <si>
    <t>Workload Domain AVI Load Balancer</t>
  </si>
  <si>
    <t>AVI Workload Domain</t>
  </si>
  <si>
    <t>Workload Domain Security Services Platform</t>
  </si>
  <si>
    <t>Security Serices Platform Workload Domain</t>
  </si>
  <si>
    <t>VCF services runtime control nodes</t>
  </si>
  <si>
    <t>VCF services runtime worker nodes</t>
  </si>
  <si>
    <t>VCF Operations</t>
  </si>
  <si>
    <t>VCF Automation</t>
  </si>
  <si>
    <t>Log Management</t>
  </si>
  <si>
    <t>VCF Operations for networks</t>
  </si>
  <si>
    <t>VCF Operations for networks collector</t>
  </si>
  <si>
    <t>Real-time Metrics</t>
  </si>
  <si>
    <t>Simple</t>
  </si>
  <si>
    <t>Product</t>
  </si>
  <si>
    <t>Source_Version</t>
  </si>
  <si>
    <t>Target_Version</t>
  </si>
  <si>
    <t>Status</t>
  </si>
  <si>
    <t>Upgrade_Path_Notes</t>
  </si>
  <si>
    <t>Ops</t>
  </si>
  <si>
    <t>VCF Operations 9.1.0.0300</t>
  </si>
  <si>
    <t>VCF Operations 9.1.0.0400</t>
  </si>
  <si>
    <t>Compatible</t>
  </si>
  <si>
    <t>Direct Upgrade Supported</t>
  </si>
  <si>
    <t>VCF Operations 9.1.0.0200</t>
  </si>
  <si>
    <t>VCF Operations 9.1.0.0100</t>
  </si>
  <si>
    <t>VCF Operations 9.1.0.0</t>
  </si>
  <si>
    <t>VCF Operations 9.0.2.0200</t>
  </si>
  <si>
    <t>Incompatible</t>
  </si>
  <si>
    <t>Multi-step required: Upgrade to intermediate release first</t>
  </si>
  <si>
    <t>VCF Operations 9.0.2.0</t>
  </si>
  <si>
    <t>VCF Operations 9.0.1.0</t>
  </si>
  <si>
    <t>VCF Operations 9.0.0.0</t>
  </si>
  <si>
    <t>VCF Operations 8.18.7</t>
  </si>
  <si>
    <t>VCF Operations 8.18.6</t>
  </si>
  <si>
    <t>VCF Operations 8.18.5</t>
  </si>
  <si>
    <t>VCF Operations 8.18.4</t>
  </si>
  <si>
    <t>VCF Operations 8.18.3</t>
  </si>
  <si>
    <t>VCF Operations 8.18.2</t>
  </si>
  <si>
    <t>VCF Operations 8.18.1</t>
  </si>
  <si>
    <t>VCF Operations 8.18.0</t>
  </si>
  <si>
    <t>Ops_Networks</t>
  </si>
  <si>
    <t>VCF Operations for networks 9.1.0.0100</t>
  </si>
  <si>
    <t>VCF Operations for networks 9.1.0.0200</t>
  </si>
  <si>
    <t>VCF Operations for networks 9.1.0.0</t>
  </si>
  <si>
    <t>VCF Operations for networks 9.0.2.0</t>
  </si>
  <si>
    <t>VCF Operations for networks 9.0.1.0</t>
  </si>
  <si>
    <t>VCF Operations for networks 9.0.0.0</t>
  </si>
  <si>
    <t>VCF Operations for networks 6.14.3</t>
  </si>
  <si>
    <t>VCF Operations for networks 6.14.2</t>
  </si>
  <si>
    <t>VCF Operations for networks 6.14.1</t>
  </si>
  <si>
    <t>VCF Operations for networks 6.14.0</t>
  </si>
  <si>
    <t>VCF Operations for networks 6.13.0</t>
  </si>
  <si>
    <t>NSX</t>
  </si>
  <si>
    <t>VMware NSX 9.1.0.0100</t>
  </si>
  <si>
    <t>VMware NSX 9.1.0.0200</t>
  </si>
  <si>
    <t>VMware NSX 9.1.0.0</t>
  </si>
  <si>
    <t>VMware NSX 9.0.2.0</t>
  </si>
  <si>
    <t>VMware NSX 9.0.1.0</t>
  </si>
  <si>
    <t>VMware NSX 9.0.0.0</t>
  </si>
  <si>
    <t>VMware NSX 4.2.4.1</t>
  </si>
  <si>
    <t>VMware NSX 4.2.4</t>
  </si>
  <si>
    <t>VMware NSX 4.2.3.3</t>
  </si>
  <si>
    <t>VMware NSX 4.2.3.2</t>
  </si>
  <si>
    <t>VMware NSX 4.2.3.1</t>
  </si>
  <si>
    <t>VMware NSX 4.2.3</t>
  </si>
  <si>
    <t>VMware NSX 4.2.2.2</t>
  </si>
  <si>
    <t>VMware NSX 4.2.2.1</t>
  </si>
  <si>
    <t>VMware NSX 4.2.2.0</t>
  </si>
  <si>
    <t>VMware NSX 4.2.1.4</t>
  </si>
  <si>
    <t>VMware NSX 4.2.1.3</t>
  </si>
  <si>
    <t>VMware NSX 4.2.1.2</t>
  </si>
  <si>
    <t>VMware NSX 4.2.1.1</t>
  </si>
  <si>
    <t>VMware NSX 4.2.1.0</t>
  </si>
  <si>
    <t>VMware NSX 4.2.0.2</t>
  </si>
  <si>
    <t>VMware NSX 4.2.0.1</t>
  </si>
  <si>
    <t>VMware NSX 4.2.0.0</t>
  </si>
  <si>
    <t>VMware NSX 4.1.2.7</t>
  </si>
  <si>
    <t>VMware NSX 4.1.2.6</t>
  </si>
  <si>
    <t>VMware NSX 4.1.2.5</t>
  </si>
  <si>
    <t>VMware NSX 4.1.2.4</t>
  </si>
  <si>
    <t>VMware NSX 4.1.2.3</t>
  </si>
  <si>
    <t>VMware NSX 4.1.2.1</t>
  </si>
  <si>
    <t>VMware NSX 4.1.2.0</t>
  </si>
  <si>
    <t>VMware NSX 4.1.1.1</t>
  </si>
  <si>
    <t>VMware NSX 4.1.1.0</t>
  </si>
  <si>
    <t>VMware NSX 4.1.0.2</t>
  </si>
  <si>
    <t>VMware NSX 4.1.0.0</t>
  </si>
  <si>
    <t>VMware NSX 4.0.1.1</t>
  </si>
  <si>
    <t>VMware NSX 4.0.0.1</t>
  </si>
  <si>
    <t>VMware NSX 3.2.5.2</t>
  </si>
  <si>
    <t>VMware NSX 3.2.5.1</t>
  </si>
  <si>
    <t>VMware NSX 3.2.5</t>
  </si>
  <si>
    <t>VMware NSX 3.2.4.3</t>
  </si>
  <si>
    <t>VMware NSX 3.2.4.2</t>
  </si>
  <si>
    <t>VMware NSX 3.2.4.1</t>
  </si>
  <si>
    <t>VMware NSX 3.2.4</t>
  </si>
  <si>
    <t>VMware NSX 3.2.3.2</t>
  </si>
  <si>
    <t>VMware NSX 3.2.3.1</t>
  </si>
  <si>
    <t>VMware NSX 3.2.3</t>
  </si>
  <si>
    <t>VMware NSX 3.2.2.1</t>
  </si>
  <si>
    <t>VMware NSX 3.2.1.2</t>
  </si>
  <si>
    <t>SDDC</t>
  </si>
  <si>
    <t>SDDC Manager 9.1.0.0300</t>
  </si>
  <si>
    <t>SDDC Manager 9.1.0.0400</t>
  </si>
  <si>
    <t>SDDC Manager 9.1.0.0200</t>
  </si>
  <si>
    <t>SDDC Manager 9.1.0.0100</t>
  </si>
  <si>
    <t>SDDC Manager 9.1.0.0</t>
  </si>
  <si>
    <t>SDDC Manager 9.0.2.0100</t>
  </si>
  <si>
    <t>SDDC Manager 9.0.2.0</t>
  </si>
  <si>
    <t>SDDC Manager 9.0.1.0</t>
  </si>
  <si>
    <t>SDDC Manager 9.0.0.0</t>
  </si>
  <si>
    <t>SDDC Manager 5.2.4.0</t>
  </si>
  <si>
    <t>SDDC Manager 5.2.3.0</t>
  </si>
  <si>
    <t>SDDC Manager 5.2.2</t>
  </si>
  <si>
    <t>SDDC Manager 5.2.1.2</t>
  </si>
  <si>
    <t>SDDC Manager 5.2.1.1</t>
  </si>
  <si>
    <t>SDDC Manager 5.2.1</t>
  </si>
  <si>
    <t>SDDC Manager 5.2.0</t>
  </si>
  <si>
    <t>SDDC Manager 5.1.1</t>
  </si>
  <si>
    <t>SDDC Manager 5.1</t>
  </si>
  <si>
    <t>SDDC Manager 5.0.0.1</t>
  </si>
  <si>
    <t>SDDC Manager 5</t>
  </si>
  <si>
    <t>SDDC Manager 4.5.2</t>
  </si>
  <si>
    <t>SDDC Manager 4.5.1</t>
  </si>
  <si>
    <t>SDDC Manager 4.5</t>
  </si>
  <si>
    <t>SDDC Manager 4.4.1.1</t>
  </si>
  <si>
    <t>SDDC Manager 4.4.1.0</t>
  </si>
  <si>
    <t>SDDC Manager 4.4.0.0</t>
  </si>
  <si>
    <t>SDDC Manager 4.3.1.1</t>
  </si>
  <si>
    <t>SDDC Manager 4.3.1.0</t>
  </si>
  <si>
    <t>SDDC Manager 4.3.0.0</t>
  </si>
  <si>
    <t>SDDC Manager 4.2.1</t>
  </si>
  <si>
    <t>SDDC Manager 4.2.0.0</t>
  </si>
  <si>
    <t>SDDC Manager 4.1.0.0</t>
  </si>
  <si>
    <t>Automation</t>
  </si>
  <si>
    <t>VCF Automation 9.1.0.0100</t>
  </si>
  <si>
    <t>VCF Automation 9.1.0.0200</t>
  </si>
  <si>
    <t>VCF Automation 9.1.0.0</t>
  </si>
  <si>
    <t>VCF Automation 9.0.2.0200</t>
  </si>
  <si>
    <t>VCF Automation 9.0.2.0100</t>
  </si>
  <si>
    <t>VCF Automation 9.0.2.0</t>
  </si>
  <si>
    <t>VCF Automation 9.0.1.0</t>
  </si>
  <si>
    <t>VCF Automation 9.0.0.0</t>
  </si>
  <si>
    <t>VCF Automation 8.18.1 Patch 5</t>
  </si>
  <si>
    <t>VCF Automation 8.18.1 Patch 4</t>
  </si>
  <si>
    <t>VCF Automation 8.18.1 Patch 3</t>
  </si>
  <si>
    <t>VCF Automation 8.18.1 Patch 2</t>
  </si>
  <si>
    <t>VCF Automation 8.18.1 Patch 1</t>
  </si>
  <si>
    <t>VCF Automation 8.18.1</t>
  </si>
  <si>
    <t>Logs</t>
  </si>
  <si>
    <t>Log management 9.1.0.0100</t>
  </si>
  <si>
    <t>Log management 9.1.0.0400</t>
  </si>
  <si>
    <t>Log management 9.1.0.0</t>
  </si>
  <si>
    <t>Log management 9.0.2.0200</t>
  </si>
  <si>
    <t>Log management 9.0.2.0</t>
  </si>
  <si>
    <t>Log management 9.0.1.0</t>
  </si>
  <si>
    <t>Log management 9.0.0.0</t>
  </si>
  <si>
    <t>Log management 8.18.7</t>
  </si>
  <si>
    <t>Log management 8.18.6</t>
  </si>
  <si>
    <t>Log management 8.18.5</t>
  </si>
  <si>
    <t>Log management 8.18.4</t>
  </si>
  <si>
    <t>Log management 8.18.3</t>
  </si>
  <si>
    <t>Log management 8.18.1</t>
  </si>
  <si>
    <t>Log management 8.18.0</t>
  </si>
  <si>
    <t>VKS_Service</t>
  </si>
  <si>
    <t>vSphere Kubernetes Service 3.6.3+1.35</t>
  </si>
  <si>
    <t>vSphere Kubernetes Service 3.7.0+v1.36</t>
  </si>
  <si>
    <t>vSphere Kubernetes Service 3.6.2+v1.35</t>
  </si>
  <si>
    <t>vSphere Kubernetes Service 3.6.1+v1.35</t>
  </si>
  <si>
    <t>vSphere Kubernetes Service 3.6.0+v1.35</t>
  </si>
  <si>
    <t>vSphere Kubernetes Service 3.5.1+v1.34</t>
  </si>
  <si>
    <t>vSphere Kubernetes Service 3.5.0+v1.34</t>
  </si>
  <si>
    <t>vSphere Kubernetes Service 3.4.2+v1.33</t>
  </si>
  <si>
    <t>vSphere Kubernetes Service 3.4.1+v1.33</t>
  </si>
  <si>
    <t>vSphere Kubernetes Service 3.4.0+v1.33</t>
  </si>
  <si>
    <t>vSphere Kubernetes Service 3.3.3</t>
  </si>
  <si>
    <t>vSphere Kubernetes Service 3.3.2</t>
  </si>
  <si>
    <t>vSphere Kubernetes Service 3.3.1</t>
  </si>
  <si>
    <t>vSphere Kubernetes Service 3.3.0</t>
  </si>
  <si>
    <t>vSphere Kubernetes Service 3.2.0</t>
  </si>
  <si>
    <t>vSphere Kubernetes Service 3.1.1</t>
  </si>
  <si>
    <t>vSphere Kubernetes Service 3.1.0</t>
  </si>
  <si>
    <t>VKS_Release</t>
  </si>
  <si>
    <t>vSphere Kubernetes releases 1.35.5</t>
  </si>
  <si>
    <t>vSphere Kubernetes releases 1.36.1</t>
  </si>
  <si>
    <t>vSphere Kubernetes releases 1.35.2</t>
  </si>
  <si>
    <t>vSphere Kubernetes releases 1.35.0</t>
  </si>
  <si>
    <t>vSphere Kubernetes releases 1.34.8</t>
  </si>
  <si>
    <t>vSphere Kubernetes releases 1.34.2</t>
  </si>
  <si>
    <t>vSphere Kubernetes releases 1.34.1</t>
  </si>
  <si>
    <t>vSphere Kubernetes releases 1.33.6</t>
  </si>
  <si>
    <t>vSphere Kubernetes releases 1.33.3</t>
  </si>
  <si>
    <t>vSphere Kubernetes releases 1.33.1</t>
  </si>
  <si>
    <t>vSphere Kubernetes releases 1.32.10</t>
  </si>
  <si>
    <t>vSphere Kubernetes releases 1.32.7</t>
  </si>
  <si>
    <t>vSphere Kubernetes releases 1.32.3</t>
  </si>
  <si>
    <t>vSphere Kubernetes releases 1.32.0</t>
  </si>
  <si>
    <t>vSphere Kubernetes releases 1.31.14</t>
  </si>
  <si>
    <t>vSphere Kubernetes releases 1.31.11</t>
  </si>
  <si>
    <t>vSphere Kubernetes releases 1.31.7</t>
  </si>
  <si>
    <t>vSphere Kubernetes releases 1.31.4</t>
  </si>
  <si>
    <t>vSphere Kubernetes releases 1.31.1</t>
  </si>
  <si>
    <t>ESX</t>
  </si>
  <si>
    <t>VMware ESX 9.1.0.0100</t>
  </si>
  <si>
    <t>VMware ESX 9.1.0.0200</t>
  </si>
  <si>
    <t>VMware ESX 9.1.0.0</t>
  </si>
  <si>
    <t>VMware ESX 9.0.2.0100</t>
  </si>
  <si>
    <t>VMware ESX 9.0.2.0</t>
  </si>
  <si>
    <t>VMware ESX 9.0.1.0</t>
  </si>
  <si>
    <t>VMware ESX 9.0.0.0100</t>
  </si>
  <si>
    <t>VMware ESX 9.0.0.0</t>
  </si>
  <si>
    <t>VMware ESX 8.0U3k</t>
  </si>
  <si>
    <t>VMware ESX 8.0U3j</t>
  </si>
  <si>
    <t>VMware ESX 8.0U3i</t>
  </si>
  <si>
    <t>VMware ESX 8.0U3h</t>
  </si>
  <si>
    <t>VMware ESX 8.0U3g</t>
  </si>
  <si>
    <t>VMware ESX 8.0U3f</t>
  </si>
  <si>
    <t>VMware ESX 8.0U3e</t>
  </si>
  <si>
    <t>VMware ESX 8.0U3d</t>
  </si>
  <si>
    <t>VMware ESX 8.0U3c</t>
  </si>
  <si>
    <t>VMware ESX 8.0U3b</t>
  </si>
  <si>
    <t>VMware ESX 8.0U3</t>
  </si>
  <si>
    <t>VMware ESX 8.0U2f</t>
  </si>
  <si>
    <t>VMware ESX 8.0U2e</t>
  </si>
  <si>
    <t>VMware ESX 8.0U2d</t>
  </si>
  <si>
    <t>VMware ESX 8.0U2c</t>
  </si>
  <si>
    <t>VMware ESX 8.0U2b</t>
  </si>
  <si>
    <t>VMware ESX 8.0U2</t>
  </si>
  <si>
    <t>VMware ESX 8.0U1d</t>
  </si>
  <si>
    <t>VMware ESX 8.0U1c</t>
  </si>
  <si>
    <t>VMware ESX 8.0U1a</t>
  </si>
  <si>
    <t>VMware ESX 8.0U1</t>
  </si>
  <si>
    <t>VMware ESX 8.0c</t>
  </si>
  <si>
    <t>VMware ESX 8.0b</t>
  </si>
  <si>
    <t>VMware ESX 8.0a</t>
  </si>
  <si>
    <t>VMware ESX 8.0</t>
  </si>
  <si>
    <t>vCenter</t>
  </si>
  <si>
    <t>VMware vCenter 9.1.0.0200</t>
  </si>
  <si>
    <t>VMware vCenter 9.1.0.0300</t>
  </si>
  <si>
    <t>VMware vCenter 9.1.0.0100</t>
  </si>
  <si>
    <t>VMware vCenter 9.1.0.0</t>
  </si>
  <si>
    <t>VMware vCenter 9.0.2.0100</t>
  </si>
  <si>
    <t>VMware vCenter 9.0.2.0</t>
  </si>
  <si>
    <t>VMware vCenter 9.0.1.0</t>
  </si>
  <si>
    <t>VMware vCenter 9.0.0.0</t>
  </si>
  <si>
    <t>VMware vCenter 8.0U3k</t>
  </si>
  <si>
    <t>VMware vCenter 8.0U3j</t>
  </si>
  <si>
    <t>VMware vCenter 8.0U3i</t>
  </si>
  <si>
    <t>VMware vCenter 8.0U3h</t>
  </si>
  <si>
    <t>VMware vCenter 8.0U3g</t>
  </si>
  <si>
    <t>VMware vCenter 8.0U3e</t>
  </si>
  <si>
    <t>VMware vCenter 8.0U3d</t>
  </si>
  <si>
    <t>VMware vCenter 8.0U3c</t>
  </si>
  <si>
    <t>VMware vCenter 8.0U3b</t>
  </si>
  <si>
    <t>VMware vCenter 8.0U3a</t>
  </si>
  <si>
    <t>VMware vCenter 8.0U3</t>
  </si>
  <si>
    <t>VMware vCenter 8.0U2f</t>
  </si>
  <si>
    <t>VMware vCenter 8.0U2e</t>
  </si>
  <si>
    <t>VMware vCenter 8.0U2d</t>
  </si>
  <si>
    <t>VMware vCenter 8.0U2c</t>
  </si>
  <si>
    <t>VMware vCenter 8.0U2b</t>
  </si>
  <si>
    <t>VMware vCenter 8.0U2a</t>
  </si>
  <si>
    <t>VMware vCenter 8.0U2</t>
  </si>
  <si>
    <t>VMware vCenter 8.0U1e</t>
  </si>
  <si>
    <t>VMware vCenter 8.0U1d</t>
  </si>
  <si>
    <t>VMware vCenter 8.0U1c</t>
  </si>
  <si>
    <t>VMware vCenter 8.0U1b</t>
  </si>
  <si>
    <t>VMware vCenter 8.0U1a</t>
  </si>
  <si>
    <t>VMware vCenter 8.0U1</t>
  </si>
  <si>
    <t>VMware vCenter 8.0.0c</t>
  </si>
  <si>
    <t>VMware vCenter 8.0.0b</t>
  </si>
  <si>
    <t>VMware vCenter 8.0.0a</t>
  </si>
  <si>
    <t>VMware vCenter 8.0</t>
  </si>
  <si>
    <t xml:space="preserve"> </t>
  </si>
  <si>
    <t>Static Reference Tables</t>
  </si>
  <si>
    <t>The following values are used for lookups throughout the rest of the workbook</t>
  </si>
  <si>
    <t>Sizing Value References</t>
  </si>
  <si>
    <t>Include / Exclude</t>
  </si>
  <si>
    <t>Constant</t>
  </si>
  <si>
    <t>Value</t>
  </si>
  <si>
    <t>Include</t>
  </si>
  <si>
    <t>vCenter Appliance Size List</t>
  </si>
  <si>
    <t>Tiny</t>
  </si>
  <si>
    <t>Exclude</t>
  </si>
  <si>
    <t>Excluded</t>
  </si>
  <si>
    <t>Yes / No</t>
  </si>
  <si>
    <t xml:space="preserve">Instance </t>
  </si>
  <si>
    <t>First Instance</t>
  </si>
  <si>
    <t>Additional Instance</t>
  </si>
  <si>
    <t>VVF</t>
  </si>
  <si>
    <t>Deploy a new VCF fleet</t>
  </si>
  <si>
    <t>Deploy a VCF Instance in an existing VCF fleet</t>
  </si>
  <si>
    <t>Deploy new VMware vSphere Foundation</t>
  </si>
  <si>
    <t>XLarge</t>
  </si>
  <si>
    <t>Create Workload Domain</t>
  </si>
  <si>
    <t>vCenter Storage Size List</t>
  </si>
  <si>
    <t>Default</t>
  </si>
  <si>
    <t>Create Cluster</t>
  </si>
  <si>
    <t>Deployment Type</t>
  </si>
  <si>
    <t>Deploy deferred components</t>
  </si>
  <si>
    <t>Full Instance</t>
  </si>
  <si>
    <t>NSX-T Manager Size List</t>
  </si>
  <si>
    <t>Extra_Small</t>
  </si>
  <si>
    <t>None Chosen</t>
  </si>
  <si>
    <t>Workload Domain</t>
  </si>
  <si>
    <t>Cluster</t>
  </si>
  <si>
    <t>One Or More VVDs</t>
  </si>
  <si>
    <t>NSX-T Edge Size List</t>
  </si>
  <si>
    <t>NSX Edge Small</t>
  </si>
  <si>
    <t>NSX Edge Medium</t>
  </si>
  <si>
    <t>NSX Edge Large</t>
  </si>
  <si>
    <t>NSX Edge XLarge</t>
  </si>
  <si>
    <t>VNA Small</t>
  </si>
  <si>
    <t>VNA Medium</t>
  </si>
  <si>
    <t>VNA Large</t>
  </si>
  <si>
    <t>VNA XLarge</t>
  </si>
  <si>
    <t>Lookup Tables</t>
  </si>
  <si>
    <t>CPU</t>
  </si>
  <si>
    <t>RAM</t>
  </si>
  <si>
    <t>Disk</t>
  </si>
  <si>
    <t>vCenter Appliance CPU</t>
  </si>
  <si>
    <t>vCenter Appliance RAM</t>
  </si>
  <si>
    <t>vCenter Disk</t>
  </si>
  <si>
    <t>TinyDefault</t>
  </si>
  <si>
    <t>TinyLarge</t>
  </si>
  <si>
    <t>TinyXLarge</t>
  </si>
  <si>
    <t>SmallDefault</t>
  </si>
  <si>
    <t>SmallLarge</t>
  </si>
  <si>
    <t>SmallXLarge</t>
  </si>
  <si>
    <t>MediumDefault</t>
  </si>
  <si>
    <t>MediumLarge</t>
  </si>
  <si>
    <t>MediumXLarge</t>
  </si>
  <si>
    <t>LargeDefault</t>
  </si>
  <si>
    <t>LargeLarge</t>
  </si>
  <si>
    <t>LargeXLarge</t>
  </si>
  <si>
    <t>XLargeDefault</t>
  </si>
  <si>
    <t>XLargeLarge</t>
  </si>
  <si>
    <t>XLargeXLarge</t>
  </si>
  <si>
    <t>NSX-T Manager CPU</t>
  </si>
  <si>
    <t>NSX-T Manager RAM</t>
  </si>
  <si>
    <t>NSX-T Manager Disk</t>
  </si>
  <si>
    <t>NSX-T Edge CPU</t>
  </si>
  <si>
    <t>NSX-T Edge RAM</t>
  </si>
  <si>
    <t>NSX-T Edge Disk</t>
  </si>
  <si>
    <t>Identity Broker CPU</t>
  </si>
  <si>
    <t>Identity Broker RAM</t>
  </si>
  <si>
    <t>Identity Broker Disk</t>
  </si>
  <si>
    <t>VCF Automation CPU</t>
  </si>
  <si>
    <t>VCF Automation RAM</t>
  </si>
  <si>
    <t>VCF Automation Disk</t>
  </si>
  <si>
    <t>vRLI CPU</t>
  </si>
  <si>
    <t>vRLI RAM</t>
  </si>
  <si>
    <t>vRLI Disk</t>
  </si>
  <si>
    <t>VCF Operations CPU</t>
  </si>
  <si>
    <t>Extra Small</t>
  </si>
  <si>
    <t>Extra Large</t>
  </si>
  <si>
    <t>VCF Operations RAM</t>
  </si>
  <si>
    <t>VCF Operations Disk</t>
  </si>
  <si>
    <t>VCF Operations Proxy CPU</t>
  </si>
  <si>
    <t>VCF Operations Proxy RAM</t>
  </si>
  <si>
    <t>VCF Operations Proxy Disk</t>
  </si>
  <si>
    <t>VRMS CPU</t>
  </si>
  <si>
    <t>Light</t>
  </si>
  <si>
    <t>Standard</t>
  </si>
  <si>
    <t>VRMS RAM</t>
  </si>
  <si>
    <t>VRMS Disk</t>
  </si>
  <si>
    <t>SRM CPU</t>
  </si>
  <si>
    <t>SRM RAM</t>
  </si>
  <si>
    <t>SRM Disk</t>
  </si>
  <si>
    <t>Health Reporting and Monitoring - HVM</t>
  </si>
  <si>
    <t>VCF Operations for networks CPU</t>
  </si>
  <si>
    <t>VCF Operations for networks RAM</t>
  </si>
  <si>
    <t xml:space="preserve">VCF Operations for networks DISK </t>
  </si>
  <si>
    <t>VCF Operations for networks - Collector CPU</t>
  </si>
  <si>
    <t>Extra Extra Large</t>
  </si>
  <si>
    <t>VCF Operations for networks - Collector RAM</t>
  </si>
  <si>
    <t xml:space="preserve">VCF Operations for networks - Collecter DISK </t>
  </si>
  <si>
    <t>Cloud-Based Ransomware</t>
  </si>
  <si>
    <t>Cross-Cloud Mobility - HCX Conn</t>
  </si>
  <si>
    <t>AVI Load Balancer CPU</t>
  </si>
  <si>
    <t>AVI Load Balancer Ram</t>
  </si>
  <si>
    <t>AVI Load Balancer Disk</t>
  </si>
  <si>
    <t>SSP CPU</t>
  </si>
  <si>
    <t xml:space="preserve">SSP RAM </t>
  </si>
  <si>
    <t>SSP Disk</t>
  </si>
  <si>
    <t xml:space="preserve">Deployment model </t>
  </si>
  <si>
    <t xml:space="preserve">SSP License </t>
  </si>
  <si>
    <t>Storage</t>
  </si>
  <si>
    <t>Deployment Size Control Node</t>
  </si>
  <si>
    <t>High Availability</t>
  </si>
  <si>
    <t>VCFMS Control Node CPU</t>
  </si>
  <si>
    <t>Small HA</t>
  </si>
  <si>
    <t xml:space="preserve">VCFMS Control Node RAM </t>
  </si>
  <si>
    <t>VCFMS Control Node Disk</t>
  </si>
  <si>
    <t>VCFMS Worker Node</t>
  </si>
  <si>
    <t>VCFMS Worker Node CPU</t>
  </si>
  <si>
    <t xml:space="preserve">VCFMS Worker Node RAM </t>
  </si>
  <si>
    <t>VCFMS Worker Node Disk</t>
  </si>
  <si>
    <t>CIDR</t>
  </si>
  <si>
    <t>Mask</t>
  </si>
  <si>
    <t>255.255.255.255</t>
  </si>
  <si>
    <t>255.255.255.254</t>
  </si>
  <si>
    <t>255.255.255.252</t>
  </si>
  <si>
    <t>255.255.255.248</t>
  </si>
  <si>
    <t>255.255.255.240</t>
  </si>
  <si>
    <t>255.255.255.224</t>
  </si>
  <si>
    <t>255.255.255.192</t>
  </si>
  <si>
    <t>255.255.255.128</t>
  </si>
  <si>
    <t>255.255.255.0</t>
  </si>
  <si>
    <t>255.255.254.0</t>
  </si>
  <si>
    <t>255.255.252.0</t>
  </si>
  <si>
    <t>255.255.248.0</t>
  </si>
  <si>
    <t>255.255.240.0</t>
  </si>
  <si>
    <t>255.255.224.0</t>
  </si>
  <si>
    <t>255.255.192.0</t>
  </si>
  <si>
    <t>255.255.128.0</t>
  </si>
  <si>
    <t>255.255.0.0</t>
  </si>
  <si>
    <t>255.254.0.0</t>
  </si>
  <si>
    <t>255.252.0.0</t>
  </si>
  <si>
    <t>255.248.0.0</t>
  </si>
  <si>
    <t>255.240.0.0</t>
  </si>
  <si>
    <t>255.224.0.0</t>
  </si>
  <si>
    <t>255.192.0.0</t>
  </si>
  <si>
    <t>255.128.0.0</t>
  </si>
  <si>
    <t>255.0.0.0</t>
  </si>
  <si>
    <t>254.0.0.0</t>
  </si>
  <si>
    <t>252.0.0.0</t>
  </si>
  <si>
    <t>248.0.0.0</t>
  </si>
  <si>
    <t>240.0.0.0</t>
  </si>
  <si>
    <t>224.0.0.0</t>
  </si>
  <si>
    <t>192.0.0.0</t>
  </si>
  <si>
    <t>128.0.0.0</t>
  </si>
  <si>
    <t>0.0.0.0</t>
  </si>
  <si>
    <t>NSX-T Deployment</t>
  </si>
  <si>
    <t>Shared</t>
  </si>
  <si>
    <t>Dedicated - Single Node</t>
  </si>
  <si>
    <t>Dedicated - HA Cluster</t>
  </si>
  <si>
    <t>Workload Domain Type</t>
  </si>
  <si>
    <t>N/A</t>
  </si>
  <si>
    <t>AMD Opteron Generation 1 (Rev. E)</t>
  </si>
  <si>
    <t>AMD Opteron Generation 2 (Rev. F)</t>
  </si>
  <si>
    <t>AMD Opteron Generation 3 (Greyhound)</t>
  </si>
  <si>
    <t>AMD Opteron Generation 3 (no 3Dnow!) (Greyhound)</t>
  </si>
  <si>
    <t>AMD Opteron Generation 4 (Bulldozer)</t>
  </si>
  <si>
    <t>AMD Opteron "Piledriver" Generation</t>
  </si>
  <si>
    <t>AMD Opteron "Steamroller" Generation</t>
  </si>
  <si>
    <t>AMD "Zen" Generation</t>
  </si>
  <si>
    <t>AMD "Zen 2" Generation</t>
  </si>
  <si>
    <t>AMD "Zen 3" Generation</t>
  </si>
  <si>
    <t>AMD "Zen 4" Generation</t>
  </si>
  <si>
    <t>Intel "Merom" Generation (Intel Xeon Core 2)</t>
  </si>
  <si>
    <t>Intel "Penryn" Generation (Intel Xeon 45nm Core2)</t>
  </si>
  <si>
    <t>Intel "Nehalem" Generation (Intel Xeon Core i7)</t>
  </si>
  <si>
    <t>Intel "Westmere" Generation (Intel Xeon 32nm Core i7)</t>
  </si>
  <si>
    <t>Intel "Sandy Bridge" Generation</t>
  </si>
  <si>
    <t>Intel "Ivy Bridge" Generation</t>
  </si>
  <si>
    <t>Intel "Haswell" Generation</t>
  </si>
  <si>
    <t>Intel "Broadwell" Generation</t>
  </si>
  <si>
    <t>Intel "Skylake" Generation</t>
  </si>
  <si>
    <t>Intel "Cascade Lake" Generation</t>
  </si>
  <si>
    <t>Intel "Ice Lake" Generation</t>
  </si>
  <si>
    <t>Intel "Sapphire Rapids" Generation</t>
  </si>
  <si>
    <t>MGMT Domain 5.x Storage Option</t>
  </si>
  <si>
    <t>vSAN-ESA</t>
  </si>
  <si>
    <t>vSAN-OSA</t>
  </si>
  <si>
    <t>WLD Domain 5.x Storage Option</t>
  </si>
  <si>
    <t>vSAN Storage Cluster</t>
  </si>
  <si>
    <t>vSAN Compute Cluster</t>
  </si>
  <si>
    <t>NFSv3</t>
  </si>
  <si>
    <t>VMFS on Fibre Channel (FC)</t>
  </si>
  <si>
    <t>vSphere Lifecycle Manager - OSA</t>
  </si>
  <si>
    <t>Images</t>
  </si>
  <si>
    <t>Baselines</t>
  </si>
  <si>
    <t>vSphere Lifecycle Manager  - ESA</t>
  </si>
  <si>
    <t xml:space="preserve">AWS Regions </t>
  </si>
  <si>
    <t>Asia Pacific (Osaka)</t>
  </si>
  <si>
    <t>Asia Pacific (Mumbai)</t>
  </si>
  <si>
    <t>Asia Pacific (Hyderabad)</t>
  </si>
  <si>
    <t>Asia Pacific (Singapore)</t>
  </si>
  <si>
    <t>Asia Pacific (Sydney)</t>
  </si>
  <si>
    <t>Asia Pacific (Jakarta)</t>
  </si>
  <si>
    <t>Asia Pacific (Melbourne)</t>
  </si>
  <si>
    <t>Canada (Central)</t>
  </si>
  <si>
    <t>China (Beijing)</t>
  </si>
  <si>
    <t>China (Ningxia)</t>
  </si>
  <si>
    <t>Europe (Frankfurt)</t>
  </si>
  <si>
    <t>Europe (Zurich)</t>
  </si>
  <si>
    <t>Europe (Stockholm)</t>
  </si>
  <si>
    <t>Europe (Milan)</t>
  </si>
  <si>
    <t>Europe (Spain)</t>
  </si>
  <si>
    <t>Europe (Ireland)</t>
  </si>
  <si>
    <t>Europe (London)</t>
  </si>
  <si>
    <t>Europe (Paris)</t>
  </si>
  <si>
    <t>Israel (Tel Aviv)</t>
  </si>
  <si>
    <t>Middle East (UAE)</t>
  </si>
  <si>
    <t>Middle East (Bahrain)</t>
  </si>
  <si>
    <t>South America (Sao Paulo)</t>
  </si>
  <si>
    <t>US East (N. Virginia)</t>
  </si>
  <si>
    <t>US East (Ohio)</t>
  </si>
  <si>
    <t>AWS GovCloud (US-East)</t>
  </si>
  <si>
    <t>AWS GovCloud (US-West)</t>
  </si>
  <si>
    <t xml:space="preserve">US West (N. California) </t>
  </si>
  <si>
    <t>US West (Oregon)</t>
  </si>
  <si>
    <t xml:space="preserve">Storage FTT </t>
  </si>
  <si>
    <t>Auto-Policy management</t>
  </si>
  <si>
    <t>Cluster Type</t>
  </si>
  <si>
    <t>Dedicated Compute</t>
  </si>
  <si>
    <t>Dedicated Edge</t>
  </si>
  <si>
    <t>Shared Edge and Compute</t>
  </si>
  <si>
    <t>Rack number Include / Exclude</t>
  </si>
  <si>
    <t>LAG Load Balancing</t>
  </si>
  <si>
    <t>Source MAC</t>
  </si>
  <si>
    <t>Destination MAC</t>
  </si>
  <si>
    <t>Source and destination MAC</t>
  </si>
  <si>
    <t>Destination IP and vLAN</t>
  </si>
  <si>
    <t>Source IP and vLAN</t>
  </si>
  <si>
    <t>Source and destination IP and vLAN</t>
  </si>
  <si>
    <t>Destination TCP/UDP port</t>
  </si>
  <si>
    <t>Source TCP/UDP port</t>
  </si>
  <si>
    <t>Source and destination TCP/UDP port</t>
  </si>
  <si>
    <t>Destination IP and TCP/UDP port</t>
  </si>
  <si>
    <t>Source IP and TCP/UDP port</t>
  </si>
  <si>
    <t>Source and destination IP and TCP/UDP port</t>
  </si>
  <si>
    <t>Destination IP and TCP/UDP port and vLAN</t>
  </si>
  <si>
    <t>Source IP and TCP/UDP port and vLAN</t>
  </si>
  <si>
    <t>Source and destination IP and TCP/UDP port and vLAN</t>
  </si>
  <si>
    <t>Destination IP</t>
  </si>
  <si>
    <t>Source IP</t>
  </si>
  <si>
    <t>Source and destination IP</t>
  </si>
  <si>
    <t>vLAN</t>
  </si>
  <si>
    <t>vLAN source port ID</t>
  </si>
  <si>
    <t>vCenter Size</t>
  </si>
  <si>
    <t>Supported Limits</t>
  </si>
  <si>
    <t>10 Hosts 100 VMs</t>
  </si>
  <si>
    <t>100 Hosts 1000 VMs</t>
  </si>
  <si>
    <t>400 Hosts - 4000 VM</t>
  </si>
  <si>
    <t>1000 Hosts - 10000 VMs</t>
  </si>
  <si>
    <t>2000 Hosts - 35000 VMS</t>
  </si>
  <si>
    <t>NSX Size</t>
  </si>
  <si>
    <t>Cloud Service Manager Only</t>
  </si>
  <si>
    <t>POC only</t>
  </si>
  <si>
    <t>128 Hosts - 5 vSphere Clusters</t>
  </si>
  <si>
    <t>1024 Hosts - 256 vSphere Clusters</t>
  </si>
  <si>
    <t>2048 Hosts - 512 vSphere Clusters</t>
  </si>
  <si>
    <t>vSAN MAX VDS Profile</t>
  </si>
  <si>
    <t>Standard VDS Profile</t>
  </si>
  <si>
    <t>VVF VDS Profile</t>
  </si>
  <si>
    <t>vSAN Max Storage Traffic Separation</t>
  </si>
  <si>
    <t>vSAN Max Storage Traffic and NSX Traffic Separation</t>
  </si>
  <si>
    <t>Storage Traffic Separation</t>
  </si>
  <si>
    <t>NSX Traffic Separation</t>
  </si>
  <si>
    <t>Custom Switch Configuration</t>
  </si>
  <si>
    <t>Storage Traffic and NSX Traffic Separation</t>
  </si>
  <si>
    <t xml:space="preserve">NSX GM Size calcualtions </t>
  </si>
  <si>
    <t>New</t>
  </si>
  <si>
    <t>Old</t>
  </si>
  <si>
    <t>input_vvs_dr_ntp1_server</t>
  </si>
  <si>
    <t>input_vvs_dr_ntp1_ip</t>
  </si>
  <si>
    <t>cluster_vsan_type_chosen</t>
  </si>
  <si>
    <t>input_cluster_vsan_type</t>
  </si>
  <si>
    <t>flt_vidb_chosen</t>
  </si>
  <si>
    <t>input_flt_vidb_deployment_mode</t>
  </si>
  <si>
    <t>mgmt_vns_chosen</t>
  </si>
  <si>
    <t>input_mgmt_ec_gateway_type</t>
  </si>
  <si>
    <t>wld_cl01_vsan_client_network_chosen</t>
  </si>
  <si>
    <t>input_wld_cl01_vsan_client_network_chosen</t>
  </si>
  <si>
    <t>vvs_dr_flt_logs_nodea_hostname</t>
  </si>
  <si>
    <t>input_xreg_logs_nodea_hostname</t>
  </si>
  <si>
    <t>vvs_dr_flt_logs_nodeb_hostname</t>
  </si>
  <si>
    <t>input_xreg_logs_nodeb_hostname</t>
  </si>
  <si>
    <t>vvs_dr_flt_logs_nodec_hostname</t>
  </si>
  <si>
    <t>input_xreg_logs_nodec_hostname</t>
  </si>
  <si>
    <t>vvs_dr_flt_net_nodea_hostname</t>
  </si>
  <si>
    <t>input_xreg_net_nodea_hostname</t>
  </si>
  <si>
    <t>vvs_dr_flt_net_nodeb_hostname</t>
  </si>
  <si>
    <t>input_xreg_net_nodeb_hostname</t>
  </si>
  <si>
    <t>input_xreg_net_nodec_hostname</t>
  </si>
  <si>
    <t>vvs_dr_flt_fleet_manager_hostname</t>
  </si>
  <si>
    <t>input_xreg_vrops_flt_hostname</t>
  </si>
  <si>
    <t>wld_multirack_calc</t>
  </si>
  <si>
    <t>wld_multirack_chosen</t>
  </si>
  <si>
    <t>cluster_vsan_type</t>
  </si>
  <si>
    <t>wld_cl01_vsan_client_network</t>
  </si>
  <si>
    <t xml:space="preserve"> sample_mgmt_nsxt_gm_vip_ip</t>
  </si>
  <si>
    <t>sample_mgmt_nsxt_gm_ip</t>
  </si>
  <si>
    <t>input_mgmt_nsxt_gm_vip_ip</t>
  </si>
  <si>
    <t>input_mgmt_nsxt_gm_ip</t>
  </si>
  <si>
    <t>mgmt_nsxt_gm_vip_ip</t>
  </si>
  <si>
    <t>mgmt_nsxt_gm_ip</t>
  </si>
  <si>
    <t>sample_mgmt_nsxt_vip_ip</t>
  </si>
  <si>
    <t>sample_mgmt_nsxt_ip</t>
  </si>
  <si>
    <t>input_mgmt_nsxt_vip_ip</t>
  </si>
  <si>
    <t>input_mgmt_nsxt_ip</t>
  </si>
  <si>
    <t>mgmt_nsxt_vip_ip</t>
  </si>
  <si>
    <t>mgmt_nsxt_ip</t>
  </si>
  <si>
    <t>sample_wld_nsxt_gm_vip_ip</t>
  </si>
  <si>
    <t>sample_wld_nsxt_gm_ip</t>
  </si>
  <si>
    <t>input_wld_nsxt_gm_vip_ip</t>
  </si>
  <si>
    <t>input_wld_nsxt_gm_ip</t>
  </si>
  <si>
    <t>wld_nsxt_gm_vip_ip</t>
  </si>
  <si>
    <t>wld_nsxt_gm_ip</t>
  </si>
  <si>
    <t>sample_wld_nsxt_vip_ip</t>
  </si>
  <si>
    <t>sample_wld_nsxt_ip</t>
  </si>
  <si>
    <t>input_wld_nsxt_vip_ip</t>
  </si>
  <si>
    <t>input_wld_nsxt_ip</t>
  </si>
  <si>
    <t>wld_nsxt_vip_ip</t>
  </si>
  <si>
    <t>mgmt_wld_ip</t>
  </si>
  <si>
    <t>sample_flt_vidb_vip_fqdn</t>
  </si>
  <si>
    <t>sample_flt_vidb_fqdn</t>
  </si>
  <si>
    <t>input_flt_vidb_vip_fqdn</t>
  </si>
  <si>
    <t>input_flt_vidb_fqdn</t>
  </si>
  <si>
    <t>flt_vidb_vip_fqdn</t>
  </si>
  <si>
    <t>flt_vidb_fqdn</t>
  </si>
  <si>
    <t>mgmt_nsxt_appliance_size_chosen</t>
  </si>
  <si>
    <t>sizing_m01_nsxt_model_chosen</t>
  </si>
  <si>
    <t>wld_nsxt_appliance_size_chosen</t>
  </si>
  <si>
    <t xml:space="preserve">sizing_wld_nsxt_model_chosen </t>
  </si>
  <si>
    <t>mgmt_vcenter_appliance_size_chosen</t>
  </si>
  <si>
    <t xml:space="preserve">sizing_m01_vcenter_appliance_size_chosen </t>
  </si>
  <si>
    <t>mgmt_vcenter_appliance_storage_size_chosen</t>
  </si>
  <si>
    <t>sizing_m01_vcenter_storage_size_chosen</t>
  </si>
  <si>
    <t>mgmt_vcfops_appliance_size_chosen</t>
  </si>
  <si>
    <t>xreg_vrops_appliance_size_chosen</t>
  </si>
  <si>
    <t>Added Stuff</t>
  </si>
  <si>
    <t>pnp_version_history</t>
  </si>
  <si>
    <t>9.0 PnP Fields</t>
  </si>
  <si>
    <t>Fleet Deployment CIDR</t>
  </si>
  <si>
    <t>Network Traffic: NSX</t>
  </si>
  <si>
    <t>Fleet Deployment Network</t>
  </si>
  <si>
    <t>Transport Zones</t>
  </si>
  <si>
    <t>Fleet Deployment Gateway IP</t>
  </si>
  <si>
    <t>Transport Zone Name</t>
  </si>
  <si>
    <t>Fleet Deployment Mask</t>
  </si>
  <si>
    <t>Pool name</t>
  </si>
  <si>
    <t>Fleet Deployment MTU</t>
  </si>
  <si>
    <t>Description</t>
  </si>
  <si>
    <t>ESX Host Overlay TEP IP Pool</t>
  </si>
  <si>
    <t>Fleet Deployment VLANID</t>
  </si>
  <si>
    <t>Fleet management appliance</t>
  </si>
  <si>
    <t>Moved Stuff</t>
  </si>
  <si>
    <t>Use same password as VCF Operations</t>
  </si>
  <si>
    <t>Unselected</t>
  </si>
  <si>
    <t>Child DNS Zone</t>
  </si>
  <si>
    <t>vSAN Witness DNS Zone</t>
  </si>
  <si>
    <t>VCF-A</t>
  </si>
  <si>
    <t>DNS Server 1 (Cross-Instance Components)</t>
  </si>
  <si>
    <t xml:space="preserve">Certifcate </t>
  </si>
  <si>
    <t>DNS Server 2 (Cross-Instance Components)</t>
  </si>
  <si>
    <t>Add Certifcate</t>
  </si>
  <si>
    <t>Generate Certificate</t>
  </si>
  <si>
    <t>Domain Controller</t>
  </si>
  <si>
    <t>Alias</t>
  </si>
  <si>
    <t>SMTP Server</t>
  </si>
  <si>
    <t>smtp.rainpole.io</t>
  </si>
  <si>
    <t>Certificate File</t>
  </si>
  <si>
    <t>SMTP Server Port</t>
  </si>
  <si>
    <t>Common Name (CN)</t>
  </si>
  <si>
    <t>NTP Server 1 (Cross-Instance Components)</t>
  </si>
  <si>
    <t>Organization (O)</t>
  </si>
  <si>
    <t>Rainpole</t>
  </si>
  <si>
    <t>NTP Server 2 (Cross-Instance Components)</t>
  </si>
  <si>
    <t>Organization (OU)</t>
  </si>
  <si>
    <t>IT</t>
  </si>
  <si>
    <t>Country Code (C)</t>
  </si>
  <si>
    <t>US</t>
  </si>
  <si>
    <t>Locality (L)</t>
  </si>
  <si>
    <t>San Francisco</t>
  </si>
  <si>
    <t>State (ST)</t>
  </si>
  <si>
    <t>CA</t>
  </si>
  <si>
    <t>Key Length</t>
  </si>
  <si>
    <t>4096</t>
  </si>
  <si>
    <t>Select Certificate</t>
  </si>
  <si>
    <t xml:space="preserve">Infrastructure </t>
  </si>
  <si>
    <t>Select vCenter Server</t>
  </si>
  <si>
    <t>Select Cluster</t>
  </si>
  <si>
    <t>Select Folder</t>
  </si>
  <si>
    <t>Must be available in vCenter prior to running workflow</t>
  </si>
  <si>
    <t>Select Resource Pool</t>
  </si>
  <si>
    <t>Select Network</t>
  </si>
  <si>
    <t>Select Datastore</t>
  </si>
  <si>
    <t>Domain Name</t>
  </si>
  <si>
    <t>Domain Search Path</t>
  </si>
  <si>
    <t>DNS Servers</t>
  </si>
  <si>
    <t>Time Sync Mode</t>
  </si>
  <si>
    <t>Use NTP Server</t>
  </si>
  <si>
    <t>NTP Servers</t>
  </si>
  <si>
    <t>Default IPv4 Gateway</t>
  </si>
  <si>
    <t>IPv4 Netmask</t>
  </si>
  <si>
    <t xml:space="preserve">Components </t>
  </si>
  <si>
    <t>VMware System User Password  Alias</t>
  </si>
  <si>
    <t>flt-auto01-admin-password</t>
  </si>
  <si>
    <t>VMware System User Password Description</t>
  </si>
  <si>
    <t>VCF Automation Admin Password</t>
  </si>
  <si>
    <t>VMware System Username</t>
  </si>
  <si>
    <t>admin</t>
  </si>
  <si>
    <t>Root Password Alias</t>
  </si>
  <si>
    <t>Root Password</t>
  </si>
  <si>
    <t>VMw@re1!VMw@re1!</t>
  </si>
  <si>
    <t>Root Password Description</t>
  </si>
  <si>
    <t>VCF Automation root Password</t>
  </si>
  <si>
    <t>Root Username</t>
  </si>
  <si>
    <t>root</t>
  </si>
  <si>
    <t>vCenter Server List</t>
  </si>
  <si>
    <t>MGMT Exisitng NSX-GM</t>
  </si>
  <si>
    <t>FQDN</t>
  </si>
  <si>
    <t xml:space="preserve">Cross instance Tier 0 </t>
  </si>
  <si>
    <t>Controller Type</t>
  </si>
  <si>
    <t>Internal Load Balancer</t>
  </si>
  <si>
    <t>Node Prefix</t>
  </si>
  <si>
    <t>flt-auto</t>
  </si>
  <si>
    <t>VCF Automation virtual machines will be deployed with flt-auto-&lt;generated id&gt;</t>
  </si>
  <si>
    <t>Primary VIP</t>
  </si>
  <si>
    <t>Rack2</t>
  </si>
  <si>
    <t>Input</t>
  </si>
  <si>
    <t>Rack3</t>
  </si>
  <si>
    <t>Rack4</t>
  </si>
  <si>
    <t>Rack5</t>
  </si>
  <si>
    <t>Rack6</t>
  </si>
  <si>
    <t>Rack7</t>
  </si>
  <si>
    <t>Rack8</t>
  </si>
  <si>
    <t>Internal Cluster CIDR</t>
  </si>
  <si>
    <t>192.18.0.0/15</t>
  </si>
  <si>
    <t>The CIDR used for pods running the internal Kubernetes cluster</t>
  </si>
  <si>
    <t>VLAN Uplink1</t>
  </si>
  <si>
    <t>Additional VIPs</t>
  </si>
  <si>
    <t>VLAN Uplink2</t>
  </si>
  <si>
    <t>Cluster Node IP Pool #1</t>
  </si>
  <si>
    <t>VLAN Edge Overlay</t>
  </si>
  <si>
    <t>Cluster Node IP Pool #2</t>
  </si>
  <si>
    <t>Network Uplink1</t>
  </si>
  <si>
    <t>Cluster Node IP Pool #3</t>
  </si>
  <si>
    <t>Network Uplink2</t>
  </si>
  <si>
    <t>Cluster Node IP Pool #4</t>
  </si>
  <si>
    <t>Network Edge Overlay</t>
  </si>
  <si>
    <t>Cluster Node IP Pool #5</t>
  </si>
  <si>
    <t>Gateway Uplink1</t>
  </si>
  <si>
    <t>Cluster Node IP Pool #6</t>
  </si>
  <si>
    <t>Gateway Uplink2</t>
  </si>
  <si>
    <t>Gateway Edge Overlay</t>
  </si>
  <si>
    <t>Mask Uplink1</t>
  </si>
  <si>
    <t>Mask Uplink2</t>
  </si>
  <si>
    <t>Mask Edge Overlay</t>
  </si>
  <si>
    <t>MTU Uplink1</t>
  </si>
  <si>
    <t>MTU Uplink2</t>
  </si>
  <si>
    <t>MTU Edge Overlay</t>
  </si>
  <si>
    <t>Edge Overlay Pool: Start IP</t>
  </si>
  <si>
    <t>Edge Overlay Pool: End IP</t>
  </si>
  <si>
    <t>NSX Edge Nodes Autonomous System ID</t>
  </si>
  <si>
    <t>Top of Rack 1 - IP Address</t>
  </si>
  <si>
    <t>Top of Rack 1 - Autonomous System ID</t>
  </si>
  <si>
    <t>Top of Rack 1 - BGP Neighbor Password</t>
  </si>
  <si>
    <t>VMw@re1!</t>
  </si>
  <si>
    <t>Top of Rack 2 - IP Address</t>
  </si>
  <si>
    <t>Top of Rack 2 - Autonomous System ID</t>
  </si>
  <si>
    <t>Top of Rack 2 - BGP Neighbor Password</t>
  </si>
  <si>
    <t xml:space="preserve">       VMware Cloud Foundation Network Value Reference Tables</t>
  </si>
  <si>
    <t>Transposed and Calculated Values. All values are named cells for reference in other areas of the Workbook</t>
  </si>
  <si>
    <t>Bundle Download</t>
  </si>
  <si>
    <t>MGMT Rack 1 VLANs  (Primary AZ)</t>
  </si>
  <si>
    <t>Rack 1 VLANs  (Primary AZ)</t>
  </si>
  <si>
    <t>Rack 2 VLANs  (Primary AZ)</t>
  </si>
  <si>
    <t>Rack 3 VLANs  (Primary AZ)</t>
  </si>
  <si>
    <t>Rack 4 VLANs  (Primary AZ)</t>
  </si>
  <si>
    <t>Rack 5 VLANs  (Primary AZ)</t>
  </si>
  <si>
    <t>Rack 6 VLANs  (Primary AZ)</t>
  </si>
  <si>
    <t>Rack 7  VLANs  (Primary AZ)</t>
  </si>
  <si>
    <t>Rack 8 VLANs  (Primary AZ)</t>
  </si>
  <si>
    <t>Modifiers</t>
  </si>
  <si>
    <t>Name</t>
  </si>
  <si>
    <t>AZ1 Actual Value</t>
  </si>
  <si>
    <t>WLD Rack2 AZ1 Host VLAN Prefix</t>
  </si>
  <si>
    <t xml:space="preserve">Depot Type </t>
  </si>
  <si>
    <t>Management VM Network</t>
  </si>
  <si>
    <t>WLD Rack 2 AZ2 Host VLAN Prefix</t>
  </si>
  <si>
    <t>Hostname</t>
  </si>
  <si>
    <t xml:space="preserve">ESXi Management Network </t>
  </si>
  <si>
    <t>WLD Rack 2  AZ1 Host CIDR Prefix</t>
  </si>
  <si>
    <t>Port</t>
  </si>
  <si>
    <t>vMotion Network</t>
  </si>
  <si>
    <t>WLD Rack 2 AZ2 Host CIDR Prefix</t>
  </si>
  <si>
    <t>Password</t>
  </si>
  <si>
    <t>vSAN Network</t>
  </si>
  <si>
    <t>Proxy Configuration</t>
  </si>
  <si>
    <t>NSX Host Overlay</t>
  </si>
  <si>
    <t>Protocol</t>
  </si>
  <si>
    <t>Secondary Storage Network (NFS)</t>
  </si>
  <si>
    <t>Internet Proxy Chosen</t>
  </si>
  <si>
    <t xml:space="preserve">VCF Management Network </t>
  </si>
  <si>
    <t xml:space="preserve">vSAN Network - vSAN Storage Cluster </t>
  </si>
  <si>
    <t>Proxy Address</t>
  </si>
  <si>
    <t>NSX Edge Uplink 1</t>
  </si>
  <si>
    <t xml:space="preserve">Proxy Port </t>
  </si>
  <si>
    <t>NSX Edge Uplink 2</t>
  </si>
  <si>
    <t>Proxy Authentication</t>
  </si>
  <si>
    <t>NSX Edge Overlay</t>
  </si>
  <si>
    <t>Start ASN</t>
  </si>
  <si>
    <t>Username</t>
  </si>
  <si>
    <t>NSX RTEP Overlay</t>
  </si>
  <si>
    <t>Instance 1</t>
  </si>
  <si>
    <t>vSphere Replication</t>
  </si>
  <si>
    <t>asn_mgmt_az1</t>
  </si>
  <si>
    <t>asn_mgmt_az2</t>
  </si>
  <si>
    <t>General Info</t>
  </si>
  <si>
    <t>MGMT Rack 1 Network CIDRs  (Primary AZ)</t>
  </si>
  <si>
    <t>Rack 1 Network CIDRs  (Primary AZ)</t>
  </si>
  <si>
    <t>Rack 2 Network CIDRs  (Primary AZ)</t>
  </si>
  <si>
    <t>Rack 3 Network CIDRs  (Primary AZ)</t>
  </si>
  <si>
    <t>Rack 4 Network CIDRs  (Primary AZ)</t>
  </si>
  <si>
    <t>Rack 5 Network CIDRs (Primary AZ)</t>
  </si>
  <si>
    <t>Rack 6 Network CIDRs  (Primary AZ)</t>
  </si>
  <si>
    <t>Rack 7 Network CIDRs  (Primary AZ)</t>
  </si>
  <si>
    <t>Rack 8 Network CIDRs  (Primary AZ)</t>
  </si>
  <si>
    <t>asn_wld_az1</t>
  </si>
  <si>
    <t>asn_wld_az2</t>
  </si>
  <si>
    <t>Instance Name</t>
  </si>
  <si>
    <t>Version</t>
  </si>
  <si>
    <t xml:space="preserve">Deployment Model </t>
  </si>
  <si>
    <t>Password Creation Auto-generate passwords</t>
  </si>
  <si>
    <t>FLT-MGR use Use same password as VCF Operations</t>
  </si>
  <si>
    <t>VCF Management Network</t>
  </si>
  <si>
    <t>Deployment Parameters</t>
  </si>
  <si>
    <t>DNS</t>
  </si>
  <si>
    <t>Zone name</t>
  </si>
  <si>
    <t>Server #1</t>
  </si>
  <si>
    <t>Server #2</t>
  </si>
  <si>
    <t>NTP</t>
  </si>
  <si>
    <t>MGMT Rack 1 Network (Primary AZ)</t>
  </si>
  <si>
    <t>Rack 1 Network   (Primary AZ)</t>
  </si>
  <si>
    <t>Rack 2 Network (Primary AZ)</t>
  </si>
  <si>
    <t>Rack 3 Network (Primary AZ)</t>
  </si>
  <si>
    <t>Rack 4 Network (Primary AZ)</t>
  </si>
  <si>
    <t>Rack 5 Network (Primary AZ)</t>
  </si>
  <si>
    <t>Rack 6 Network (Primary AZ)</t>
  </si>
  <si>
    <t>Rack 7 Network (Primary AZ)</t>
  </si>
  <si>
    <t>Rack 8 Network (Primary AZ)</t>
  </si>
  <si>
    <t>Server #3</t>
  </si>
  <si>
    <t>Enable Customer Experience Improvement Program (CEIP)</t>
  </si>
  <si>
    <t>Appliance Size</t>
  </si>
  <si>
    <t>Appliance Storage Size</t>
  </si>
  <si>
    <t>Datacenter name</t>
  </si>
  <si>
    <t>Cluster name</t>
  </si>
  <si>
    <t>MGMT Netmask   (Primary AZ)</t>
  </si>
  <si>
    <t>Rack 1 Netmask   (Primary AZ)</t>
  </si>
  <si>
    <t>Rack 2 Netmask (Primary AZ)</t>
  </si>
  <si>
    <t>Rack 3 Netmask (Primary AZ)</t>
  </si>
  <si>
    <t>Rack 4 Netmask (Primary AZ)</t>
  </si>
  <si>
    <t>Rack 5 Netmask (Primary AZ)</t>
  </si>
  <si>
    <t>Rack 6 Netmask (Primary AZ)</t>
  </si>
  <si>
    <t>Rack 7 Netmask (Primary AZ)</t>
  </si>
  <si>
    <t>Rack 8 Netmask (Primary AZ)</t>
  </si>
  <si>
    <t>Appliance 1 FQDN</t>
  </si>
  <si>
    <t>Appliance 2 FQDN</t>
  </si>
  <si>
    <t>Appliance 3 FQDN</t>
  </si>
  <si>
    <t>Appliance Cluster FQDN</t>
  </si>
  <si>
    <t>Principal Storage Network (vSAN-ESA)</t>
  </si>
  <si>
    <t>Operations Collector appliance FQDN</t>
  </si>
  <si>
    <t>mgmt_az1_vcf_mgmt_network</t>
  </si>
  <si>
    <t>MGMT Rack 1 Network MTU  (Primary AZ)</t>
  </si>
  <si>
    <t>Rack 1 Network MTU  (Primary AZ)</t>
  </si>
  <si>
    <t>Rack 2 Network MTU  (Primary AZ)</t>
  </si>
  <si>
    <t>Rack 3 Network MTU  (Primary AZ)</t>
  </si>
  <si>
    <t>Rack 4 Network MTU  (Primary AZ)</t>
  </si>
  <si>
    <t>Rack 5 Network MTU  (Primary AZ)</t>
  </si>
  <si>
    <t>Rack 6 Network MTU  (Primary AZ)</t>
  </si>
  <si>
    <t>Rack 7 Network MTU  (Primary AZ)</t>
  </si>
  <si>
    <t>Rack 8 Network MTU  (Primary AZ)</t>
  </si>
  <si>
    <t>MGMT Rack 1 Network Gateways  (Primary AZ)</t>
  </si>
  <si>
    <t>Rack 1 Network Gateways  (Primary AZ)</t>
  </si>
  <si>
    <t>Rack 2 Network Gateways  (Primary AZ)</t>
  </si>
  <si>
    <t>Rack 3 Network Gateways  (Primary AZ)</t>
  </si>
  <si>
    <t>Rack 4 Network Gateways  (Primary AZ)</t>
  </si>
  <si>
    <t>Rack 5 Network Gateways  (Primary AZ)</t>
  </si>
  <si>
    <t>Rack 6 Network Gateways  (Primary AZ)</t>
  </si>
  <si>
    <t>Rack 7 Network Gateways  (Primary AZ)</t>
  </si>
  <si>
    <t>Rack 8 Network Gateways  (Primary AZ)</t>
  </si>
  <si>
    <t>MGMT Rack 1 Network Gateways CIDRs (Primary AZ)</t>
  </si>
  <si>
    <t>WLD Rack 1 Network Gateways CIDRs (Primary AZ)</t>
  </si>
  <si>
    <t>MGMT Rack 1 BGP Requirements  (Primary AZ)</t>
  </si>
  <si>
    <t>Rack 1 BGP Requirements  (Primary AZ)</t>
  </si>
  <si>
    <t>Rack 2 BGP Requirements  (Primary AZ)</t>
  </si>
  <si>
    <t>Rack 3 BGP Requirements  (Primary AZ)</t>
  </si>
  <si>
    <t>Rack 4 BGP Requirements  (Primary AZ)</t>
  </si>
  <si>
    <t>Rack 5 BGP Requirements  (Primary AZ)</t>
  </si>
  <si>
    <t>Rack 6 BGP Requirements  (Primary AZ)</t>
  </si>
  <si>
    <t>Rack 7 BGP Requirements  (Primary AZ)</t>
  </si>
  <si>
    <t>Rack 8 BGP Requirements  (Primary AZ)</t>
  </si>
  <si>
    <t>MGMT Rack 1 Portgroup Names  (Primary AZ)</t>
  </si>
  <si>
    <t>Rack 1 Primary Cluster Portgroup Names  (Primary AZ)</t>
  </si>
  <si>
    <t>Rack 2 Portgroup Configuration  (Primary AZ)</t>
  </si>
  <si>
    <t>Rack 3 Switch Portgroup  (Primary AZ)</t>
  </si>
  <si>
    <t>Rack 4 Switch Configuration  (Primary AZ)</t>
  </si>
  <si>
    <t>Rack 5 Switch Configuration  (Primary AZ)</t>
  </si>
  <si>
    <t>Rack 6 Switch Configuration  (Primary AZ)</t>
  </si>
  <si>
    <t>Rack 7 Switch Configuration  (Primary AZ)</t>
  </si>
  <si>
    <t>Rack 8 Switch Configuration  (Primary AZ)</t>
  </si>
  <si>
    <t>NSX RTEP Overaly</t>
  </si>
  <si>
    <t xml:space="preserve">NFS Network </t>
  </si>
  <si>
    <t xml:space="preserve">vSAN Client Network </t>
  </si>
  <si>
    <t>MGMT Rack 1 Portgroup uplink  (Primary AZ)</t>
  </si>
  <si>
    <t>Rack 1 uplink  (Primary AZ)</t>
  </si>
  <si>
    <t>Management VM Network Uplink1</t>
  </si>
  <si>
    <t>Management VM Network Uplink2</t>
  </si>
  <si>
    <t>ESXi Management Network Uplink1</t>
  </si>
  <si>
    <t>ESXi Management Network Uplink2</t>
  </si>
  <si>
    <t>vMotion Network Uplink1</t>
  </si>
  <si>
    <t>vMotion Network Uplink2</t>
  </si>
  <si>
    <t>vSAN Network Uplink1</t>
  </si>
  <si>
    <t>vSAN Network Uplink2</t>
  </si>
  <si>
    <t>NSX Network Uplink1</t>
  </si>
  <si>
    <t>NSX Network Uplink2</t>
  </si>
  <si>
    <t>NFS Network Uplink1</t>
  </si>
  <si>
    <t>vSAN Client Network Uplink1</t>
  </si>
  <si>
    <t>NFS Network Uplink2</t>
  </si>
  <si>
    <t>MGMT Rack 1 LBT  (Primary AZ)</t>
  </si>
  <si>
    <t>Rack 1 LBT  (Primary AZ)</t>
  </si>
  <si>
    <t>Management VM Network LBT</t>
  </si>
  <si>
    <t>ESX Management Network LBT</t>
  </si>
  <si>
    <t>vMotion LBT</t>
  </si>
  <si>
    <t>vSAN LBT</t>
  </si>
  <si>
    <t xml:space="preserve">NSX Management Network </t>
  </si>
  <si>
    <t>vSAN Client Network LBT</t>
  </si>
  <si>
    <t>NFS Network LBT</t>
  </si>
  <si>
    <t>MGMT Rack 1 Network Pool Ranges (Primary AZ)</t>
  </si>
  <si>
    <t>Rack 1 Network Pool Ranges (Primary AZ)</t>
  </si>
  <si>
    <t>Rack 2 Network Pool Ranges (Primary AZ)</t>
  </si>
  <si>
    <t>Rack 3 Network Pool Ranges (Primary AZ)</t>
  </si>
  <si>
    <t>Rack 4 Network Pool Ranges (Primary AZ)</t>
  </si>
  <si>
    <t>Rack 5 Network Pool Ranges (Primary AZ)</t>
  </si>
  <si>
    <t>Rack 6 Network Pool Ranges (Primary AZ)</t>
  </si>
  <si>
    <t>Rack 7 Network Pool Ranges (Primary AZ)</t>
  </si>
  <si>
    <t>Rack 8 Network Pool Ranges (Primary AZ)</t>
  </si>
  <si>
    <t>Your Value</t>
  </si>
  <si>
    <t>vMotion Pool: Start IP</t>
  </si>
  <si>
    <t>vMotion Pool: End IP</t>
  </si>
  <si>
    <t>vSAN Pool: Start IP</t>
  </si>
  <si>
    <t>vSAN Pool: End IP</t>
  </si>
  <si>
    <t>Host Overlay Pool: Start IP</t>
  </si>
  <si>
    <t>Host Overlay Pool: End IP</t>
  </si>
  <si>
    <t>Secondary Storage Network Pool (NFS): Start IP</t>
  </si>
  <si>
    <t>Secondary Storage Network Pool (NFS): End IP</t>
  </si>
  <si>
    <t>vSAN Network - vSAN Storage Cluster: Start IP</t>
  </si>
  <si>
    <t>vSAN Network - vSAN Storage Cluster: End IP</t>
  </si>
  <si>
    <t>RTEP Overlay Pool: Start IP</t>
  </si>
  <si>
    <t>RTEP Overlay Pool: End IP</t>
  </si>
  <si>
    <t>MGMT Rack 1 Profiles</t>
  </si>
  <si>
    <t>Rack 1 Profiles</t>
  </si>
  <si>
    <t>Rack 2 Profiles</t>
  </si>
  <si>
    <t>Rack 3 Profiles</t>
  </si>
  <si>
    <t>Rack 4 Profiles</t>
  </si>
  <si>
    <t>Rack 5 Profiles</t>
  </si>
  <si>
    <t>Rack 6 Profiles</t>
  </si>
  <si>
    <t>Rack 7 Profiles</t>
  </si>
  <si>
    <t>Rack 8 Profiles</t>
  </si>
  <si>
    <t>Network Pool Name</t>
  </si>
  <si>
    <t xml:space="preserve"> Network Pool  Name</t>
  </si>
  <si>
    <t>Overlay Network Profile Name</t>
  </si>
  <si>
    <t>Host Overlay Network Pool Description</t>
  </si>
  <si>
    <t>Host Overlay Network Pool Name</t>
  </si>
  <si>
    <t>Overlay Network Pool Name</t>
  </si>
  <si>
    <t>NSX-Overlay Transport Zone</t>
  </si>
  <si>
    <t>NSX Overlay Transport Zone</t>
  </si>
  <si>
    <t>Overlay Uplink Profile Name</t>
  </si>
  <si>
    <t>Edge Overlay Network Pool Name</t>
  </si>
  <si>
    <t>RTEP Network  Pool Name</t>
  </si>
  <si>
    <t>vSAN Fault Domain</t>
  </si>
  <si>
    <t>MGMT Rack 1 Subnet Masks (Calculated)  (Primary AZ)</t>
  </si>
  <si>
    <t>Rack 1 Subnet Masks (Calculated)  (Primary AZ)</t>
  </si>
  <si>
    <t>Rack2 Subnet Masks (Calculated)  (Primary AZ)</t>
  </si>
  <si>
    <t>Rack3 Subnet Masks (Calculated)  (Primary AZ)</t>
  </si>
  <si>
    <t>Subnet Masks (Calculated)  (Primary AZ)</t>
  </si>
  <si>
    <t>Rack1 AZ1 Mgmt VM Mgmt Network</t>
  </si>
  <si>
    <t>WLD Rack1 AZ1 Mgmt VM Mgmt Network</t>
  </si>
  <si>
    <t>WLD Rack 2 AZ1 Mgmt VM Mgmt Network</t>
  </si>
  <si>
    <t>WLD Rack 3 AZ1 Mgmt VM Mgmt Network</t>
  </si>
  <si>
    <t>WLD Rack 4 AZ1 Mgmt VM Mgmt Network</t>
  </si>
  <si>
    <t>WLD Rack 5 AZ1 Mgmt VM Mgmt Network</t>
  </si>
  <si>
    <t>WLD Rack 6 AZ1 Mgmt VM Mgmt Network</t>
  </si>
  <si>
    <t>WLD Rack 7 AZ1 Mgmt VM Mgmt Network</t>
  </si>
  <si>
    <t>WLD Rack 8 AZ1 Mgmt VM Mgmt Network</t>
  </si>
  <si>
    <t>Rack1 AZ1 ESXI Management Network</t>
  </si>
  <si>
    <t>WLD Rack1 AZ1 ESXI Management Network</t>
  </si>
  <si>
    <t>WLD Rack 2 AZ1 ESXI Management Network</t>
  </si>
  <si>
    <t>WLD Rack 3 AZ1 ESXI Management Network</t>
  </si>
  <si>
    <t>WLD Rack 4 AZ1 ESXI Management Network</t>
  </si>
  <si>
    <t>WLD Rack 5 AZ1 ESXI Management Network</t>
  </si>
  <si>
    <t>WLD Rack 6 AZ1 ESXI Management Network</t>
  </si>
  <si>
    <t>WLD Rack 7 AZ1 ESXI Management Network</t>
  </si>
  <si>
    <t>WLD Rack 8 AZ1 ESXI Management Network</t>
  </si>
  <si>
    <t>MGMT Rack 1 IP Addresses (Primary AZ)</t>
  </si>
  <si>
    <t>Rack 1 IP Addresses (Primary AZ)</t>
  </si>
  <si>
    <t>Rack 2 IP Addresses (Primary AZ)</t>
  </si>
  <si>
    <t>Rack 3 IP Addresses (Primary AZ)</t>
  </si>
  <si>
    <t>Rack 4 IP Addresses (Primary AZ)</t>
  </si>
  <si>
    <t>Rack 5 IP Addresses (Primary AZ)</t>
  </si>
  <si>
    <t>Rack 6 IP Addresses (Primary AZ)</t>
  </si>
  <si>
    <t>Rack 7 IP Addresses (Primary AZ)</t>
  </si>
  <si>
    <t>Rack 8 IP Addresses (Primary AZ)</t>
  </si>
  <si>
    <t>ESXi Node 1 Mgmt IP</t>
  </si>
  <si>
    <t>ESXi Node 2 Mgmt IP</t>
  </si>
  <si>
    <t>ESXi Node 3 Mgmt IP</t>
  </si>
  <si>
    <t>ESXi Node 4 Mgmt IP</t>
  </si>
  <si>
    <t>ESXi Node 5 Mgmt IP</t>
  </si>
  <si>
    <t>ESXi Node 6 Mgmt IP</t>
  </si>
  <si>
    <t>ESXi Node 7 Mgmt IP</t>
  </si>
  <si>
    <t>ESXi Node 8 Mgmt IP</t>
  </si>
  <si>
    <t>ESXi Node 9 Mgmt IP</t>
  </si>
  <si>
    <t>ESXi Node 10 Mgmt IP</t>
  </si>
  <si>
    <t>ESXi Node 11 Mgmt IP</t>
  </si>
  <si>
    <t>ESXi Node 12 Mgmt IP</t>
  </si>
  <si>
    <t>ESXi Node 13 Mgmt IP</t>
  </si>
  <si>
    <t>ESXi Node 14 Mgmt IP</t>
  </si>
  <si>
    <t>ESXi Node 15 Mgmt IP</t>
  </si>
  <si>
    <t>ESXi Node 16 Mgmt IP</t>
  </si>
  <si>
    <t>ESXi Node 1 VRMS IP</t>
  </si>
  <si>
    <t>ESXi Node 2 VRMS IP</t>
  </si>
  <si>
    <t>Rack 2 Hostnames (Primary AZ)</t>
  </si>
  <si>
    <t>Rack 3 Hostnames (Primary AZ)</t>
  </si>
  <si>
    <t>Rack 4 Hostnames (Primary AZ)</t>
  </si>
  <si>
    <t>Rack 5 Hostnames (Primary AZ)</t>
  </si>
  <si>
    <t>Rack 6 Hostnames (Primary AZ)</t>
  </si>
  <si>
    <t>Rack 7 Hostnames (Primary AZ)</t>
  </si>
  <si>
    <t>Rack 8 Hostnames (Primary AZ)</t>
  </si>
  <si>
    <t>ESXi Node 3 VRMS IP</t>
  </si>
  <si>
    <t>ESXi Node 4 VRMS IP</t>
  </si>
  <si>
    <t>ESXi Node 1</t>
  </si>
  <si>
    <t>ESXi Node 5 VRMS IP</t>
  </si>
  <si>
    <t>ESXi Node 2</t>
  </si>
  <si>
    <t>ESXi Node 6 VRMS IP</t>
  </si>
  <si>
    <t>ESXi Node 3</t>
  </si>
  <si>
    <t>ESXi Node 7 VRMS IP</t>
  </si>
  <si>
    <t>ESXi Node 4</t>
  </si>
  <si>
    <t>ESXi Node 8 VRMS IP</t>
  </si>
  <si>
    <t>ESXi Node 5</t>
  </si>
  <si>
    <t>ESXi Node 9 VRMS IP</t>
  </si>
  <si>
    <t>ESXi Node 6</t>
  </si>
  <si>
    <t>ESXi Node 10 VRMS IP</t>
  </si>
  <si>
    <t>ESXi Node 7</t>
  </si>
  <si>
    <t>ESXi Node 11 VRMS IP</t>
  </si>
  <si>
    <t>ESXi Node 8</t>
  </si>
  <si>
    <t>ESXi Node 12 VRMS IP</t>
  </si>
  <si>
    <t>ESXi Node 9</t>
  </si>
  <si>
    <t>ESXi Node 13 VRMS IP</t>
  </si>
  <si>
    <t>ESXi Node 10</t>
  </si>
  <si>
    <t>ESXi Node 14 VRMS IP</t>
  </si>
  <si>
    <t>ESXi Node 11</t>
  </si>
  <si>
    <t>ESXi Node 15 VRMS IP</t>
  </si>
  <si>
    <t>ESXi Node 12</t>
  </si>
  <si>
    <t>ESXi Node 16 VRMS IP</t>
  </si>
  <si>
    <t>ESXi Node 13</t>
  </si>
  <si>
    <t>ESXi Node 14</t>
  </si>
  <si>
    <t>MGMT Rack 1 Hostnames (Primary AZ)</t>
  </si>
  <si>
    <t>Rack 1 Hostnames (Primary AZ)</t>
  </si>
  <si>
    <t>ESXi Node 15</t>
  </si>
  <si>
    <t>ESXi Node 16</t>
  </si>
  <si>
    <t>Rack 2 FQDNs (Primary AZ)</t>
  </si>
  <si>
    <t>Rack 3 FQDNs (Primary AZ)</t>
  </si>
  <si>
    <t>Rack 4 FQDNs (Primary AZ)</t>
  </si>
  <si>
    <t>Rack 5 FQDNs (Primary AZ)</t>
  </si>
  <si>
    <t>Rack 6 FQDNs (Primary AZ)</t>
  </si>
  <si>
    <t>Rack 7 FQDNs (Primary AZ)</t>
  </si>
  <si>
    <t>Rack 8 FQDNs (Primary AZ)</t>
  </si>
  <si>
    <t>MGMT Rack 1 FQDNs (Primary AZ)</t>
  </si>
  <si>
    <t>Rack 1 FQDNs (Primary AZ)</t>
  </si>
  <si>
    <t>Rack 2 Edge Node (Primary AZ)</t>
  </si>
  <si>
    <t>Rack 3 Edge Node (Primary AZ)</t>
  </si>
  <si>
    <t>Rack 4 Edge Node (Primary AZ)</t>
  </si>
  <si>
    <t>Rack 5 Edge Node (Primary AZ)</t>
  </si>
  <si>
    <t>Rack 6 Edge Node (Primary AZ)</t>
  </si>
  <si>
    <t>Rack 7 Edge Node (Primary AZ)</t>
  </si>
  <si>
    <t>Rack 8 Edge Node (Primary AZ)</t>
  </si>
  <si>
    <t>Edge Node Name</t>
  </si>
  <si>
    <t>Edge Node FQDN</t>
  </si>
  <si>
    <t xml:space="preserve">Edge Node MGMT IP </t>
  </si>
  <si>
    <t xml:space="preserve">Edge Node Upink 1 IP </t>
  </si>
  <si>
    <t xml:space="preserve">Edge Node Upink 2 IP </t>
  </si>
  <si>
    <t>Edge Node Overlay IP Address #01</t>
  </si>
  <si>
    <t>Edge Node Overlay IP Address #02</t>
  </si>
  <si>
    <t>MGMT Rack 1 Edge Node (Primary AZ)</t>
  </si>
  <si>
    <t>Rack 1 Edge Node (Primary AZ)</t>
  </si>
  <si>
    <t>Edge Node MGMT CIDR</t>
  </si>
  <si>
    <t>#REF!</t>
  </si>
  <si>
    <t>Edge Node BFD</t>
  </si>
  <si>
    <t>MGMT Rack 1 Edge Node 2 (Primary AZ)</t>
  </si>
  <si>
    <t xml:space="preserve"> Rack 1 Edge Node 2 (Primary AZ)</t>
  </si>
  <si>
    <t>MGMT Rack 1 VLANs  (Secondary AZ)</t>
  </si>
  <si>
    <t>Rack 1 VLANs  (Secondary AZ)</t>
  </si>
  <si>
    <t>AZ 2 Actual Value</t>
  </si>
  <si>
    <t>vSan Network</t>
  </si>
  <si>
    <t>MGMT Rack 1 Network CIDRs  (Secondary AZ)</t>
  </si>
  <si>
    <t>Rack 1 Network CIDRs  (Secondary AZ)</t>
  </si>
  <si>
    <t>AZ2 Actual Value</t>
  </si>
  <si>
    <t>MGMT Rack 1 Network (Secondary AZ)</t>
  </si>
  <si>
    <t>Rack 1 Network (Secondary AZ)</t>
  </si>
  <si>
    <t>MGMT Rack 1 Mask (Secondary AZ)</t>
  </si>
  <si>
    <t>Rack 1 Mask (Secondary AZ)</t>
  </si>
  <si>
    <t>MGMT Rack 1 Network Gateways  (Secondary AZ)</t>
  </si>
  <si>
    <t>Rack 1 Network Gateways  (Secondary AZ)</t>
  </si>
  <si>
    <t>MGMT Rack 1 Network MTU  (Secondary AZ)</t>
  </si>
  <si>
    <t xml:space="preserve"> Rack 1 Network MTU  (Secondary AZ)</t>
  </si>
  <si>
    <t>MGMT Rack 1 BGP Requirements  (Secondary AZ)</t>
  </si>
  <si>
    <t>Rack 1 BGP Requirements  (Secondary AZ)</t>
  </si>
  <si>
    <t>MGMT Rack 1 Portgroup Names  (Secondary AZ)</t>
  </si>
  <si>
    <t>Rack 1 Portgroup Names  (Secondary AZ)</t>
  </si>
  <si>
    <t>MGMT Rack 1 Network Pool Ranges (Secondary AZ)</t>
  </si>
  <si>
    <t>Rack 1 Network Pool Ranges (Secondary AZ)</t>
  </si>
  <si>
    <t>MGMT Rack 1 Host Overlay Profiles (Secondary AZ)</t>
  </si>
  <si>
    <t>MGMT Rack 1 Subnet Masks (Calculated)  (Secondary AZ)</t>
  </si>
  <si>
    <t>Rack 1 Host Overlay Profiles (Secondary AZ)</t>
  </si>
  <si>
    <t>WLD Rack 1 AZ1 vMotion Network</t>
  </si>
  <si>
    <t>WLD Rack 1 Principal Storage Network</t>
  </si>
  <si>
    <t>WLD Rack 1 Uplink 01 Network</t>
  </si>
  <si>
    <t>WLD Rack 1 Uplink 02 Network</t>
  </si>
  <si>
    <t>WLD Rack 1 VRMS Network</t>
  </si>
  <si>
    <t>Rack 1 Subnet Masks (Calculated)  (Secondary AZ)</t>
  </si>
  <si>
    <t>MGMT Rack 1  IP Addresses (Secondary AZ)</t>
  </si>
  <si>
    <t>Rack 1 IP Addresses (Secondary AZ)</t>
  </si>
  <si>
    <t>MGMT Rack 1 Hostnames (Secondary AZ)</t>
  </si>
  <si>
    <t>Rack 1 Hostnames (Secondary AZ)</t>
  </si>
  <si>
    <t>MGMT Rack 1 FQDNs (Secondary AZ)</t>
  </si>
  <si>
    <t>VMware Cloud Builder Infrastructure Details</t>
  </si>
  <si>
    <t xml:space="preserve">Workload Domain Details </t>
  </si>
  <si>
    <t xml:space="preserve">Cluster Operations 							</t>
  </si>
  <si>
    <t>Virtual Infrastructure Usernames</t>
  </si>
  <si>
    <t xml:space="preserve">Management Domain VI Inputs (Primary Availability Zone)								</t>
  </si>
  <si>
    <t xml:space="preserve">Fleet Manager IP Addresses				</t>
  </si>
  <si>
    <t>Developer Ready Infrastructure References</t>
  </si>
  <si>
    <t>Workload Domain Virtual Network Segment Names</t>
  </si>
  <si>
    <t>Subnet Masks (Calculated)</t>
  </si>
  <si>
    <t>Management Domain VLANs</t>
  </si>
  <si>
    <t xml:space="preserve">VCF Installer location </t>
  </si>
  <si>
    <t>Workload Domain Number</t>
  </si>
  <si>
    <t>Sample VCF Installer FQDN</t>
  </si>
  <si>
    <t>Hosts Per Rack</t>
  </si>
  <si>
    <t>Select a Workload Domain Type</t>
  </si>
  <si>
    <t>CA Administrator</t>
  </si>
  <si>
    <t>Cloud Foundation Management Domain Name</t>
  </si>
  <si>
    <t xml:space="preserve">Fleet Manager </t>
  </si>
  <si>
    <t>Kubernetes Management Segment</t>
  </si>
  <si>
    <t>Management Domain WAZ Management Network</t>
  </si>
  <si>
    <t>VM Network (Initial ESXi Install)</t>
  </si>
  <si>
    <t xml:space="preserve">Sample Domain Name </t>
  </si>
  <si>
    <t>rainpole.io</t>
  </si>
  <si>
    <t>Hosts Per Multi Rack WLD</t>
  </si>
  <si>
    <t>Cluster Domain Name</t>
  </si>
  <si>
    <t>SMTP Sender</t>
  </si>
  <si>
    <t>Certificate Authority Model</t>
  </si>
  <si>
    <t>vCenter Server - FQDN</t>
  </si>
  <si>
    <t>Management Uplink 01 Network</t>
  </si>
  <si>
    <t>Sample Child Domain</t>
  </si>
  <si>
    <t>Principal Storage Model</t>
  </si>
  <si>
    <t>Microsoft CA Username</t>
  </si>
  <si>
    <t xml:space="preserve">Fleet Manager Hostname														</t>
  </si>
  <si>
    <t>vCenter Server - Datacenter</t>
  </si>
  <si>
    <t>Management Domain VLANs (Witness Zone)</t>
  </si>
  <si>
    <t>Management Uplink 02 Network</t>
  </si>
  <si>
    <t>Management Domain Portgroup Names</t>
  </si>
  <si>
    <t>PNP Version Number</t>
  </si>
  <si>
    <t>ESX Management Network</t>
  </si>
  <si>
    <t>Virtual Infrastructure Passwords</t>
  </si>
  <si>
    <t>vCenter Server - Cluster</t>
  </si>
  <si>
    <t>Workload Domain AZ1 Management Network</t>
  </si>
  <si>
    <t>Management Domain IP Addresses (Primary AZ)</t>
  </si>
  <si>
    <t>Workload Domain IP Addresses (Primary AZ)</t>
  </si>
  <si>
    <t>VLAN ID</t>
  </si>
  <si>
    <t>Storage Size</t>
  </si>
  <si>
    <t>vCenter Server - vSphere Distributed Switch</t>
  </si>
  <si>
    <t>Management Network</t>
  </si>
  <si>
    <t>Workload Domain WAZ Management Network</t>
  </si>
  <si>
    <t>Gateway</t>
  </si>
  <si>
    <t xml:space="preserve">ESXi: root </t>
  </si>
  <si>
    <t>CEIP</t>
  </si>
  <si>
    <t>vCenter Server - vSAN Storage</t>
  </si>
  <si>
    <t>Workload Uplink 01 Network</t>
  </si>
  <si>
    <t>Management Domain Network CIDRs</t>
  </si>
  <si>
    <t>Private Cloud Installer</t>
  </si>
  <si>
    <t>vCenter Server</t>
  </si>
  <si>
    <t>CIDR Notation</t>
  </si>
  <si>
    <t>vCenter: administrator@vsphere.local</t>
  </si>
  <si>
    <t>NSX Virtual Appliance Size</t>
  </si>
  <si>
    <t xml:space="preserve">Fleet Manager FQDN													</t>
  </si>
  <si>
    <t>NSX Manager - VIP FQDN</t>
  </si>
  <si>
    <t>Management Domain Portgroup Names (Witness Zone)</t>
  </si>
  <si>
    <t>Workload Uplink 02 Network</t>
  </si>
  <si>
    <t>NSX Local Manager Virtual Server</t>
  </si>
  <si>
    <t>MTU</t>
  </si>
  <si>
    <t>vCenter: root</t>
  </si>
  <si>
    <t>NSX Edge Cluster Name</t>
  </si>
  <si>
    <t>NSX Manager - Connected Gateway (Tier 0)</t>
  </si>
  <si>
    <t>Workload VRMS Network</t>
  </si>
  <si>
    <t>NSX Local Manager Node A</t>
  </si>
  <si>
    <t>vMotion</t>
  </si>
  <si>
    <t>NSX: root (lm)</t>
  </si>
  <si>
    <t>NSX Edge Node Applicance Size</t>
  </si>
  <si>
    <t>NSX Manager - Overlay Transport Zone</t>
  </si>
  <si>
    <t>NSX Local Manager Node B</t>
  </si>
  <si>
    <t>NSX: admin (lm)</t>
  </si>
  <si>
    <t>NSX Tier-0 Gateway Name</t>
  </si>
  <si>
    <t>NSX Kubernetes Management Segment Name</t>
  </si>
  <si>
    <t>Management Domain Network Gateways</t>
  </si>
  <si>
    <t>NSX Local Manager Node C</t>
  </si>
  <si>
    <t>NSX: audit (lm)</t>
  </si>
  <si>
    <t>NSX Tier-1 Gateway Name</t>
  </si>
  <si>
    <t>Developer Ready Infrastructure Network Pools (Primary AZ)</t>
  </si>
  <si>
    <t>NSX Kubernetes IP Prefix List Name</t>
  </si>
  <si>
    <t>Management Domain Network CIDRs (Witness Zone)</t>
  </si>
  <si>
    <t>NSX Global Manager Virtual Server</t>
  </si>
  <si>
    <t>NSX: root (en)</t>
  </si>
  <si>
    <t>NSX GM VMCA-Signed Certificate Thumprint</t>
  </si>
  <si>
    <t>NSX Kubernetes IP Route Map Name</t>
  </si>
  <si>
    <t>This Instance</t>
  </si>
  <si>
    <t>NSX Global Manager Node A</t>
  </si>
  <si>
    <t>Netmask</t>
  </si>
  <si>
    <t>NSX: admin (en)</t>
  </si>
  <si>
    <t>NSX GM Cluster ID</t>
  </si>
  <si>
    <t>Edge Cluster</t>
  </si>
  <si>
    <t>Other Instance</t>
  </si>
  <si>
    <t>NSX Global Manager Node B</t>
  </si>
  <si>
    <t>NSX: root (gm)</t>
  </si>
  <si>
    <t>NSX Global Manager Anti-Affinity Rule Name</t>
  </si>
  <si>
    <t>Load Balancer - GE</t>
  </si>
  <si>
    <t>Workload Descriptor</t>
  </si>
  <si>
    <t>Management Domain Network MTU</t>
  </si>
  <si>
    <t>NSX Global Manager Node C</t>
  </si>
  <si>
    <t>NSX: admin (gm)</t>
  </si>
  <si>
    <t>NSX Global Manager Certificate ID</t>
  </si>
  <si>
    <t>Load Balancer - LE</t>
  </si>
  <si>
    <t>Management Domain Network Gateways (Witness Zone)</t>
  </si>
  <si>
    <t>Management AZ1 VLAN Prefix</t>
  </si>
  <si>
    <t>AVI Load Balancer Virtual Server</t>
  </si>
  <si>
    <t>Gateway CIDR</t>
  </si>
  <si>
    <t>NSX: audit (gm)</t>
  </si>
  <si>
    <t>NSX Federation Global Manager Name</t>
  </si>
  <si>
    <t>Developer Ready Infrastructure IPs</t>
  </si>
  <si>
    <t>vCenter Kubernetes Category Name</t>
  </si>
  <si>
    <t>Management AZ1 CIDR Prefix</t>
  </si>
  <si>
    <t>AVI Load Balance Node 1 IP Address</t>
  </si>
  <si>
    <t>IP Range Start:</t>
  </si>
  <si>
    <t>NSX Federation Location Name</t>
  </si>
  <si>
    <t>Harbor Envoy Ingress IP</t>
  </si>
  <si>
    <t>vCenter Kubernetes Tag Name</t>
  </si>
  <si>
    <t>Management AZ2 VLAN Prefix</t>
  </si>
  <si>
    <t>AVI Load Balance Node 2 IP Address</t>
  </si>
  <si>
    <t>IP Range End:</t>
  </si>
  <si>
    <t>SHA-256 NSX Local Manager Virtual Server</t>
  </si>
  <si>
    <t>vCenter Kubernetes Storage Policy Name</t>
  </si>
  <si>
    <t>Management AZ2 CIDR Prefix</t>
  </si>
  <si>
    <t>Workload Domain VLANs</t>
  </si>
  <si>
    <t>Node 1 IP Address</t>
  </si>
  <si>
    <t>AVI Load Balance Node 3 IP Address</t>
  </si>
  <si>
    <t>vSAN</t>
  </si>
  <si>
    <t>SHA-256 NSX Global Manager Virtual Server</t>
  </si>
  <si>
    <t>Developer Ready Infrastructure Hostnames</t>
  </si>
  <si>
    <t>vCenter Kubernetes Content Library Name</t>
  </si>
  <si>
    <t>Management Domain Network MTU (Witness Zone)</t>
  </si>
  <si>
    <t>Local Instance Overlay CIDR Prefix</t>
  </si>
  <si>
    <t>Node 2 IP Address</t>
  </si>
  <si>
    <t>Virtual Network Appliance A</t>
  </si>
  <si>
    <t>SDDC Manager: root</t>
  </si>
  <si>
    <t>Cross Instance NSX T1 Gateway Name</t>
  </si>
  <si>
    <t>Harbor Hostname</t>
  </si>
  <si>
    <t>Kubernetes - Size Hint</t>
  </si>
  <si>
    <t>Cross-Region Overlay CIDR Prefix</t>
  </si>
  <si>
    <t>Node 3 IP Address</t>
  </si>
  <si>
    <t>Virtual Network Appliance B</t>
  </si>
  <si>
    <t>SDDC Manager: vcf</t>
  </si>
  <si>
    <t xml:space="preserve">Existing Active Global Manager </t>
  </si>
  <si>
    <t>Kubernetes - Network Mode</t>
  </si>
  <si>
    <t>StaticRange</t>
  </si>
  <si>
    <t>Management Witness AZ VLAN Prefix</t>
  </si>
  <si>
    <t xml:space="preserve">VMSP - Primary </t>
  </si>
  <si>
    <t>SDDC Manager: admin@local</t>
  </si>
  <si>
    <t>Existing Cross Instance T0</t>
  </si>
  <si>
    <t>Developer Ready Infrastructure FQDN</t>
  </si>
  <si>
    <t>Kubernetes - Network Address Range</t>
  </si>
  <si>
    <t>Management Witness AZ CIDR Prefix</t>
  </si>
  <si>
    <t>Workload Domain Portgroup Names</t>
  </si>
  <si>
    <t>VCFA Node start IP</t>
  </si>
  <si>
    <t>Workload Domain Hostnames (Primary AZ)</t>
  </si>
  <si>
    <t>My VMware</t>
  </si>
  <si>
    <t>AVI Load Balancer Cluster Name</t>
  </si>
  <si>
    <t>Harbor Envoy FQDN</t>
  </si>
  <si>
    <t>Kubernetes Management Segment Start IP</t>
  </si>
  <si>
    <t>Workload Domain VLANs (Witness Zone)</t>
  </si>
  <si>
    <t>Management TOR ASN Prefix</t>
  </si>
  <si>
    <t>VCFA Node End IP</t>
  </si>
  <si>
    <t>AVI Load Balancer Cluster Version</t>
  </si>
  <si>
    <t>Kubernetes Management Segment Gateway</t>
  </si>
  <si>
    <t>Workload AZ1 VLAN Prefix</t>
  </si>
  <si>
    <t>VM Network</t>
  </si>
  <si>
    <t>VCFMS Node start IP</t>
  </si>
  <si>
    <t>AVI LB (root)</t>
  </si>
  <si>
    <t>VPC External IP Blocks</t>
  </si>
  <si>
    <t xml:space="preserve">Private Cloud Automation IPs													</t>
  </si>
  <si>
    <t>Kubernetes Cluster Endpoint Common Name</t>
  </si>
  <si>
    <t>Workload AZ1 CIDR Prefix</t>
  </si>
  <si>
    <t>VCFMS Node end IP</t>
  </si>
  <si>
    <t>SFTP Backup User</t>
  </si>
  <si>
    <t>Private - Transit Gateway IP Blocks</t>
  </si>
  <si>
    <t>Kubectl Path</t>
  </si>
  <si>
    <t>Protected Workload AZ1 CIDR Prefix</t>
  </si>
  <si>
    <t>Workload Domain Network CIDRs</t>
  </si>
  <si>
    <t>vSAN Witness: root (mgmt)</t>
  </si>
  <si>
    <t>SDDC Manager and vCenter Server VM Folder</t>
  </si>
  <si>
    <t>Aria Automation Virtual Server</t>
  </si>
  <si>
    <t>Initial VM Class</t>
  </si>
  <si>
    <t>Workload Domain Portgroup Names (Witness Zone)</t>
  </si>
  <si>
    <t>Workload AZ2 VLAN Prefix</t>
  </si>
  <si>
    <t>Management Domain Hostnames (Primary AZ)</t>
  </si>
  <si>
    <t>vSAN Witness: root (wld)</t>
  </si>
  <si>
    <t>NSX Manager VM Folder</t>
  </si>
  <si>
    <t>Aria Automation Node A</t>
  </si>
  <si>
    <t>Workload AZ2 CIDR Prefix</t>
  </si>
  <si>
    <t xml:space="preserve">Secondary Storage Network </t>
  </si>
  <si>
    <t>VM Folder NSX Edge Nodes VM Folder</t>
  </si>
  <si>
    <t>Aria Automation Node B</t>
  </si>
  <si>
    <t>Workload Witness AZ VLAN Prefix</t>
  </si>
  <si>
    <t>Proxy User</t>
  </si>
  <si>
    <t>Template Name</t>
  </si>
  <si>
    <t>Aria Automation Node C</t>
  </si>
  <si>
    <t>Workload Witness AZ CIDR Prefix</t>
  </si>
  <si>
    <t>Workload Domain Network Gateways</t>
  </si>
  <si>
    <t>Proxy Password</t>
  </si>
  <si>
    <t>Country</t>
  </si>
  <si>
    <t>Aria Automation Node D</t>
  </si>
  <si>
    <t>Private AI Ready Infrastructure References</t>
  </si>
  <si>
    <t>Workload Domain Network CIDRs (Witness Zone)</t>
  </si>
  <si>
    <t>Workload TOR ASN Prefix</t>
  </si>
  <si>
    <t>VCOP Collector Administrator Password</t>
  </si>
  <si>
    <t>Algorithm</t>
  </si>
  <si>
    <t>Aria Automation Node E</t>
  </si>
  <si>
    <t>Kubernetes CIDR Prefix</t>
  </si>
  <si>
    <t>WLD Root Password</t>
  </si>
  <si>
    <t>Key Size</t>
  </si>
  <si>
    <t>Aria Automation Node F</t>
  </si>
  <si>
    <t>Private AI License</t>
  </si>
  <si>
    <t>Other Region Management AZ1 CIDR Prefx</t>
  </si>
  <si>
    <t>Configadmin Email Address</t>
  </si>
  <si>
    <t>GPU VM Class</t>
  </si>
  <si>
    <t>Portable Component Prefix</t>
  </si>
  <si>
    <t>flt</t>
  </si>
  <si>
    <t>External Services Naming and IP Addressing</t>
  </si>
  <si>
    <t>Locality</t>
  </si>
  <si>
    <t>GPU Operator Namespace</t>
  </si>
  <si>
    <t>Workload Domain Network Gateways (Witness Zone)</t>
  </si>
  <si>
    <t xml:space="preserve">Prefix FLT </t>
  </si>
  <si>
    <t>Workload Domain Network MTU</t>
  </si>
  <si>
    <t>Workload Domain FQDNs (Primary AZ)</t>
  </si>
  <si>
    <t>Organization</t>
  </si>
  <si>
    <t xml:space="preserve">Private Cloud Automation Hostnames													</t>
  </si>
  <si>
    <t>GPU Network Operator Namespace</t>
  </si>
  <si>
    <t>IPV6 Prefix</t>
  </si>
  <si>
    <t>2001:db8:0:</t>
  </si>
  <si>
    <t>NTP Server 1 (Local Instance Components)</t>
  </si>
  <si>
    <t>Organization Unit</t>
  </si>
  <si>
    <t xml:space="preserve">MGMT Fleet Deployment network </t>
  </si>
  <si>
    <t>NTP Server 2 (Local Instance Components)</t>
  </si>
  <si>
    <t>State</t>
  </si>
  <si>
    <t>NTP Server 3 (Local Instance Components)</t>
  </si>
  <si>
    <t>Site Protection &amp; Disaster Recovery References (Common)</t>
  </si>
  <si>
    <t>Workload Domain Network MTU (Witness Zone)</t>
  </si>
  <si>
    <t>Permutation Calculations</t>
  </si>
  <si>
    <t>CONCATENATE(prefix_flt_shared_cidr,".46")))</t>
  </si>
  <si>
    <t>NTP Server 1 (Xregion Components)</t>
  </si>
  <si>
    <t xml:space="preserve">Private Cloud Automation FQDNs													</t>
  </si>
  <si>
    <t>Result</t>
  </si>
  <si>
    <t>NTP Server 2 (Xregion Components)</t>
  </si>
  <si>
    <t>SFTP Server Backup Username</t>
  </si>
  <si>
    <t>Existing: Recovery Site SDDC Manager FQDN</t>
  </si>
  <si>
    <t>spr_mo_result</t>
  </si>
  <si>
    <t>VIDB</t>
  </si>
  <si>
    <t>NTP Server 1 (Witness Components)</t>
  </si>
  <si>
    <t>Backup Directory</t>
  </si>
  <si>
    <t>Existing: Recovery Site SDDC Manager User</t>
  </si>
  <si>
    <t>spr_wo_result</t>
  </si>
  <si>
    <t xml:space="preserve">Licence Server </t>
  </si>
  <si>
    <t>SSH FingerPrint</t>
  </si>
  <si>
    <t>Existing: Recovery Site SDDC Manager Password</t>
  </si>
  <si>
    <t>spr_mw_result</t>
  </si>
  <si>
    <t xml:space="preserve">VCF MS Service Runtime </t>
  </si>
  <si>
    <t>DNS Server 1 (Local Instance Components)</t>
  </si>
  <si>
    <t>Encryption Passphrase</t>
  </si>
  <si>
    <t>VRMS Appliance Size</t>
  </si>
  <si>
    <t>protected_mgmt_result</t>
  </si>
  <si>
    <t xml:space="preserve">VCF MS Intance Components </t>
  </si>
  <si>
    <t>DNS Server 2 (Local Instance Components)</t>
  </si>
  <si>
    <t>SSO Default Admin</t>
  </si>
  <si>
    <t>administrator@vsphere.local</t>
  </si>
  <si>
    <t xml:space="preserve">Intelligent Logging &amp; Analytics IP Addresses													</t>
  </si>
  <si>
    <t>SRM Appliance Size</t>
  </si>
  <si>
    <t>recovery_mgmt_result</t>
  </si>
  <si>
    <t>DNS Server 1 (X-Region Components)</t>
  </si>
  <si>
    <t>Primary AZ VM Group Name</t>
  </si>
  <si>
    <t>Username (VMware Aria Operations to vSphere Replication SSO User)</t>
  </si>
  <si>
    <t>protected_wld_result</t>
  </si>
  <si>
    <t>NSX Edge Node 1</t>
  </si>
  <si>
    <t>DNS Server 2 (X-Region Components)</t>
  </si>
  <si>
    <t>Proxy Type</t>
  </si>
  <si>
    <t>Aria Operatons for Logs Virtual Server</t>
  </si>
  <si>
    <t>Password (VMware Aria Operations to vSphere Replication)</t>
  </si>
  <si>
    <t>first_domain_mgmt_only_viable</t>
  </si>
  <si>
    <t>Management Domain FQDNs (Primary AZ)</t>
  </si>
  <si>
    <t>NSX Edge Node 2</t>
  </si>
  <si>
    <t>DNS Server 1 (Witness Components)</t>
  </si>
  <si>
    <t>Aria Operatons for Logs Node A</t>
  </si>
  <si>
    <t>User (VMware Aria Operations to Site Recovery Manager SSO User)</t>
  </si>
  <si>
    <t>first_domain_mgmt_vi_viable</t>
  </si>
  <si>
    <t>Host ESX</t>
  </si>
  <si>
    <t>DNS Server 2 (Witness Components)</t>
  </si>
  <si>
    <t>Proy Port</t>
  </si>
  <si>
    <t>Aria Operatons for Logs Node B</t>
  </si>
  <si>
    <t>Password (VMware Aria Operations to Site Recovery Manager)</t>
  </si>
  <si>
    <t>non_first_domain_mgmt_only_viable</t>
  </si>
  <si>
    <t>Host 1</t>
  </si>
  <si>
    <t>Domain Controller for vSphere AD Integration</t>
  </si>
  <si>
    <t>Aria Operatons for Logs Node C</t>
  </si>
  <si>
    <t>non_first_domain_mgmt_vi_viable</t>
  </si>
  <si>
    <t>Host 2</t>
  </si>
  <si>
    <t>Certificate Authority FQDN</t>
  </si>
  <si>
    <t>Offline Depot Hostname</t>
  </si>
  <si>
    <t>Site Protection &amp; Disaster Recovery References (Management Domain)</t>
  </si>
  <si>
    <t>vi_only_viable</t>
  </si>
  <si>
    <t>Host 3</t>
  </si>
  <si>
    <t>Certificate Authority Name</t>
  </si>
  <si>
    <t>Offline Depot Port</t>
  </si>
  <si>
    <t xml:space="preserve">Intelligent Logging &amp; Analytics Hostnames													</t>
  </si>
  <si>
    <t>vcf_vi_wld_domain_count</t>
  </si>
  <si>
    <t xml:space="preserve">Workload Domain FQDNs (Witness AZ)	</t>
  </si>
  <si>
    <t>Host 4</t>
  </si>
  <si>
    <t>SFTP Server</t>
  </si>
  <si>
    <t>LB Creation Method</t>
  </si>
  <si>
    <t>vcf_vi_isolated_domain_count</t>
  </si>
  <si>
    <t>Host 5</t>
  </si>
  <si>
    <t xml:space="preserve">Workload Domain VI Inputs (Primary Availability Zone)								</t>
  </si>
  <si>
    <t>VRMS: VM Folder Name</t>
  </si>
  <si>
    <t>mgmt_consolidated_result</t>
  </si>
  <si>
    <t>Host 6</t>
  </si>
  <si>
    <t>VRMS: Initial Root Password</t>
  </si>
  <si>
    <t>vSAN Witness</t>
  </si>
  <si>
    <t>Host 7</t>
  </si>
  <si>
    <t>Virtual Infrastructure Name</t>
  </si>
  <si>
    <t>VRMS: Initial Admin Password</t>
  </si>
  <si>
    <t>Host 8</t>
  </si>
  <si>
    <t>DNS Zone Names</t>
  </si>
  <si>
    <t>Workload Cluster SDDC ID</t>
  </si>
  <si>
    <t>VRMS: Site Name</t>
  </si>
  <si>
    <t>Workload Domain Primary Cluster Objects</t>
  </si>
  <si>
    <t>Host 9</t>
  </si>
  <si>
    <t>vSphere Distributed Switch Name</t>
  </si>
  <si>
    <t>VRMS: Administrator Email Address</t>
  </si>
  <si>
    <t>Host 10</t>
  </si>
  <si>
    <t>Parent</t>
  </si>
  <si>
    <t xml:space="preserve">Intelligent Logging &amp; Analytics FQDNs													</t>
  </si>
  <si>
    <t>VRMS: Portgroup Name</t>
  </si>
  <si>
    <t>Workload Cluster Name</t>
  </si>
  <si>
    <t>Host 11</t>
  </si>
  <si>
    <t>Child</t>
  </si>
  <si>
    <t>NSX Edge Node Applicance Size (Default Large)</t>
  </si>
  <si>
    <t>VRMS: P12 Cert Password</t>
  </si>
  <si>
    <t>EVC</t>
  </si>
  <si>
    <t>Host 12</t>
  </si>
  <si>
    <t>Witness</t>
  </si>
  <si>
    <t>NSX Edge Tier 0 Name</t>
  </si>
  <si>
    <t>VRSM: Appliance Size</t>
  </si>
  <si>
    <t>Host 13</t>
  </si>
  <si>
    <t>NSX Edge Tier 1 Name</t>
  </si>
  <si>
    <t>SRM: VM Folder Name</t>
  </si>
  <si>
    <t>Workload Domain Switch Configuration Primary Cluster  VDS</t>
  </si>
  <si>
    <t>Host 14</t>
  </si>
  <si>
    <t>Active Directory Fully Qualified Domain Names</t>
  </si>
  <si>
    <t>SRM: Initial Root Password</t>
  </si>
  <si>
    <t>Host 15</t>
  </si>
  <si>
    <t>SRM: Initial Admin Password</t>
  </si>
  <si>
    <t xml:space="preserve">Preconfigured Profile </t>
  </si>
  <si>
    <t>Host 16</t>
  </si>
  <si>
    <t>Parent Domain</t>
  </si>
  <si>
    <t>SRM: Initial Database Password</t>
  </si>
  <si>
    <t>Primary vSphere Distributed Switch</t>
  </si>
  <si>
    <t>Child Domain</t>
  </si>
  <si>
    <t>AVI Load Balancer Cluster version</t>
  </si>
  <si>
    <t xml:space="preserve">Intelligent Operations Management IP Addresses													</t>
  </si>
  <si>
    <t>SRM: Site Name</t>
  </si>
  <si>
    <t>Primary vSphere Distributed Switch: Name</t>
  </si>
  <si>
    <t xml:space="preserve">Host FQDNS </t>
  </si>
  <si>
    <t>SRM: Administrator Email Address</t>
  </si>
  <si>
    <t xml:space="preserve">VCF MS Fleet Components </t>
  </si>
  <si>
    <t>Primary vSphere Distributed Switch: Uplinks Used</t>
  </si>
  <si>
    <t>Active Directory NETBIOS Names</t>
  </si>
  <si>
    <t xml:space="preserve">VCF Operations Load Balancer </t>
  </si>
  <si>
    <t>SRM: P12 Cert Password</t>
  </si>
  <si>
    <t>Primary vSphere Distributed Switch: Number of Uplinks</t>
  </si>
  <si>
    <t>VCF Operations primary</t>
  </si>
  <si>
    <t xml:space="preserve">SRM: Appliance Size </t>
  </si>
  <si>
    <t xml:space="preserve">Primary vSphere Distributed Switch: MTU </t>
  </si>
  <si>
    <t>VCF Operations replica</t>
  </si>
  <si>
    <t>Recovery Point Objective</t>
  </si>
  <si>
    <t xml:space="preserve">Management Domain FQDNs (Witness AZ)	</t>
  </si>
  <si>
    <t>Primary vSphere Distributed Switch: LBT</t>
  </si>
  <si>
    <t>RTEP NSX IP Pool Name</t>
  </si>
  <si>
    <t>VCF Operations data node</t>
  </si>
  <si>
    <t>Instances per Day</t>
  </si>
  <si>
    <t>Primary vSphere Distributed Switch: Traffic Type</t>
  </si>
  <si>
    <t>Operations Collector Appliance</t>
  </si>
  <si>
    <t>Days</t>
  </si>
  <si>
    <t>Lag Name</t>
  </si>
  <si>
    <t>Active Directory Group OUs</t>
  </si>
  <si>
    <r>
      <rPr>
        <b/>
        <sz val="12"/>
        <color theme="1"/>
        <rFont val="Arial"/>
        <family val="2"/>
      </rPr>
      <t xml:space="preserve">Protection Group Name </t>
    </r>
    <r>
      <rPr>
        <i/>
        <sz val="12"/>
        <color theme="1"/>
        <rFont val="Arial"/>
        <family val="2"/>
      </rPr>
      <t>(vRSLCM &amp; Clustered WSA)</t>
    </r>
  </si>
  <si>
    <t>Secondary vSphere Distributed Switch</t>
  </si>
  <si>
    <t>SHA-256  NSX Local Manager Virtual Server</t>
  </si>
  <si>
    <t xml:space="preserve">Intelligent Operations Management Hostnames													</t>
  </si>
  <si>
    <r>
      <rPr>
        <b/>
        <sz val="12"/>
        <color theme="1"/>
        <rFont val="Arial"/>
        <family val="2"/>
      </rPr>
      <t xml:space="preserve">Recovery Plan Name </t>
    </r>
    <r>
      <rPr>
        <i/>
        <sz val="12"/>
        <color theme="1"/>
        <rFont val="Arial"/>
        <family val="2"/>
      </rPr>
      <t>(vRSLCM &amp; Clustered WSA)</t>
    </r>
  </si>
  <si>
    <t>Secondary vSphere Distributed Switch: Name</t>
  </si>
  <si>
    <t>SHA-256  NSX Global Manager Virtual Server</t>
  </si>
  <si>
    <t>Protection Group Name (VMware Aria Operations)</t>
  </si>
  <si>
    <t>Management Domain Cluster Objects</t>
  </si>
  <si>
    <t>Secondary vSphere Distributed Switch: Uplinks Used</t>
  </si>
  <si>
    <t>Recovery Plan Name (VMware Aria Operations)</t>
  </si>
  <si>
    <t>Secondary vSphere Distributed Switch: Number of Uplinks</t>
  </si>
  <si>
    <t>Protection Group Name (VMware Aria Automation)</t>
  </si>
  <si>
    <t>Datacenter Name</t>
  </si>
  <si>
    <t xml:space="preserve">Secondary vSphere Distributed Switch: MTU </t>
  </si>
  <si>
    <t>Active Directory User OUs</t>
  </si>
  <si>
    <t>Aria Operatons replica</t>
  </si>
  <si>
    <t>Recovery Plan Name (VMware Aria Automation)</t>
  </si>
  <si>
    <t>Management Cluster Name</t>
  </si>
  <si>
    <t>Secondary vSphere Distributed Switch: LBT</t>
  </si>
  <si>
    <t>Aria Operatons data node</t>
  </si>
  <si>
    <t>Existing: Recovery Site vCenter FQDN</t>
  </si>
  <si>
    <t>EVC Setting</t>
  </si>
  <si>
    <t>Secondary vSphere Distributed Switch: Traffic Type</t>
  </si>
  <si>
    <t>Existing: Recovery Site vCenter Username</t>
  </si>
  <si>
    <t>Resource Pool SDDC Management</t>
  </si>
  <si>
    <t>Supervisor Namespace</t>
  </si>
  <si>
    <t>Existing: Recovery Site vCenter Password</t>
  </si>
  <si>
    <t>Resource Pool SDDC Edge</t>
  </si>
  <si>
    <t>Tertiary vSphere Distributed Switch</t>
  </si>
  <si>
    <t>Management Portgroup Name</t>
  </si>
  <si>
    <t xml:space="preserve">Intelligent Operations Management FQDNs													</t>
  </si>
  <si>
    <t>Existing: Recovery Site SDDC Manager Domain</t>
  </si>
  <si>
    <t>Resource Pool User Edge</t>
  </si>
  <si>
    <t>Tertiary vSphere Distributed Switch: Name</t>
  </si>
  <si>
    <t>Active Directory Bind DNs</t>
  </si>
  <si>
    <t>Existing: Recovery Site NSX Location Name</t>
  </si>
  <si>
    <t>Resource Pool User VM</t>
  </si>
  <si>
    <t xml:space="preserve">Tertiary vSphere Distributed Switch: MTU </t>
  </si>
  <si>
    <t>Storage Type</t>
  </si>
  <si>
    <t xml:space="preserve">Site Protection and DR </t>
  </si>
  <si>
    <t>Existing: Recovery Site NSX Edge Cluster Name</t>
  </si>
  <si>
    <t>Primary Availability Zone Virtual Machine Group</t>
  </si>
  <si>
    <t>Tertiary vSphere Distributed Switch: Uplinks Used</t>
  </si>
  <si>
    <t>User Name</t>
  </si>
  <si>
    <t>Existing: Recovery Site vSphere Cluster Name</t>
  </si>
  <si>
    <t>MGMT SSO Domain</t>
  </si>
  <si>
    <t>Tertiary vSphere Distributed Switch: Number of Uplinks</t>
  </si>
  <si>
    <t>DNS 1</t>
  </si>
  <si>
    <t>Existing: Recovery Site Target Datastore</t>
  </si>
  <si>
    <t>MGMT SSO Domain Username</t>
  </si>
  <si>
    <t>Tertiary vSphere Distributed Switch: LBT</t>
  </si>
  <si>
    <t xml:space="preserve">Cluster Name </t>
  </si>
  <si>
    <t>DNS 2</t>
  </si>
  <si>
    <t>Existing: Target vSphere Replication Network CIDR</t>
  </si>
  <si>
    <t>VCF Instance Name</t>
  </si>
  <si>
    <t>Tertiary vSphere Distributed Switch: Traffic Type</t>
  </si>
  <si>
    <t>vLCM Image</t>
  </si>
  <si>
    <t>Active Directory Parent Users</t>
  </si>
  <si>
    <t>DNS Parent Zone</t>
  </si>
  <si>
    <t>Existing: SSO Membership</t>
  </si>
  <si>
    <t>vSAN Storage Cluster Name</t>
  </si>
  <si>
    <t>fleet manager fqdn</t>
  </si>
  <si>
    <t>MGMT Domain Switch Configuration Primary Cluster  VDS</t>
  </si>
  <si>
    <t>vSAN Datastore Name</t>
  </si>
  <si>
    <t>svc-vrops-vsphere</t>
  </si>
  <si>
    <t>ops node fqdn</t>
  </si>
  <si>
    <t>Site Protection &amp; DR IP Addreses (Management Domain)</t>
  </si>
  <si>
    <t>Site Protection &amp; Disaster Recovery References (Workload Domain)</t>
  </si>
  <si>
    <t xml:space="preserve">Workload Domain Storage Configuration Primary Cluster </t>
  </si>
  <si>
    <t>Storage Policy</t>
  </si>
  <si>
    <t>svc-vrops-vsan</t>
  </si>
  <si>
    <t>&lt;vcf_operations_replica_node_fqdn&gt;</t>
  </si>
  <si>
    <t>vSphere Distributed Switch Profile</t>
  </si>
  <si>
    <t>vSAN: Deduplication and Compression</t>
  </si>
  <si>
    <t>svc-vrops-nsx</t>
  </si>
  <si>
    <t>&lt;vcf_operations_data_node_fqdn&gt;</t>
  </si>
  <si>
    <t>vSphere Replication Management IP</t>
  </si>
  <si>
    <t>vSAN: Datastore Name</t>
  </si>
  <si>
    <t>VMFS on FC: Datastore Name</t>
  </si>
  <si>
    <t>svc-vrops-vra</t>
  </si>
  <si>
    <t>&lt;vcf_operations_logs_primary_node_fqdn&gt;</t>
  </si>
  <si>
    <t>vSphere Replication Replication IP</t>
  </si>
  <si>
    <t>vSAN: Failures to Tolerate (FTT)</t>
  </si>
  <si>
    <t>NFS: Datastore Name</t>
  </si>
  <si>
    <t>svc-vrli-wsa</t>
  </si>
  <si>
    <t>&lt;vcf_operations_logs_worker_node1_fqdn&gt;</t>
  </si>
  <si>
    <r>
      <rPr>
        <b/>
        <sz val="12"/>
        <color theme="1"/>
        <rFont val="Arial"/>
        <family val="2"/>
      </rPr>
      <t>Site Recovery Manager</t>
    </r>
    <r>
      <rPr>
        <i/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Management IP</t>
    </r>
  </si>
  <si>
    <t>Primary vSphere Distributed Switch: Uplink #1</t>
  </si>
  <si>
    <t>NFS: Share Path</t>
  </si>
  <si>
    <t>svc-vrli-vrops</t>
  </si>
  <si>
    <t>&lt;vcf_operations_logs_worker_node2_fqdn&gt;</t>
  </si>
  <si>
    <t>Recovery T1 Service Interface IP</t>
  </si>
  <si>
    <t xml:space="preserve">Primary vSphere Distributed Switch: Uplink #2 </t>
  </si>
  <si>
    <t>NFS: Address of NFS Server</t>
  </si>
  <si>
    <t>svc-vra-vsphere</t>
  </si>
  <si>
    <t>&lt;vcf_operations_network_platform_node1_fqdn&gt;</t>
  </si>
  <si>
    <t xml:space="preserve">Switch Configuration </t>
  </si>
  <si>
    <t>svc-vra-nsx</t>
  </si>
  <si>
    <t>&lt;vcf_operations_network_platform_node2_fqdn&gt;</t>
  </si>
  <si>
    <t>Site Protection &amp; DR IP Addreses (Workload Domain)</t>
  </si>
  <si>
    <t xml:space="preserve">Copy From Preconfigured Profile </t>
  </si>
  <si>
    <t>svc-vra-vcf</t>
  </si>
  <si>
    <t>&lt;vcf_operations_network_platform_node3_fqdn&gt;</t>
  </si>
  <si>
    <t>svc-vro-vsphere</t>
  </si>
  <si>
    <t xml:space="preserve">Automation FQDN </t>
  </si>
  <si>
    <t>svc-vra-vrops</t>
  </si>
  <si>
    <t>Workload Domain Hostnames (Witness AZ)</t>
  </si>
  <si>
    <t>NSX Host Overlay Network Profile Name</t>
  </si>
  <si>
    <t xml:space="preserve">Cluster </t>
  </si>
  <si>
    <t>Secondary vSphere Distributed Switch: Uplinks #1</t>
  </si>
  <si>
    <t>Number of Uplinks</t>
  </si>
  <si>
    <t>Active Directory Passwords</t>
  </si>
  <si>
    <t>DLR FQDN</t>
  </si>
  <si>
    <t>Secondary vSphere Distributed Switch: Uplinks #2</t>
  </si>
  <si>
    <t>Physical Network Adapters Used</t>
  </si>
  <si>
    <t>SSO Domain</t>
  </si>
  <si>
    <t>Site Protection &amp; DR Hostnames (Management Domain)</t>
  </si>
  <si>
    <t>Supported Traffic Type</t>
  </si>
  <si>
    <t>svc-vsphere-ad</t>
  </si>
  <si>
    <t>Fleet Manager hostname</t>
  </si>
  <si>
    <t>svc-wsa-ad (child)</t>
  </si>
  <si>
    <t>ops node hostname</t>
  </si>
  <si>
    <t xml:space="preserve">Workload Domain VI Inputs (Secondary Availability Zone)								</t>
  </si>
  <si>
    <t>&lt;vcf_operations_replica_node_ hostname</t>
  </si>
  <si>
    <t>Site Recovery Manager</t>
  </si>
  <si>
    <t>&lt;vcf_operations_data_node_ hostname</t>
  </si>
  <si>
    <t>ESXi Node 1 SDDC ID</t>
  </si>
  <si>
    <t>&lt;vcf_operations_logs_primary_node_ hostname</t>
  </si>
  <si>
    <t>Site Protection &amp; DR Hostnames (Workload Domain)</t>
  </si>
  <si>
    <t>Tertiary vSphere Distributed Switch: Uplinks #1</t>
  </si>
  <si>
    <t>ESXi Node 2 SDDC ID</t>
  </si>
  <si>
    <t>&lt;vcf_operations_logs_worker_node1_hostname</t>
  </si>
  <si>
    <t>Tertiary vSphere Distributed Switch: Uplinks #2</t>
  </si>
  <si>
    <t>ESXi Node 3 SDDC ID</t>
  </si>
  <si>
    <t>&lt;vcf_operations_logs_worker_node2_ hostname</t>
  </si>
  <si>
    <t>ESXi Node 4 SDDC ID</t>
  </si>
  <si>
    <t>&lt;vcf_operations_network_platform_node1_ hostname</t>
  </si>
  <si>
    <t>WLD Cluster SDDC ID</t>
  </si>
  <si>
    <t>&lt;vcf_operations_network_platform_node2_ hostname</t>
  </si>
  <si>
    <t>&lt;vcf_operations_network_platform_node3 hostname</t>
  </si>
  <si>
    <t>Site Protection &amp; DR FQDNs (Management Domain)</t>
  </si>
  <si>
    <t xml:space="preserve">vSAN Datastore </t>
  </si>
  <si>
    <t>Cloud-Based Ransomware Recovery References</t>
  </si>
  <si>
    <t>NSX Operational Mode</t>
  </si>
  <si>
    <t xml:space="preserve">Workload Domain VI Inputs (Witness Availability Zone)								</t>
  </si>
  <si>
    <t xml:space="preserve">Network Resource Pool </t>
  </si>
  <si>
    <t xml:space="preserve">NSX Operation Mode Chosen </t>
  </si>
  <si>
    <t>Log Resource Pool</t>
  </si>
  <si>
    <r>
      <rPr>
        <b/>
        <sz val="12"/>
        <color theme="1"/>
        <rFont val="Arial"/>
        <family val="2"/>
      </rPr>
      <t xml:space="preserve">vSphere Custom Role name </t>
    </r>
    <r>
      <rPr>
        <i/>
        <sz val="12"/>
        <color theme="1"/>
        <rFont val="Arial"/>
        <family val="2"/>
      </rPr>
      <t>(VMware Cloud Disaster Recovery to vSphere)</t>
    </r>
  </si>
  <si>
    <t>Active Directory Child Users</t>
  </si>
  <si>
    <t xml:space="preserve">Recovery Port Group </t>
  </si>
  <si>
    <t>Service Account Name</t>
  </si>
  <si>
    <t xml:space="preserve">MGMT Domain Storage Configuration Primary Cluster </t>
  </si>
  <si>
    <t>Cluster Name</t>
  </si>
  <si>
    <t>Management</t>
  </si>
  <si>
    <t>Recobvery Network Gateway</t>
  </si>
  <si>
    <t>Site Protection &amp; DR FQDNs (Workload Domain)</t>
  </si>
  <si>
    <t>Service Account Password</t>
  </si>
  <si>
    <t>Distributed PortGroup Name</t>
  </si>
  <si>
    <t>Recobvery Network Mask</t>
  </si>
  <si>
    <r>
      <rPr>
        <b/>
        <sz val="12"/>
        <color theme="1"/>
        <rFont val="Arial"/>
        <family val="2"/>
      </rPr>
      <t xml:space="preserve">VM Folder </t>
    </r>
    <r>
      <rPr>
        <sz val="12"/>
        <color theme="1"/>
        <rFont val="Arial"/>
        <family val="2"/>
      </rPr>
      <t>(DRaaS Connectors)</t>
    </r>
  </si>
  <si>
    <t xml:space="preserve">Principal Storage </t>
  </si>
  <si>
    <t>Witness DNS</t>
  </si>
  <si>
    <t>Load Balancing</t>
  </si>
  <si>
    <t>svc-wsa-ad</t>
  </si>
  <si>
    <t xml:space="preserve">Site Pair </t>
  </si>
  <si>
    <t>Recovery SDDC Name</t>
  </si>
  <si>
    <t>uplink1</t>
  </si>
  <si>
    <t>vr username</t>
  </si>
  <si>
    <t>AWS Region</t>
  </si>
  <si>
    <t>vSAN Datastore FTT</t>
  </si>
  <si>
    <t xml:space="preserve">Witness NTP </t>
  </si>
  <si>
    <t>uplink2</t>
  </si>
  <si>
    <t>Active Directory Groups</t>
  </si>
  <si>
    <t>vr password</t>
  </si>
  <si>
    <t>Host Type</t>
  </si>
  <si>
    <t>VM Management</t>
  </si>
  <si>
    <t xml:space="preserve">Intelligent Network Visibility IP Addresses													</t>
  </si>
  <si>
    <t>Number of Hosts</t>
  </si>
  <si>
    <t>VPC</t>
  </si>
  <si>
    <t>Workload Domain IP Addresses (Witness AZ)</t>
  </si>
  <si>
    <t>VMware Aria Operations for Networks - Node A</t>
  </si>
  <si>
    <t>Subnet</t>
  </si>
  <si>
    <t>NFS Server Bound To NIC</t>
  </si>
  <si>
    <t>gg-wsa-admins (parent)</t>
  </si>
  <si>
    <t>Proxy for Networks - Node A</t>
  </si>
  <si>
    <t>Management Subnet</t>
  </si>
  <si>
    <t>gg-wsa-directory-admins (parent)</t>
  </si>
  <si>
    <r>
      <rPr>
        <b/>
        <sz val="12"/>
        <color theme="1"/>
        <rFont val="Arial"/>
        <family val="2"/>
      </rPr>
      <t>Firewall Rule Name</t>
    </r>
    <r>
      <rPr>
        <i/>
        <sz val="12"/>
        <color theme="1"/>
        <rFont val="Arial"/>
        <family val="2"/>
      </rPr>
      <t xml:space="preserve"> (vCenter Server Inbound)</t>
    </r>
  </si>
  <si>
    <t>NSX Network Connectivity for MGMT Workload Domain</t>
  </si>
  <si>
    <t>gg-wsa-read-only (parent)</t>
  </si>
  <si>
    <t xml:space="preserve">Intelligent Network Visibility Hostnames													</t>
  </si>
  <si>
    <t>On-Premises Site Name (VMware Cloud Disaster Recovery)</t>
  </si>
  <si>
    <t>WLD Witness IP</t>
  </si>
  <si>
    <t>gg-vrslcm-admins</t>
  </si>
  <si>
    <t>Timezone (VMware Cloud Disaster Recovery)</t>
  </si>
  <si>
    <t>MGMT Edge Connectivity Type</t>
  </si>
  <si>
    <t>gg-vrslcm-content-admins</t>
  </si>
  <si>
    <r>
      <rPr>
        <b/>
        <sz val="12"/>
        <color theme="1"/>
        <rFont val="Arial"/>
        <family val="2"/>
      </rPr>
      <t xml:space="preserve">Hostname </t>
    </r>
    <r>
      <rPr>
        <i/>
        <sz val="12"/>
        <color theme="1"/>
        <rFont val="Arial"/>
        <family val="2"/>
      </rPr>
      <t>(DRaaS Connector)</t>
    </r>
  </si>
  <si>
    <t>Edge Form Factor Size</t>
  </si>
  <si>
    <t>WLD Witness MGMT CIDR</t>
  </si>
  <si>
    <t>gg-vrslcm-content-developers</t>
  </si>
  <si>
    <r>
      <rPr>
        <b/>
        <sz val="12"/>
        <color theme="1"/>
        <rFont val="Arial"/>
        <family val="2"/>
      </rPr>
      <t xml:space="preserve">IP Address </t>
    </r>
    <r>
      <rPr>
        <i/>
        <sz val="12"/>
        <color theme="1"/>
        <rFont val="Arial"/>
        <family val="2"/>
      </rPr>
      <t>(DRaaS Connector)</t>
    </r>
  </si>
  <si>
    <t>Edge Cluster MTU</t>
  </si>
  <si>
    <t>WLD Witness MGMT Gateway</t>
  </si>
  <si>
    <t>gg-vrops-admins</t>
  </si>
  <si>
    <r>
      <rPr>
        <b/>
        <sz val="12"/>
        <color theme="1"/>
        <rFont val="Arial"/>
        <family val="2"/>
      </rPr>
      <t xml:space="preserve">Hostname </t>
    </r>
    <r>
      <rPr>
        <i/>
        <sz val="12"/>
        <color theme="1"/>
        <rFont val="Arial"/>
        <family val="2"/>
      </rPr>
      <t>(DRaaS Connector #2)</t>
    </r>
  </si>
  <si>
    <t>MGMT Edge Cluster Resource Pool</t>
  </si>
  <si>
    <t>WLD Witness MGMT Network</t>
  </si>
  <si>
    <t>gg-vrops-content-admins</t>
  </si>
  <si>
    <r>
      <rPr>
        <b/>
        <sz val="12"/>
        <color theme="1"/>
        <rFont val="Arial"/>
        <family val="2"/>
      </rPr>
      <t xml:space="preserve">IP Address </t>
    </r>
    <r>
      <rPr>
        <i/>
        <sz val="12"/>
        <color theme="1"/>
        <rFont val="Arial"/>
        <family val="2"/>
      </rPr>
      <t>(DRaaS Connector #2)</t>
    </r>
  </si>
  <si>
    <t>MGMT Host Group Affinity Host</t>
  </si>
  <si>
    <t>WLD Witness MGMT Mask</t>
  </si>
  <si>
    <t>gg-vrops-read-only</t>
  </si>
  <si>
    <t>DRaaS OVA Download Link</t>
  </si>
  <si>
    <t>MGMT Host Group Affinity Host name</t>
  </si>
  <si>
    <t>VCF Automation Prefix</t>
  </si>
  <si>
    <t>gg-vrli-admins</t>
  </si>
  <si>
    <t>Orchestrator FQDN</t>
  </si>
  <si>
    <t xml:space="preserve">VROPS Collecter IP </t>
  </si>
  <si>
    <t>gg-vrli-users</t>
  </si>
  <si>
    <t>Passcode</t>
  </si>
  <si>
    <t xml:space="preserve">MGMT Edges Share host overaly </t>
  </si>
  <si>
    <t>vROPS Appliance Size</t>
  </si>
  <si>
    <t>gg-vrli-viewers</t>
  </si>
  <si>
    <t>Label</t>
  </si>
  <si>
    <t>MGMT DPG Seperation</t>
  </si>
  <si>
    <t>vSAN Storage Client</t>
  </si>
  <si>
    <t>gg-vra-org-owners</t>
  </si>
  <si>
    <r>
      <rPr>
        <b/>
        <sz val="12"/>
        <color theme="1"/>
        <rFont val="Arial"/>
        <family val="2"/>
      </rPr>
      <t xml:space="preserve">Anti-Affinity Rule </t>
    </r>
    <r>
      <rPr>
        <i/>
        <sz val="12"/>
        <color theme="1"/>
        <rFont val="Arial"/>
        <family val="2"/>
      </rPr>
      <t>(VMware Cloud Disaster Recovery)</t>
    </r>
  </si>
  <si>
    <t xml:space="preserve">Gatway Routing Type </t>
  </si>
  <si>
    <t xml:space="preserve">VI WLD SSO Domian </t>
  </si>
  <si>
    <t>gg-vra-cloud-assembly-admins</t>
  </si>
  <si>
    <t>Email alert recipients</t>
  </si>
  <si>
    <t>IP Allocation MGMT</t>
  </si>
  <si>
    <t>gg-vra-cloud-assembly-users</t>
  </si>
  <si>
    <t>Sender email address</t>
  </si>
  <si>
    <t>IP Allocation (TEP) Edge #1</t>
  </si>
  <si>
    <t>Isolated Workload Domain SSO Domain</t>
  </si>
  <si>
    <t>gg-vra-cloud-assembly-viewers</t>
  </si>
  <si>
    <t>Aria Operations for Logs - URL</t>
  </si>
  <si>
    <t>IP Allocation (TEP) Edge #2</t>
  </si>
  <si>
    <t>Isolated Workload Domain SSO Password</t>
  </si>
  <si>
    <t>gg-vra-orchestrator-viewers</t>
  </si>
  <si>
    <t>Aria Operations for Logs - Key</t>
  </si>
  <si>
    <t xml:space="preserve">Auto-generate Edge passwords </t>
  </si>
  <si>
    <t>Isolated VI Workload Administrator</t>
  </si>
  <si>
    <t>gg-vra-project-admins-sample</t>
  </si>
  <si>
    <t>Skip Tier-0 Configuration</t>
  </si>
  <si>
    <t>WLD Cluster 1 image Name</t>
  </si>
  <si>
    <t>Apply default operation mode configured in NSX Manager</t>
  </si>
  <si>
    <t>gg-vra-project-users-sample</t>
  </si>
  <si>
    <t>Cross Cloud Mobility References</t>
  </si>
  <si>
    <t>Create Password for Edge Cluster</t>
  </si>
  <si>
    <t>WLD Edge Connectivity Type - IAAS</t>
  </si>
  <si>
    <t>gg-vcf-admins</t>
  </si>
  <si>
    <t>NSX Audit Password</t>
  </si>
  <si>
    <t>gg-vcf-operators</t>
  </si>
  <si>
    <r>
      <rPr>
        <b/>
        <sz val="12"/>
        <color theme="1"/>
        <rFont val="Arial"/>
        <family val="2"/>
      </rPr>
      <t xml:space="preserve">vSphere Custom Role Role name </t>
    </r>
    <r>
      <rPr>
        <i/>
        <sz val="12"/>
        <color theme="1"/>
        <rFont val="Arial"/>
        <family val="2"/>
      </rPr>
      <t>(VMware HCX to vSphere)</t>
    </r>
  </si>
  <si>
    <t xml:space="preserve">VCF Authetication </t>
  </si>
  <si>
    <t>NSX Admin Password</t>
  </si>
  <si>
    <t>gg-vcf-viewers</t>
  </si>
  <si>
    <r>
      <rPr>
        <b/>
        <sz val="12"/>
        <color theme="1"/>
        <rFont val="Arial"/>
        <family val="2"/>
      </rPr>
      <t xml:space="preserve">vSphere Service Account </t>
    </r>
    <r>
      <rPr>
        <i/>
        <sz val="12"/>
        <color theme="1"/>
        <rFont val="Arial"/>
        <family val="2"/>
      </rPr>
      <t>(VMware HCX to vSphere)</t>
    </r>
  </si>
  <si>
    <t xml:space="preserve">NSX Deployment Type </t>
  </si>
  <si>
    <t>gg-vc-admins</t>
  </si>
  <si>
    <r>
      <rPr>
        <b/>
        <sz val="12"/>
        <color theme="1"/>
        <rFont val="Arial"/>
        <family val="2"/>
      </rPr>
      <t xml:space="preserve">vSphere Service Account Password </t>
    </r>
    <r>
      <rPr>
        <i/>
        <sz val="12"/>
        <color theme="1"/>
        <rFont val="Arial"/>
        <family val="2"/>
      </rPr>
      <t>(VMware HCX to vSphere)</t>
    </r>
  </si>
  <si>
    <t>VCF Auth Version</t>
  </si>
  <si>
    <t>WLD Edge Connectivity Type</t>
  </si>
  <si>
    <t>IP Assignment (TEP)</t>
  </si>
  <si>
    <t>gg-vc-read-only</t>
  </si>
  <si>
    <r>
      <rPr>
        <b/>
        <sz val="12"/>
        <color theme="1"/>
        <rFont val="Arial"/>
        <family val="2"/>
      </rPr>
      <t xml:space="preserve">VM Folder </t>
    </r>
    <r>
      <rPr>
        <sz val="12"/>
        <color theme="1"/>
        <rFont val="Arial"/>
        <family val="2"/>
      </rPr>
      <t>(HCX Connector)</t>
    </r>
  </si>
  <si>
    <t xml:space="preserve">VCF Auth Deployment Type </t>
  </si>
  <si>
    <t>WLD Edge Cluster Resource Pool</t>
  </si>
  <si>
    <t>Static IP Pool</t>
  </si>
  <si>
    <t>gg-sso-admins</t>
  </si>
  <si>
    <r>
      <rPr>
        <b/>
        <sz val="12"/>
        <color theme="1"/>
        <rFont val="Arial"/>
        <family val="2"/>
      </rPr>
      <t xml:space="preserve">VM Folder </t>
    </r>
    <r>
      <rPr>
        <i/>
        <sz val="12"/>
        <color theme="1"/>
        <rFont val="Arial"/>
        <family val="2"/>
      </rPr>
      <t>(HCX Appliances)</t>
    </r>
  </si>
  <si>
    <t>VCF Auth Alias</t>
  </si>
  <si>
    <t>WLD Host Group Affinity Host</t>
  </si>
  <si>
    <t>gg-nsx-enterprise-admins</t>
  </si>
  <si>
    <r>
      <rPr>
        <b/>
        <sz val="12"/>
        <color theme="1"/>
        <rFont val="Arial"/>
        <family val="2"/>
      </rPr>
      <t xml:space="preserve">Resource Pool </t>
    </r>
    <r>
      <rPr>
        <i/>
        <sz val="12"/>
        <color theme="1"/>
        <rFont val="Arial"/>
        <family val="2"/>
      </rPr>
      <t>(HCX Appliances)</t>
    </r>
  </si>
  <si>
    <t>VCF Auth Common Name (CN)</t>
  </si>
  <si>
    <t>WLD Host Group Affinity Host name en01</t>
  </si>
  <si>
    <t xml:space="preserve">Description </t>
  </si>
  <si>
    <t>gg-nsx-network-admins</t>
  </si>
  <si>
    <t>VMware HCX to NSX Username</t>
  </si>
  <si>
    <t>VCF Auth Organisation</t>
  </si>
  <si>
    <t>WLD Host Group Affinity Host name en02</t>
  </si>
  <si>
    <t>gg-nsx-auditors</t>
  </si>
  <si>
    <t>VMware HCX to NSX Password</t>
  </si>
  <si>
    <t>VCF Auth Organisation OU</t>
  </si>
  <si>
    <t xml:space="preserve">WLD Edges Share host Overlay </t>
  </si>
  <si>
    <t>AWS SDDC Name</t>
  </si>
  <si>
    <t>VCF Auth Country Code (C)</t>
  </si>
  <si>
    <t xml:space="preserve">WLD Gatway Routing Type </t>
  </si>
  <si>
    <t>VM Group Names</t>
  </si>
  <si>
    <t>VCF Auth Locality (L)</t>
  </si>
  <si>
    <t>WLD NSX Operational Mode</t>
  </si>
  <si>
    <t>Gateway IP</t>
  </si>
  <si>
    <t>VCF Auth State (ST)</t>
  </si>
  <si>
    <t>Clustered WSA Instances</t>
  </si>
  <si>
    <t>VCF Auth Key Length</t>
  </si>
  <si>
    <t xml:space="preserve">Enhanced Datapath </t>
  </si>
  <si>
    <t>Number of NSX uplinks</t>
  </si>
  <si>
    <t>VCF Auth Select Folder</t>
  </si>
  <si>
    <t>WLD Password Creation</t>
  </si>
  <si>
    <t>uplink-1</t>
  </si>
  <si>
    <t xml:space="preserve">Management </t>
  </si>
  <si>
    <t>WLD Edge #1 Overlay Ip Allocation</t>
  </si>
  <si>
    <t>uplink-2</t>
  </si>
  <si>
    <t>Witness vCenter FQDN</t>
  </si>
  <si>
    <t>WLD Edge #1 MGMT IP Allocation</t>
  </si>
  <si>
    <t>NSX Uplink Profile Name</t>
  </si>
  <si>
    <t>Witness vCenter</t>
  </si>
  <si>
    <t>VCF Auth Select Resource Pool</t>
  </si>
  <si>
    <t>WLD Edge #2 Overlay Ip Allocation</t>
  </si>
  <si>
    <t>Witness vCenter hostname</t>
  </si>
  <si>
    <r>
      <rPr>
        <b/>
        <sz val="12"/>
        <color theme="1"/>
        <rFont val="Arial"/>
        <family val="2"/>
      </rPr>
      <t xml:space="preserve">Firewall Rule Name </t>
    </r>
    <r>
      <rPr>
        <i/>
        <sz val="12"/>
        <color theme="1"/>
        <rFont val="Arial"/>
        <family val="2"/>
      </rPr>
      <t>(HCX Inbound)</t>
    </r>
  </si>
  <si>
    <t>Port Group</t>
  </si>
  <si>
    <t>WLD Edge #2 MGMT IP Allocation</t>
  </si>
  <si>
    <t>Active  uplink1</t>
  </si>
  <si>
    <t xml:space="preserve">MGMT Witness MTU </t>
  </si>
  <si>
    <r>
      <rPr>
        <b/>
        <sz val="12"/>
        <color theme="1"/>
        <rFont val="Arial"/>
        <family val="2"/>
      </rPr>
      <t>User Defined Group</t>
    </r>
    <r>
      <rPr>
        <i/>
        <sz val="12"/>
        <color theme="1"/>
        <rFont val="Arial"/>
        <family val="2"/>
      </rPr>
      <t xml:space="preserve"> (Firewall Access)</t>
    </r>
  </si>
  <si>
    <t>IAAS Service Chosen</t>
  </si>
  <si>
    <t>Active uplink2</t>
  </si>
  <si>
    <t xml:space="preserve">MGMT Witness vLAN </t>
  </si>
  <si>
    <r>
      <rPr>
        <b/>
        <sz val="12"/>
        <color theme="1"/>
        <rFont val="Arial"/>
        <family val="2"/>
      </rPr>
      <t xml:space="preserve">IP Address(es) </t>
    </r>
    <r>
      <rPr>
        <i/>
        <sz val="12"/>
        <color theme="1"/>
        <rFont val="Arial"/>
        <family val="2"/>
      </rPr>
      <t>(Firewall Access)</t>
    </r>
  </si>
  <si>
    <t xml:space="preserve">Create new Static Pool </t>
  </si>
  <si>
    <t xml:space="preserve">MGMT Witness Port Group </t>
  </si>
  <si>
    <t>HCX License key</t>
  </si>
  <si>
    <t>Datastore</t>
  </si>
  <si>
    <t xml:space="preserve">Default NSX Operation Chosen </t>
  </si>
  <si>
    <t>Brownfield WLD Import</t>
  </si>
  <si>
    <t xml:space="preserve">MGMT Witness Network </t>
  </si>
  <si>
    <t>Datacenter Location</t>
  </si>
  <si>
    <t xml:space="preserve">Auth mode </t>
  </si>
  <si>
    <t xml:space="preserve">vSAN Type </t>
  </si>
  <si>
    <t xml:space="preserve">MGMT Witness Mask </t>
  </si>
  <si>
    <r>
      <rPr>
        <b/>
        <sz val="12"/>
        <color theme="1"/>
        <rFont val="Arial"/>
        <family val="2"/>
      </rPr>
      <t>Hostname</t>
    </r>
    <r>
      <rPr>
        <i/>
        <sz val="12"/>
        <color theme="1"/>
        <rFont val="Arial"/>
        <family val="2"/>
      </rPr>
      <t xml:space="preserve"> (HCX Connector)</t>
    </r>
  </si>
  <si>
    <t>VCF Auth Identity Provider</t>
  </si>
  <si>
    <t xml:space="preserve">Copy vDS Profile </t>
  </si>
  <si>
    <t>Select vCenter</t>
  </si>
  <si>
    <r>
      <rPr>
        <b/>
        <sz val="12"/>
        <color theme="1"/>
        <rFont val="Arial"/>
        <family val="2"/>
      </rPr>
      <t xml:space="preserve">CLI Admin Password </t>
    </r>
    <r>
      <rPr>
        <i/>
        <sz val="12"/>
        <color theme="1"/>
        <rFont val="Arial"/>
        <family val="2"/>
      </rPr>
      <t>(HCX Connector)</t>
    </r>
  </si>
  <si>
    <t>VCF Auth Directory Name</t>
  </si>
  <si>
    <t>vCenter server FQDN</t>
  </si>
  <si>
    <t xml:space="preserve">Witness IP </t>
  </si>
  <si>
    <r>
      <rPr>
        <b/>
        <sz val="12"/>
        <color theme="1"/>
        <rFont val="Arial"/>
        <family val="2"/>
      </rPr>
      <t xml:space="preserve">Root Password </t>
    </r>
    <r>
      <rPr>
        <i/>
        <sz val="12"/>
        <color theme="1"/>
        <rFont val="Arial"/>
        <family val="2"/>
      </rPr>
      <t>(HCX Connector)</t>
    </r>
  </si>
  <si>
    <t>VCF Auth Server Location</t>
  </si>
  <si>
    <t>VLAN Transport Zone Name</t>
  </si>
  <si>
    <t>vCenter Server Root Password</t>
  </si>
  <si>
    <t>Witness CIDR</t>
  </si>
  <si>
    <r>
      <rPr>
        <b/>
        <sz val="12"/>
        <color theme="1"/>
        <rFont val="Arial"/>
        <family val="2"/>
      </rPr>
      <t xml:space="preserve">IP Address </t>
    </r>
    <r>
      <rPr>
        <i/>
        <sz val="12"/>
        <color theme="1"/>
        <rFont val="Arial"/>
        <family val="2"/>
      </rPr>
      <t>(HCX Connector)</t>
    </r>
  </si>
  <si>
    <t xml:space="preserve">VCF Auth Global Catalogue </t>
  </si>
  <si>
    <t>Active Uplink uplink-1</t>
  </si>
  <si>
    <t>SSO user name</t>
  </si>
  <si>
    <t>Witness Gateway</t>
  </si>
  <si>
    <t>Remote HCX URL</t>
  </si>
  <si>
    <t xml:space="preserve">VCF Auth Encrypted Connection </t>
  </si>
  <si>
    <t>Active Uplink uplink-2</t>
  </si>
  <si>
    <t>SSO user password</t>
  </si>
  <si>
    <t>SFTP Sever</t>
  </si>
  <si>
    <r>
      <rPr>
        <b/>
        <sz val="12"/>
        <color theme="1"/>
        <rFont val="Arial"/>
        <family val="2"/>
      </rPr>
      <t xml:space="preserve">Username </t>
    </r>
    <r>
      <rPr>
        <i/>
        <sz val="12"/>
        <color theme="1"/>
        <rFont val="Arial"/>
        <family val="2"/>
      </rPr>
      <t>(VMC on AWS Administrator)</t>
    </r>
  </si>
  <si>
    <t xml:space="preserve">VCF Auth Encryption Cert </t>
  </si>
  <si>
    <t>WLD NSX Admin Password</t>
  </si>
  <si>
    <t>This vCenter is connected to an NSX instance</t>
  </si>
  <si>
    <r>
      <rPr>
        <b/>
        <sz val="12"/>
        <color theme="1"/>
        <rFont val="Arial"/>
        <family val="2"/>
      </rPr>
      <t xml:space="preserve">Password </t>
    </r>
    <r>
      <rPr>
        <i/>
        <sz val="12"/>
        <color theme="1"/>
        <rFont val="Arial"/>
        <family val="2"/>
      </rPr>
      <t>(VMC on AWS Administrator)</t>
    </r>
  </si>
  <si>
    <t>VCF Auth Primary Domain Controller</t>
  </si>
  <si>
    <t>WLD NSX Root Password</t>
  </si>
  <si>
    <t>NSX Manager Instance Options</t>
  </si>
  <si>
    <t xml:space="preserve">VCF operations for Logs </t>
  </si>
  <si>
    <t>HCX Network Profiles - Management IP Range</t>
  </si>
  <si>
    <t>VCF Auth Primary Domain Controller Port</t>
  </si>
  <si>
    <t>Workload Domain Edge Cluster MTU</t>
  </si>
  <si>
    <t>Deployment Size</t>
  </si>
  <si>
    <t>HCX Network Profiles - vMotion IP Range</t>
  </si>
  <si>
    <t>VCF Auth Secondary Domain Controller</t>
  </si>
  <si>
    <t>vSphere Zone Name</t>
  </si>
  <si>
    <t>HCX Compute Profile</t>
  </si>
  <si>
    <t xml:space="preserve">VCF Auth Secondary Domain Controller Port </t>
  </si>
  <si>
    <t>Control Plane IP Range</t>
  </si>
  <si>
    <t>HCX Service Mesh</t>
  </si>
  <si>
    <t xml:space="preserve">VCF Auth Directory Search </t>
  </si>
  <si>
    <t xml:space="preserve">Workload DNS </t>
  </si>
  <si>
    <t xml:space="preserve">Appliance 2 FQDN </t>
  </si>
  <si>
    <t>VCF Auth Base DN</t>
  </si>
  <si>
    <t>Supervisor Name</t>
  </si>
  <si>
    <t xml:space="preserve">Appliance 3 FQDN </t>
  </si>
  <si>
    <t>Randsomware Recovery</t>
  </si>
  <si>
    <t xml:space="preserve">VCF Auth Bind Username </t>
  </si>
  <si>
    <t>NSX Project</t>
  </si>
  <si>
    <t>MGMT vCenter</t>
  </si>
  <si>
    <t>VCF Auth Bind Password</t>
  </si>
  <si>
    <t xml:space="preserve">Workload NTP </t>
  </si>
  <si>
    <t>Enable Edge cluster sync and import NSX Edge node VMs</t>
  </si>
  <si>
    <t>Protected vCenter</t>
  </si>
  <si>
    <t>VCF Auth Username</t>
  </si>
  <si>
    <t>Private CIDR</t>
  </si>
  <si>
    <t>Configure NSX Overlay using ESXi Management VMkernel Networking:</t>
  </si>
  <si>
    <t>VLR Hostname</t>
  </si>
  <si>
    <t>VCF Auth First Name</t>
  </si>
  <si>
    <t>Private (Transit Gateway) CIDR</t>
  </si>
  <si>
    <t>Auto Generate Passwords</t>
  </si>
  <si>
    <t>VLR FQDN</t>
  </si>
  <si>
    <t>VCF Auth Last Name</t>
  </si>
  <si>
    <t>Service CIDR</t>
  </si>
  <si>
    <t>NSX Administrator Password</t>
  </si>
  <si>
    <t>Cluster Virtual IP</t>
  </si>
  <si>
    <t>Storage Cluster</t>
  </si>
  <si>
    <t>VCF Auth Distinguised Name</t>
  </si>
  <si>
    <t>Use ESXi Management VMK settings</t>
  </si>
  <si>
    <t>NSX Root Password</t>
  </si>
  <si>
    <t>Server Domain / FQDN - Master</t>
  </si>
  <si>
    <t xml:space="preserve">Storage Cluster VDS </t>
  </si>
  <si>
    <t>VCF Auth Employee ID</t>
  </si>
  <si>
    <t>VPC Connectivity Profile</t>
  </si>
  <si>
    <t>Server Domain / FQDN - Worker 1</t>
  </si>
  <si>
    <t>VCF Auth Email</t>
  </si>
  <si>
    <t>Workload Domain Name</t>
  </si>
  <si>
    <t>Server Domain / FQDN - Worker 2</t>
  </si>
  <si>
    <t>VCF Auth Principal name</t>
  </si>
  <si>
    <t>IP Address</t>
  </si>
  <si>
    <t>VCF Auth Group base DN</t>
  </si>
  <si>
    <t xml:space="preserve">Cluster Strecthed Cluster  							</t>
  </si>
  <si>
    <t>VCF Auth User base dn</t>
  </si>
  <si>
    <t>MGMT Domain Hostnames (Witness AZ)</t>
  </si>
  <si>
    <t xml:space="preserve">Workload VPC Configuration   </t>
  </si>
  <si>
    <t>VPC External IP Blocks Pool Name</t>
  </si>
  <si>
    <t xml:space="preserve">Visability </t>
  </si>
  <si>
    <t>Node Port Group</t>
  </si>
  <si>
    <t>Recovery Workload AZ1 CIDR Prefix</t>
  </si>
  <si>
    <t>Node Gateway</t>
  </si>
  <si>
    <t>Recovery Site VRMS Gateway</t>
  </si>
  <si>
    <t>Excluded Ips</t>
  </si>
  <si>
    <t>Node Subnet</t>
  </si>
  <si>
    <t>Recovery Site VRMS Cidr</t>
  </si>
  <si>
    <t xml:space="preserve">Management Domain VI Inputs (Secondary Availability Zone)								</t>
  </si>
  <si>
    <t>Reserved for Specific Subnet</t>
  </si>
  <si>
    <t xml:space="preserve">Proteected Site VRMS Mask </t>
  </si>
  <si>
    <t>Private - Transit Gateway IP Blocks Pool Name</t>
  </si>
  <si>
    <t xml:space="preserve">VSLR Username </t>
  </si>
  <si>
    <t>Admin Password Alias</t>
  </si>
  <si>
    <t>Admin Password</t>
  </si>
  <si>
    <t>Admin Password Description</t>
  </si>
  <si>
    <t>Management Cluster SDDC ID</t>
  </si>
  <si>
    <t>Admin Username</t>
  </si>
  <si>
    <t xml:space="preserve">Node Name (FQDN) </t>
  </si>
  <si>
    <t xml:space="preserve">Management Domain VI Inputs (Witness Availability Zone)								</t>
  </si>
  <si>
    <t xml:space="preserve">Management CIDR </t>
  </si>
  <si>
    <t>Resource Pool</t>
  </si>
  <si>
    <t xml:space="preserve">Node Size </t>
  </si>
  <si>
    <t>Admin Email</t>
  </si>
  <si>
    <t xml:space="preserve">Workload Supervisor </t>
  </si>
  <si>
    <t>Node A Hostname</t>
  </si>
  <si>
    <t>Supervisor name</t>
  </si>
  <si>
    <t>Node B Hostname</t>
  </si>
  <si>
    <t>vSphere Zone name</t>
  </si>
  <si>
    <t>Node C Hostname</t>
  </si>
  <si>
    <t>Management Domain IP Addresses (Witness AZ)</t>
  </si>
  <si>
    <t>Control Plane Storage Policy</t>
  </si>
  <si>
    <t>vMotion VLAN ID</t>
  </si>
  <si>
    <t>VIP IP</t>
  </si>
  <si>
    <t>Ephemeral Disks Storage Policy</t>
  </si>
  <si>
    <t>Node A IP</t>
  </si>
  <si>
    <t>Image Cache Storage Policy</t>
  </si>
  <si>
    <t>AZ Network - vMotion</t>
  </si>
  <si>
    <t>Node B IP</t>
  </si>
  <si>
    <t>vSAN Witness IP</t>
  </si>
  <si>
    <t>IP Addresses</t>
  </si>
  <si>
    <t>Subnet Mask</t>
  </si>
  <si>
    <t>Node C IP</t>
  </si>
  <si>
    <t>Disk Mode</t>
  </si>
  <si>
    <t>DNS Search Domains</t>
  </si>
  <si>
    <t>Default Gateway</t>
  </si>
  <si>
    <t>NTP Servers(s)</t>
  </si>
  <si>
    <t xml:space="preserve">VCF Networks for Network </t>
  </si>
  <si>
    <t xml:space="preserve">vSAN Network </t>
  </si>
  <si>
    <t>Management Domain Accounts and Passwords</t>
  </si>
  <si>
    <t>External IP Blocks</t>
  </si>
  <si>
    <t>vSAN VLAN ID</t>
  </si>
  <si>
    <t>Private (Transit Gateway) IP Blocks</t>
  </si>
  <si>
    <t>Passphrase</t>
  </si>
  <si>
    <t>ESX Root Account</t>
  </si>
  <si>
    <t>Private (VPC) CIDRs</t>
  </si>
  <si>
    <t xml:space="preserve">AZ Network - Princpal Storage </t>
  </si>
  <si>
    <t>ESX Root Password</t>
  </si>
  <si>
    <t>Private Key</t>
  </si>
  <si>
    <t>vCenter Root Password</t>
  </si>
  <si>
    <t>DNS Server(s</t>
  </si>
  <si>
    <t xml:space="preserve">Certificate Chain </t>
  </si>
  <si>
    <t>VCF Automation Root Password</t>
  </si>
  <si>
    <t>NTP Server(s)</t>
  </si>
  <si>
    <t>VCF Operations Admin Password</t>
  </si>
  <si>
    <t>API Server DNS Name(s)</t>
  </si>
  <si>
    <t>VCF OPS Root Password</t>
  </si>
  <si>
    <t>Fleet Manager Admin Password</t>
  </si>
  <si>
    <t>vSAN Client Network</t>
  </si>
  <si>
    <t>WLD administrator@vsphere.local Password</t>
  </si>
  <si>
    <t>NFS VLAN ID</t>
  </si>
  <si>
    <t xml:space="preserve">Deploy Deffered Components </t>
  </si>
  <si>
    <t>MGMT NSX Admin Password</t>
  </si>
  <si>
    <t>SDDC Manager FQDN</t>
  </si>
  <si>
    <t>Network -  Secondary Storage</t>
  </si>
  <si>
    <t>MGMT NSX Root Password</t>
  </si>
  <si>
    <t>SSO Administrator username</t>
  </si>
  <si>
    <t>FQDN - Platform Node #1</t>
  </si>
  <si>
    <t>MGMT VIDB VIPS</t>
  </si>
  <si>
    <t>SSO Administrator password</t>
  </si>
  <si>
    <t>FQDN - Platform Node #2</t>
  </si>
  <si>
    <t>MGMT VIDB Node Prefix</t>
  </si>
  <si>
    <t>Port group for VCF management traffic</t>
  </si>
  <si>
    <t>FQDN - Platform Node #3</t>
  </si>
  <si>
    <t>MGMT VIDB Password</t>
  </si>
  <si>
    <t>Gateway (CIDR notation)</t>
  </si>
  <si>
    <t>FQDN - Proxy</t>
  </si>
  <si>
    <t>MGMT VIDB Password Alias</t>
  </si>
  <si>
    <t>IPv4 address Range From</t>
  </si>
  <si>
    <t>IP - Platform Node #1</t>
  </si>
  <si>
    <t>MGMT VIDB Password Description</t>
  </si>
  <si>
    <t>IPv4 address Range To</t>
  </si>
  <si>
    <t>IP - Platform Node #2</t>
  </si>
  <si>
    <t>MGMT VIDB Root Password</t>
  </si>
  <si>
    <t>Primary node FQDN</t>
  </si>
  <si>
    <t>IP - Platform Node #3</t>
  </si>
  <si>
    <t>MGMT VIDB VMware System User Password Alias</t>
  </si>
  <si>
    <t>Replica FQDN</t>
  </si>
  <si>
    <t>IP - Proxy</t>
  </si>
  <si>
    <t>MGMT VIDB VMware System User Password Password</t>
  </si>
  <si>
    <t>Data node FQDN</t>
  </si>
  <si>
    <t>HOSTNAME - Platform Node #1</t>
  </si>
  <si>
    <t>MGMT VIDB VMware System User Password Description</t>
  </si>
  <si>
    <t>Load Balancer FQDN</t>
  </si>
  <si>
    <t>HOSTNAME - Platform Node #2</t>
  </si>
  <si>
    <t>Cloud Proxy FQDN</t>
  </si>
  <si>
    <t>HOSTNAME - Platform Node #3</t>
  </si>
  <si>
    <t>MGMT Edge Node 1 Uplink Mapping fp-eth0 uplink0</t>
  </si>
  <si>
    <t>License Server FQDN</t>
  </si>
  <si>
    <t>HOSTNAME - Proxy</t>
  </si>
  <si>
    <t>MGMT Edge Node 1 Uplink Mapping fp-eth0 uplink1</t>
  </si>
  <si>
    <t>VRA FQDN</t>
  </si>
  <si>
    <t>MGMT Edge Node 1 Uplink Mapping fp-eth1 uplink0</t>
  </si>
  <si>
    <t>Automation Service Runtime FQDN</t>
  </si>
  <si>
    <t>MGMT Edge Node 1 Uplink Mapping fp-eth1 uplink1</t>
  </si>
  <si>
    <t xml:space="preserve"> VCF Operations Primary node IP</t>
  </si>
  <si>
    <t xml:space="preserve">vSAN TYPE </t>
  </si>
  <si>
    <t>MGMT Edge Node 2 Uplink Mapping fp-eth0 uplink0</t>
  </si>
  <si>
    <t xml:space="preserve"> VCF Operations Replica IP</t>
  </si>
  <si>
    <t>vSAN ESA</t>
  </si>
  <si>
    <t>MGMT Edge Node 2 Uplink Mapping fp-eth0 uplink1</t>
  </si>
  <si>
    <t xml:space="preserve"> VCF Operations Data node IP</t>
  </si>
  <si>
    <t>vSAN Witness Zone - MGMT VLAN ID</t>
  </si>
  <si>
    <t>MGMT Edge Node 2 Uplink Mapping fp-eth1 uplink0</t>
  </si>
  <si>
    <t xml:space="preserve"> VCF Operations Load Balancer IP</t>
  </si>
  <si>
    <t>vSAN Witness Zone - MGMT Gateway</t>
  </si>
  <si>
    <t>MGMT Edge Node 2 Uplink Mapping fp-eth1 uplink1</t>
  </si>
  <si>
    <t>Cloud Proxy IP</t>
  </si>
  <si>
    <t>vSAN Witness Zone - MGMT CIDR Notation</t>
  </si>
  <si>
    <t>License Server IP</t>
  </si>
  <si>
    <t>vSAN Witness Zone - MGMT MTU</t>
  </si>
  <si>
    <t>WLD Edge Node 1 Uplink Mapping fp-eth0 uplink0</t>
  </si>
  <si>
    <t>VCF Automation IP</t>
  </si>
  <si>
    <t>vcenter_server_fqdn</t>
  </si>
  <si>
    <t>WLD Edge Node 1 Uplink Mapping fp-eth0 uplink1</t>
  </si>
  <si>
    <t>Automation Service Runtime IP</t>
  </si>
  <si>
    <t>virtual machine name</t>
  </si>
  <si>
    <t>WLD Edge Node 1 Uplink Mapping fp-eth1 uplink0</t>
  </si>
  <si>
    <t>cluster</t>
  </si>
  <si>
    <t>WLD Edge Node 1 Uplink Mapping fp-eth1 uplink1</t>
  </si>
  <si>
    <t>Cyber Recovery</t>
  </si>
  <si>
    <t>WLD Edge Node 2 Uplink Mapping fp-eth0 uplink0</t>
  </si>
  <si>
    <t>WLD Edge Node 2 Uplink Mapping fp-eth0 uplink1</t>
  </si>
  <si>
    <t>WLD Edge Node 2 Uplink Mapping fp-eth1 uplink0</t>
  </si>
  <si>
    <t>Secondary Network</t>
  </si>
  <si>
    <t>WLD Edge Node 2 Uplink Mapping fp-eth1 uplink1</t>
  </si>
  <si>
    <t xml:space="preserve">Management VPC Configuration  </t>
  </si>
  <si>
    <t>Witness Hostname</t>
  </si>
  <si>
    <t>DNS Servers #1</t>
  </si>
  <si>
    <t>DNS Servers #2</t>
  </si>
  <si>
    <t>NTP Servers #1</t>
  </si>
  <si>
    <t>Operations for Networks Platform Password</t>
  </si>
  <si>
    <t>NTP Servers #2</t>
  </si>
  <si>
    <t>Support Password</t>
  </si>
  <si>
    <t>Console Password</t>
  </si>
  <si>
    <t>data center</t>
  </si>
  <si>
    <t xml:space="preserve">OPS for Networks Proxy Port Group </t>
  </si>
  <si>
    <t>NSX Host Overlay Network Pool Name</t>
  </si>
  <si>
    <t>gateway</t>
  </si>
  <si>
    <t xml:space="preserve">NSX Host Overlay Uplink Profile Name </t>
  </si>
  <si>
    <t>OPS for Networks Node A Size</t>
  </si>
  <si>
    <t>secondaryAzOverlayVlanId</t>
  </si>
  <si>
    <t>OPS for Networks Node B Size</t>
  </si>
  <si>
    <t>OPS for Networks Node C Size</t>
  </si>
  <si>
    <t>OPS for Networks Proxy Size</t>
  </si>
  <si>
    <t>Data Store</t>
  </si>
  <si>
    <t>Configure VCF Operations and Automation  {SDDC Manager}</t>
  </si>
  <si>
    <t xml:space="preserve">Management Supervisor </t>
  </si>
  <si>
    <t>&lt;nsx_manager_fqdn&gt;</t>
  </si>
  <si>
    <t>networkName</t>
  </si>
  <si>
    <t>Host  1 FQDN - AZ2</t>
  </si>
  <si>
    <t>subnetMask</t>
  </si>
  <si>
    <t>Host 2 FQDN - AZ2</t>
  </si>
  <si>
    <t>Host 3 FQDN - AZ2</t>
  </si>
  <si>
    <t>useExistingDeployment</t>
  </si>
  <si>
    <t>Host 4 FQDN  - AZ2</t>
  </si>
  <si>
    <t>Host 5 FQDN - AZ2</t>
  </si>
  <si>
    <t>IP</t>
  </si>
  <si>
    <t>Host 6 FQDN - AZ2</t>
  </si>
  <si>
    <t>rootUserPassword</t>
  </si>
  <si>
    <t>Host 7 FQDN - AZ2</t>
  </si>
  <si>
    <t>adminUserPassword</t>
  </si>
  <si>
    <t>Host 8 FQDN - AZ2</t>
  </si>
  <si>
    <t>Host 9 FQDN - AZ2</t>
  </si>
  <si>
    <t>FQDN - LB</t>
  </si>
  <si>
    <t>Host 10 FQDN - AZ2</t>
  </si>
  <si>
    <t>VCF OPS FQDN - Master</t>
  </si>
  <si>
    <t>Host 11 FQDN - AZ2</t>
  </si>
  <si>
    <t>FQDN - Replica</t>
  </si>
  <si>
    <t>Host 12 FQDN - AZ2</t>
  </si>
  <si>
    <t>FQDN - Data</t>
  </si>
  <si>
    <t>Host 13 FQDN - AZ2</t>
  </si>
  <si>
    <t>IP Address - LB</t>
  </si>
  <si>
    <t>Host 14 FQDN - AZ2</t>
  </si>
  <si>
    <t>IP Address - Master</t>
  </si>
  <si>
    <t>Host 15 FQDN - AZ2</t>
  </si>
  <si>
    <t>IP Address - Replica</t>
  </si>
  <si>
    <t>Host 16 FQDN - AZ2</t>
  </si>
  <si>
    <t>IP Address - Data</t>
  </si>
  <si>
    <t>asn_bgp_neighbor1</t>
  </si>
  <si>
    <t>applianceSize</t>
  </si>
  <si>
    <t>ip_bgp_neighbor2</t>
  </si>
  <si>
    <t>asn_bgp_neighbor2</t>
  </si>
  <si>
    <t>VCF OPs collector FQDN</t>
  </si>
  <si>
    <t>VCF Automation FQDN</t>
  </si>
  <si>
    <t>VCF services runtime FQDN</t>
  </si>
  <si>
    <t>ipPool #1</t>
  </si>
  <si>
    <t>ipPool #2</t>
  </si>
  <si>
    <t>ipPool #3</t>
  </si>
  <si>
    <t>ipPool #4</t>
  </si>
  <si>
    <t>ipPool #5</t>
  </si>
  <si>
    <t>ipPool #6</t>
  </si>
  <si>
    <t>Cluster Cidr</t>
  </si>
  <si>
    <t>local reg networkName</t>
  </si>
  <si>
    <t>local reg subnetMask</t>
  </si>
  <si>
    <t>local reg gateway</t>
  </si>
  <si>
    <t>x reg networkName</t>
  </si>
  <si>
    <t>x reg subnetMask</t>
  </si>
  <si>
    <t>x reg gateway</t>
  </si>
  <si>
    <t>Configure VCF  Automation  {Fleet Manager}</t>
  </si>
  <si>
    <t>Installation Type</t>
  </si>
  <si>
    <t xml:space="preserve">Deployment Type </t>
  </si>
  <si>
    <t>VCF Automation  FQDN</t>
  </si>
  <si>
    <t>VCF Automation IP Address</t>
  </si>
  <si>
    <t xml:space="preserve">VCF services runtime IP Address </t>
  </si>
  <si>
    <t>Select Subnet</t>
  </si>
  <si>
    <t>Node portgroup</t>
  </si>
  <si>
    <t>Password Alias</t>
  </si>
  <si>
    <t>Password Description</t>
  </si>
  <si>
    <t>Site Protection and Disaster Recovery</t>
  </si>
  <si>
    <t>Management Domain</t>
  </si>
  <si>
    <t>Group / Component</t>
  </si>
  <si>
    <t>Domain</t>
  </si>
  <si>
    <t>Reference Hostname</t>
  </si>
  <si>
    <t>Your Hostname</t>
  </si>
  <si>
    <t>Reference IP Address</t>
  </si>
  <si>
    <t>Your IP Address</t>
  </si>
  <si>
    <t>Notes</t>
  </si>
  <si>
    <t>n/a</t>
  </si>
  <si>
    <t>Incoming Storage Traffic Interface for vSphere Replication in Management Domain</t>
  </si>
  <si>
    <t>Management Interface for Site Recovery Manager in Management Domain</t>
  </si>
  <si>
    <t>Recovery NSX Tier-1 Service Interface</t>
  </si>
  <si>
    <t>VI Workload Domain</t>
  </si>
  <si>
    <t>Management Interface for vSphere Replication in VI Workload Domain</t>
  </si>
  <si>
    <t>Incoming Storage Traffic Interface for vSphere Replication in VI Workload Domain</t>
  </si>
  <si>
    <t>Management Interface for Site Recovery Manager in VI Workload Domain</t>
  </si>
  <si>
    <t>Site Protection and Disaster Recovery Inputs (Common)</t>
  </si>
  <si>
    <t>Reference Value</t>
  </si>
  <si>
    <t>Recovery Site Details</t>
  </si>
  <si>
    <t>Site Protection and Disaster Recovery Inputs (Management Domain)</t>
  </si>
  <si>
    <t>vSphere Replcation</t>
  </si>
  <si>
    <t>VM Folder Name</t>
  </si>
  <si>
    <t>Initial Root Password</t>
  </si>
  <si>
    <t>Initial Admin Password</t>
  </si>
  <si>
    <t>Site Name</t>
  </si>
  <si>
    <t>Administrator Email Address</t>
  </si>
  <si>
    <t>Portgroup Name</t>
  </si>
  <si>
    <t>P12 Cert File Password</t>
  </si>
  <si>
    <t>Initial Database Password</t>
  </si>
  <si>
    <r>
      <rPr>
        <b/>
        <sz val="12"/>
        <color theme="1"/>
        <rFont val="Arial"/>
        <family val="2"/>
      </rPr>
      <t xml:space="preserve">Protection Group Name </t>
    </r>
    <r>
      <rPr>
        <i/>
        <sz val="12"/>
        <color theme="1"/>
        <rFont val="Arial"/>
        <family val="2"/>
      </rPr>
      <t>(VMware Aria Suite Lifecycle &amp; Clustered WSA)</t>
    </r>
  </si>
  <si>
    <t>Aria Suite Lifecycle &amp; Clustered Workspace ONE Access PG</t>
  </si>
  <si>
    <r>
      <rPr>
        <b/>
        <sz val="12"/>
        <color theme="1"/>
        <rFont val="Arial"/>
        <family val="2"/>
      </rPr>
      <t xml:space="preserve">Recovery Plan Name </t>
    </r>
    <r>
      <rPr>
        <i/>
        <sz val="12"/>
        <color theme="1"/>
        <rFont val="Arial"/>
        <family val="2"/>
      </rPr>
      <t>(VMware Aria Suite Lifecycle &amp; Clustered WSA)</t>
    </r>
  </si>
  <si>
    <t>Aria Suite Lifecycle &amp; Clustered Workspace ONE Access RP</t>
  </si>
  <si>
    <t>Private Cloud Automation PG</t>
  </si>
  <si>
    <t>Private Cloud Automation RP</t>
  </si>
  <si>
    <t>Load Balancer</t>
  </si>
  <si>
    <t>Recovery VMware Aria Load Balancer Deployment Method</t>
  </si>
  <si>
    <t>PowerShell</t>
  </si>
  <si>
    <t>PowerShell recommended to avoid lengthy and error prone UI configuration</t>
  </si>
  <si>
    <t>Existing: Recovery Site SSO Model</t>
  </si>
  <si>
    <t>Same SSO Domain</t>
  </si>
  <si>
    <t>Site Protection and Disaster Recovery Inputs (Workload Domain)</t>
  </si>
  <si>
    <t>Prepare VMware Aria Product for Site Protection</t>
  </si>
  <si>
    <t>Create a Virtual Machine Folder and Move the VMware Aria Suite Lifecycle Virtual Machine in the Protected VMware Cloud Foundation Instance</t>
  </si>
  <si>
    <t>&lt;protected_vcenter_server_fqdn&gt;</t>
  </si>
  <si>
    <t>Folder Name</t>
  </si>
  <si>
    <t>xint-m01-fd-lcm</t>
  </si>
  <si>
    <t>VM Name</t>
  </si>
  <si>
    <t>Create Virtual Machine Folders for SDDC Management Components in the Recovery VMware Cloud Foundation Instance</t>
  </si>
  <si>
    <t>&lt;recovery_vcenter_server_fqdn&gt;</t>
  </si>
  <si>
    <t>Folder Name (VMware Aria Suite Lifecycle)</t>
  </si>
  <si>
    <r>
      <rPr>
        <b/>
        <sz val="12"/>
        <color theme="1"/>
        <rFont val="Arial"/>
        <family val="2"/>
      </rPr>
      <t>Folder Name</t>
    </r>
    <r>
      <rPr>
        <i/>
        <sz val="12"/>
        <color theme="1"/>
        <rFont val="Arial"/>
        <family val="2"/>
      </rPr>
      <t xml:space="preserve"> (Clustered Workspace ONE Access)</t>
    </r>
  </si>
  <si>
    <t>xint-m01-fd-idm</t>
  </si>
  <si>
    <t>Folder Name (VMware Aria Operations)</t>
  </si>
  <si>
    <t>xint-m01-fd-operations</t>
  </si>
  <si>
    <r>
      <rPr>
        <b/>
        <sz val="12"/>
        <color theme="1"/>
        <rFont val="Arial"/>
        <family val="2"/>
      </rPr>
      <t xml:space="preserve">Folder Name </t>
    </r>
    <r>
      <rPr>
        <i/>
        <sz val="12"/>
        <color theme="1"/>
        <rFont val="Arial"/>
        <family val="2"/>
      </rPr>
      <t>(VMware Aria Automation)</t>
    </r>
  </si>
  <si>
    <t>xint-m01-fd-automation</t>
  </si>
  <si>
    <t>Create a Standalone Tier-1 Gateway for the Load Balancer in the Recovery VMware Cloud Foundation Instance</t>
  </si>
  <si>
    <t>&lt;active_nsx_gm_fqdn&gt;</t>
  </si>
  <si>
    <t>Recovery Site NSX Location</t>
  </si>
  <si>
    <t>Tier-1 Gateway Name</t>
  </si>
  <si>
    <t>recovery-t1-gw01</t>
  </si>
  <si>
    <t>recovery-t1-gw01-si01</t>
  </si>
  <si>
    <t>IP Address / Mask</t>
  </si>
  <si>
    <t>Segment</t>
  </si>
  <si>
    <t>Scope</t>
  </si>
  <si>
    <t>Enable the Load Balancer Service on the Tier-1 Gateway in the Recovery VMware Cloud Foundation Instance</t>
  </si>
  <si>
    <t>recovery-lb01</t>
  </si>
  <si>
    <t>Import the Certificate of the Clustered Workspace ONE Access in NSX-T Data Center in the Recovery VMware Cloud Foundation Instance</t>
  </si>
  <si>
    <t>Create a Service Monitor for VMware Aria Operations in the Recovery VMware Cloud Foundation Instance</t>
  </si>
  <si>
    <t>vrops-https-monitor</t>
  </si>
  <si>
    <t>Create a Server Pool for VMware Aria Operations in the Recovery VMware Cloud Foundation Instance</t>
  </si>
  <si>
    <t>vrops-server-pool</t>
  </si>
  <si>
    <r>
      <rPr>
        <b/>
        <sz val="12"/>
        <color theme="1"/>
        <rFont val="Arial"/>
        <family val="2"/>
      </rPr>
      <t>Name</t>
    </r>
    <r>
      <rPr>
        <i/>
        <sz val="12"/>
        <color theme="1"/>
        <rFont val="Arial"/>
        <family val="2"/>
      </rPr>
      <t xml:space="preserve"> (Member 1)</t>
    </r>
  </si>
  <si>
    <t>vrops01svr01a</t>
  </si>
  <si>
    <r>
      <rPr>
        <b/>
        <sz val="12"/>
        <color theme="1"/>
        <rFont val="Arial"/>
        <family val="2"/>
      </rPr>
      <t xml:space="preserve">IP </t>
    </r>
    <r>
      <rPr>
        <i/>
        <sz val="12"/>
        <color theme="1"/>
        <rFont val="Arial"/>
        <family val="2"/>
      </rPr>
      <t>(Member 1)</t>
    </r>
  </si>
  <si>
    <r>
      <rPr>
        <b/>
        <sz val="12"/>
        <color theme="1"/>
        <rFont val="Arial"/>
        <family val="2"/>
      </rPr>
      <t>Name</t>
    </r>
    <r>
      <rPr>
        <i/>
        <sz val="12"/>
        <color theme="1"/>
        <rFont val="Arial"/>
        <family val="2"/>
      </rPr>
      <t xml:space="preserve"> (Member 2)</t>
    </r>
  </si>
  <si>
    <t>vrops01svr01b</t>
  </si>
  <si>
    <r>
      <rPr>
        <b/>
        <sz val="12"/>
        <color theme="1"/>
        <rFont val="Arial"/>
        <family val="2"/>
      </rPr>
      <t xml:space="preserve">IP </t>
    </r>
    <r>
      <rPr>
        <i/>
        <sz val="12"/>
        <color theme="1"/>
        <rFont val="Arial"/>
        <family val="2"/>
      </rPr>
      <t>(Member 2)</t>
    </r>
  </si>
  <si>
    <r>
      <rPr>
        <b/>
        <sz val="12"/>
        <color theme="1"/>
        <rFont val="Arial"/>
        <family val="2"/>
      </rPr>
      <t xml:space="preserve">Name </t>
    </r>
    <r>
      <rPr>
        <i/>
        <sz val="12"/>
        <color theme="1"/>
        <rFont val="Arial"/>
        <family val="2"/>
      </rPr>
      <t>(Member 3)</t>
    </r>
  </si>
  <si>
    <t>vrops01svr01c</t>
  </si>
  <si>
    <r>
      <rPr>
        <b/>
        <sz val="12"/>
        <color theme="1"/>
        <rFont val="Arial"/>
        <family val="2"/>
      </rPr>
      <t xml:space="preserve">IP </t>
    </r>
    <r>
      <rPr>
        <i/>
        <sz val="12"/>
        <color theme="1"/>
        <rFont val="Arial"/>
        <family val="2"/>
      </rPr>
      <t>(Member 3)</t>
    </r>
  </si>
  <si>
    <r>
      <rPr>
        <b/>
        <sz val="12"/>
        <color theme="1"/>
        <rFont val="Arial"/>
        <family val="2"/>
      </rPr>
      <t>Name</t>
    </r>
    <r>
      <rPr>
        <i/>
        <sz val="12"/>
        <color theme="1"/>
        <rFont val="Arial"/>
        <family val="2"/>
      </rPr>
      <t xml:space="preserve"> (Monitor)</t>
    </r>
  </si>
  <si>
    <t>Create Application Profiles for VMware Aria Operations in the Recovery VMware Cloud Foundation Instance</t>
  </si>
  <si>
    <r>
      <rPr>
        <b/>
        <sz val="12"/>
        <color theme="1"/>
        <rFont val="Arial"/>
        <family val="2"/>
      </rPr>
      <t>Name</t>
    </r>
    <r>
      <rPr>
        <i/>
        <sz val="12"/>
        <color theme="1"/>
        <rFont val="Arial"/>
        <family val="2"/>
      </rPr>
      <t xml:space="preserve"> (TCP Application Profile)</t>
    </r>
  </si>
  <si>
    <t>vrops-tcp-app-profile</t>
  </si>
  <si>
    <r>
      <rPr>
        <b/>
        <sz val="12"/>
        <color theme="1"/>
        <rFont val="Arial"/>
        <family val="2"/>
      </rPr>
      <t xml:space="preserve">Name </t>
    </r>
    <r>
      <rPr>
        <i/>
        <sz val="12"/>
        <color theme="1"/>
        <rFont val="Arial"/>
        <family val="2"/>
      </rPr>
      <t>(HTTP Redirect Profile)</t>
    </r>
  </si>
  <si>
    <t>vrops-http-app-profile-redirect</t>
  </si>
  <si>
    <r>
      <rPr>
        <b/>
        <sz val="12"/>
        <color theme="1"/>
        <rFont val="Arial"/>
        <family val="2"/>
      </rPr>
      <t>Name</t>
    </r>
    <r>
      <rPr>
        <i/>
        <sz val="12"/>
        <color theme="1"/>
        <rFont val="Arial"/>
        <family val="2"/>
      </rPr>
      <t xml:space="preserve"> (Persistence Profile)</t>
    </r>
  </si>
  <si>
    <t>vrops-source-ip-persistence-profile</t>
  </si>
  <si>
    <t>Create Virtual Servers for VMware Aria Operations in the Recovery VMware Cloud Foundation Instance</t>
  </si>
  <si>
    <r>
      <rPr>
        <b/>
        <sz val="12"/>
        <color theme="1"/>
        <rFont val="Arial"/>
        <family val="2"/>
      </rPr>
      <t>Name</t>
    </r>
    <r>
      <rPr>
        <i/>
        <sz val="12"/>
        <color theme="1"/>
        <rFont val="Arial"/>
        <family val="2"/>
      </rPr>
      <t xml:space="preserve"> (HTTPS Virtual Server)</t>
    </r>
  </si>
  <si>
    <t>vrops-https</t>
  </si>
  <si>
    <r>
      <rPr>
        <b/>
        <sz val="12"/>
        <color theme="1"/>
        <rFont val="Arial"/>
        <family val="2"/>
      </rPr>
      <t xml:space="preserve">IP Address </t>
    </r>
    <r>
      <rPr>
        <i/>
        <sz val="12"/>
        <color theme="1"/>
        <rFont val="Arial"/>
        <family val="2"/>
      </rPr>
      <t>(HTTPS Virtual Server)</t>
    </r>
  </si>
  <si>
    <r>
      <rPr>
        <b/>
        <sz val="12"/>
        <color theme="1"/>
        <rFont val="Arial"/>
        <family val="2"/>
      </rPr>
      <t xml:space="preserve">Load Balancer </t>
    </r>
    <r>
      <rPr>
        <i/>
        <sz val="12"/>
        <color theme="1"/>
        <rFont val="Arial"/>
        <family val="2"/>
      </rPr>
      <t>(HTTPS Virtual Server)</t>
    </r>
  </si>
  <si>
    <r>
      <rPr>
        <b/>
        <sz val="12"/>
        <color theme="1"/>
        <rFont val="Arial"/>
        <family val="2"/>
      </rPr>
      <t xml:space="preserve">Server Pool </t>
    </r>
    <r>
      <rPr>
        <i/>
        <sz val="12"/>
        <color theme="1"/>
        <rFont val="Arial"/>
        <family val="2"/>
      </rPr>
      <t>(HTTPS Virtual Server)</t>
    </r>
  </si>
  <si>
    <r>
      <rPr>
        <b/>
        <sz val="12"/>
        <color theme="1"/>
        <rFont val="Arial"/>
        <family val="2"/>
      </rPr>
      <t>Source IP</t>
    </r>
    <r>
      <rPr>
        <i/>
        <sz val="12"/>
        <color theme="1"/>
        <rFont val="Arial"/>
        <family val="2"/>
      </rPr>
      <t xml:space="preserve"> (HTTPS Virtual Server)</t>
    </r>
  </si>
  <si>
    <r>
      <rPr>
        <b/>
        <sz val="12"/>
        <color theme="1"/>
        <rFont val="Arial"/>
        <family val="2"/>
      </rPr>
      <t>Application Profile</t>
    </r>
    <r>
      <rPr>
        <i/>
        <sz val="12"/>
        <color theme="1"/>
        <rFont val="Arial"/>
        <family val="2"/>
      </rPr>
      <t xml:space="preserve"> (HTTPS Virtual Server)</t>
    </r>
  </si>
  <si>
    <r>
      <rPr>
        <b/>
        <sz val="12"/>
        <color theme="1"/>
        <rFont val="Arial"/>
        <family val="2"/>
      </rPr>
      <t xml:space="preserve">Name </t>
    </r>
    <r>
      <rPr>
        <i/>
        <sz val="12"/>
        <color theme="1"/>
        <rFont val="Arial"/>
        <family val="2"/>
      </rPr>
      <t>(HTTP Redirect Virtual Server)</t>
    </r>
  </si>
  <si>
    <t>vrops-http-redirect</t>
  </si>
  <si>
    <r>
      <rPr>
        <b/>
        <sz val="12"/>
        <color theme="1"/>
        <rFont val="Arial"/>
        <family val="2"/>
      </rPr>
      <t xml:space="preserve">IP Address </t>
    </r>
    <r>
      <rPr>
        <i/>
        <sz val="12"/>
        <color theme="1"/>
        <rFont val="Arial"/>
        <family val="2"/>
      </rPr>
      <t>(HTTP Redirect Virtual Server)</t>
    </r>
  </si>
  <si>
    <r>
      <rPr>
        <b/>
        <sz val="12"/>
        <color theme="1"/>
        <rFont val="Arial"/>
        <family val="2"/>
      </rPr>
      <t>Load Balancer</t>
    </r>
    <r>
      <rPr>
        <i/>
        <sz val="12"/>
        <color theme="1"/>
        <rFont val="Arial"/>
        <family val="2"/>
      </rPr>
      <t xml:space="preserve"> (HTTP Redirect Virtual Server)</t>
    </r>
  </si>
  <si>
    <r>
      <rPr>
        <b/>
        <sz val="12"/>
        <color theme="1"/>
        <rFont val="Arial"/>
        <family val="2"/>
      </rPr>
      <t xml:space="preserve">Application Profile </t>
    </r>
    <r>
      <rPr>
        <i/>
        <sz val="12"/>
        <color theme="1"/>
        <rFont val="Arial"/>
        <family val="2"/>
      </rPr>
      <t>(HTTP Redirect Virtual Server)</t>
    </r>
  </si>
  <si>
    <t>wsa-http-app-profile-redirect</t>
  </si>
  <si>
    <t>Create a Service Monitor for VMware Aria Automation in the Recovery VMware Cloud Foundation Instance</t>
  </si>
  <si>
    <t>vra-http-monitor</t>
  </si>
  <si>
    <t>Create a Server Pool for VMware Aria Automation in the Recovery VMware Cloud Foundation Instance</t>
  </si>
  <si>
    <t>vra-server-pool</t>
  </si>
  <si>
    <r>
      <rPr>
        <b/>
        <sz val="12"/>
        <color theme="1"/>
        <rFont val="Arial"/>
        <family val="2"/>
      </rPr>
      <t xml:space="preserve">Name </t>
    </r>
    <r>
      <rPr>
        <i/>
        <sz val="12"/>
        <color theme="1"/>
        <rFont val="Arial"/>
        <family val="2"/>
      </rPr>
      <t>(Member 1)</t>
    </r>
  </si>
  <si>
    <t>vra01svr01a</t>
  </si>
  <si>
    <r>
      <rPr>
        <b/>
        <sz val="12"/>
        <color theme="1"/>
        <rFont val="Arial"/>
        <family val="2"/>
      </rPr>
      <t xml:space="preserve">Name </t>
    </r>
    <r>
      <rPr>
        <i/>
        <sz val="12"/>
        <color theme="1"/>
        <rFont val="Arial"/>
        <family val="2"/>
      </rPr>
      <t>(Member 2)</t>
    </r>
  </si>
  <si>
    <t>vra01svr01b</t>
  </si>
  <si>
    <r>
      <rPr>
        <b/>
        <sz val="12"/>
        <color theme="1"/>
        <rFont val="Arial"/>
        <family val="2"/>
      </rPr>
      <t>Name</t>
    </r>
    <r>
      <rPr>
        <i/>
        <sz val="12"/>
        <color theme="1"/>
        <rFont val="Arial"/>
        <family val="2"/>
      </rPr>
      <t xml:space="preserve"> (Member 3)</t>
    </r>
  </si>
  <si>
    <t>vra01svr01c</t>
  </si>
  <si>
    <t>Create Application Profiles for VMware Aria Automation in the Recovery VMware Cloud Foundation Instance</t>
  </si>
  <si>
    <t>vra-tcp-app-profile</t>
  </si>
  <si>
    <t>vra-http-app-profile-redirect</t>
  </si>
  <si>
    <t>Create Virtual Servers for VMware Aria Automation in the Recovery VMware Cloud Foundation Instance</t>
  </si>
  <si>
    <t>vra-https</t>
  </si>
  <si>
    <r>
      <rPr>
        <b/>
        <sz val="12"/>
        <color theme="1"/>
        <rFont val="Arial"/>
        <family val="2"/>
      </rPr>
      <t>IP Address</t>
    </r>
    <r>
      <rPr>
        <i/>
        <sz val="12"/>
        <color theme="1"/>
        <rFont val="Arial"/>
        <family val="2"/>
      </rPr>
      <t xml:space="preserve"> (HTTPS Virtual Server)</t>
    </r>
  </si>
  <si>
    <r>
      <rPr>
        <b/>
        <sz val="12"/>
        <color theme="1"/>
        <rFont val="Arial"/>
        <family val="2"/>
      </rPr>
      <t>Server Pool</t>
    </r>
    <r>
      <rPr>
        <i/>
        <sz val="12"/>
        <color theme="1"/>
        <rFont val="Arial"/>
        <family val="2"/>
      </rPr>
      <t xml:space="preserve"> (HTTPS Virtual Server)</t>
    </r>
  </si>
  <si>
    <r>
      <rPr>
        <b/>
        <sz val="12"/>
        <color theme="1"/>
        <rFont val="Arial"/>
        <family val="2"/>
      </rPr>
      <t xml:space="preserve">Application Profile </t>
    </r>
    <r>
      <rPr>
        <i/>
        <sz val="12"/>
        <color theme="1"/>
        <rFont val="Arial"/>
        <family val="2"/>
      </rPr>
      <t>(HTTPS Virtual Server)</t>
    </r>
  </si>
  <si>
    <r>
      <rPr>
        <b/>
        <sz val="12"/>
        <color theme="1"/>
        <rFont val="Arial"/>
        <family val="2"/>
      </rPr>
      <t>Name</t>
    </r>
    <r>
      <rPr>
        <i/>
        <sz val="12"/>
        <color theme="1"/>
        <rFont val="Arial"/>
        <family val="2"/>
      </rPr>
      <t xml:space="preserve"> (HTTP Redirect Virtual Server)</t>
    </r>
  </si>
  <si>
    <t>vra-http-redirect</t>
  </si>
  <si>
    <r>
      <rPr>
        <b/>
        <sz val="12"/>
        <color theme="1"/>
        <rFont val="Arial"/>
        <family val="2"/>
      </rPr>
      <t>Application Profile</t>
    </r>
    <r>
      <rPr>
        <i/>
        <sz val="12"/>
        <color theme="1"/>
        <rFont val="Arial"/>
        <family val="2"/>
      </rPr>
      <t xml:space="preserve"> (HTTP Redirect Virtual Server)</t>
    </r>
  </si>
  <si>
    <t>Implementation of vSphere Replication for the VI Workload Domain</t>
  </si>
  <si>
    <t>Create a Virtual Machine Folder for vSphere Replication</t>
  </si>
  <si>
    <t>&lt;vcenter_server_fqdn&gt;</t>
  </si>
  <si>
    <t>Deploy vSphere Replication</t>
  </si>
  <si>
    <t>Virtual Machine Name</t>
  </si>
  <si>
    <t>Folder</t>
  </si>
  <si>
    <t>Compute Resource</t>
  </si>
  <si>
    <t>Network 1</t>
  </si>
  <si>
    <r>
      <rPr>
        <b/>
        <sz val="12"/>
        <color theme="1"/>
        <rFont val="Arial"/>
        <family val="2"/>
      </rPr>
      <t>Password</t>
    </r>
    <r>
      <rPr>
        <i/>
        <sz val="12"/>
        <color theme="1"/>
        <rFont val="Arial"/>
        <family val="2"/>
      </rPr>
      <t xml:space="preserve"> (Initial Root)</t>
    </r>
  </si>
  <si>
    <r>
      <rPr>
        <b/>
        <sz val="12"/>
        <color theme="1"/>
        <rFont val="Arial"/>
        <family val="2"/>
      </rPr>
      <t xml:space="preserve">Password </t>
    </r>
    <r>
      <rPr>
        <i/>
        <sz val="12"/>
        <color theme="1"/>
        <rFont val="Arial"/>
        <family val="2"/>
      </rPr>
      <t>(Initial Admin)</t>
    </r>
  </si>
  <si>
    <t>Domain Search</t>
  </si>
  <si>
    <t>Domain Name Servers</t>
  </si>
  <si>
    <t>Network 1 IP Address</t>
  </si>
  <si>
    <t>Network 1 IP Netprefix</t>
  </si>
  <si>
    <t>Replace the Certificate of vSphere Replication</t>
  </si>
  <si>
    <t>&lt;vrms_fqdn&gt;</t>
  </si>
  <si>
    <r>
      <rPr>
        <b/>
        <sz val="12"/>
        <color theme="1"/>
        <rFont val="Arial"/>
        <family val="2"/>
      </rPr>
      <t xml:space="preserve">Password </t>
    </r>
    <r>
      <rPr>
        <i/>
        <sz val="12"/>
        <color theme="1"/>
        <rFont val="Arial"/>
        <family val="2"/>
      </rPr>
      <t>(P12 Cert File)</t>
    </r>
  </si>
  <si>
    <t>Register vSphere Replication with vCenter Single Sign-On</t>
  </si>
  <si>
    <t>PSC host name</t>
  </si>
  <si>
    <t>User name</t>
  </si>
  <si>
    <t>Administrator email</t>
  </si>
  <si>
    <t>Local Host</t>
  </si>
  <si>
    <t>Create a Port Group for vSphere Replication Traffic</t>
  </si>
  <si>
    <t>distributed_switch</t>
  </si>
  <si>
    <t>vSphere Replication Network</t>
  </si>
  <si>
    <t>Add a Network Adapter and Configure Static Routes for vSphere Replication</t>
  </si>
  <si>
    <t>vsphere_replication_appliance</t>
  </si>
  <si>
    <t>New network</t>
  </si>
  <si>
    <t>vrms_fqdn</t>
  </si>
  <si>
    <t>IPv4 Address (eth1)</t>
  </si>
  <si>
    <t>Ipv4 address prefix (eth1)</t>
  </si>
  <si>
    <t>IPv4 gateway (eth1)</t>
  </si>
  <si>
    <t>IP Address for incoming Storage Traffic</t>
  </si>
  <si>
    <t>source_vrms_network_gateway</t>
  </si>
  <si>
    <t>target_vrms_network_cidr</t>
  </si>
  <si>
    <t>Create a VMkernel Adapter on the ESXi Hosts for vSphere Replication Traffic</t>
  </si>
  <si>
    <t>Availability Zone 1 Hosts</t>
  </si>
  <si>
    <t>vSphere Replication IP (ESXi Host 1)</t>
  </si>
  <si>
    <t>vSphere Replication IP (ESXi Host 2)</t>
  </si>
  <si>
    <t>vSphere Replication IP (ESXi Host 3)</t>
  </si>
  <si>
    <t>vSphere Replication IP (ESXi Host 4)</t>
  </si>
  <si>
    <t>vSphere Replication IP (ESXi Host 5)</t>
  </si>
  <si>
    <t>vSphere Replication IP (ESXi Host 6)</t>
  </si>
  <si>
    <t>vSphere Replication IP (ESXi Host 7)</t>
  </si>
  <si>
    <t>vSphere Replication IP (ESXi Host 8)</t>
  </si>
  <si>
    <t>vSphere Replication IP (ESXi Host 9)</t>
  </si>
  <si>
    <t>vSphere Replication IP (ESXi Host 10)</t>
  </si>
  <si>
    <t>vSphere Replication IP (ESXi Host 11)</t>
  </si>
  <si>
    <t>vSphere Replication IP (ESXi Host 12)</t>
  </si>
  <si>
    <t>vSphere Replication IP (ESXi Host 13)</t>
  </si>
  <si>
    <t>vSphere Replication IP (ESXi Host 14)</t>
  </si>
  <si>
    <t>vSphere Replication IP (ESXi Host 15)</t>
  </si>
  <si>
    <t>vSphere Replication IP (ESXi Host 16)</t>
  </si>
  <si>
    <t>Availability Zone 2 Hosts</t>
  </si>
  <si>
    <t>Configure ESXi Host Static Routes for vSphere Replication</t>
  </si>
  <si>
    <r>
      <rPr>
        <b/>
        <sz val="12"/>
        <color theme="1"/>
        <rFont val="Arial"/>
        <family val="2"/>
      </rPr>
      <t>&lt;host_fqdn&gt;</t>
    </r>
    <r>
      <rPr>
        <i/>
        <sz val="12"/>
        <color theme="1"/>
        <rFont val="Arial"/>
        <family val="2"/>
      </rPr>
      <t xml:space="preserve"> (Host 1)</t>
    </r>
  </si>
  <si>
    <r>
      <rPr>
        <b/>
        <sz val="12"/>
        <color theme="1"/>
        <rFont val="Arial"/>
        <family val="2"/>
      </rPr>
      <t>source_vrms_network_gateway</t>
    </r>
    <r>
      <rPr>
        <i/>
        <sz val="12"/>
        <color theme="1"/>
        <rFont val="Arial"/>
        <family val="2"/>
      </rPr>
      <t xml:space="preserve"> (Host 1)</t>
    </r>
  </si>
  <si>
    <r>
      <rPr>
        <b/>
        <sz val="12"/>
        <color theme="1"/>
        <rFont val="Arial"/>
        <family val="2"/>
      </rPr>
      <t xml:space="preserve">target_vrms_network_cidr </t>
    </r>
    <r>
      <rPr>
        <i/>
        <sz val="12"/>
        <color theme="1"/>
        <rFont val="Arial"/>
        <family val="2"/>
      </rPr>
      <t>(Host 1)</t>
    </r>
  </si>
  <si>
    <r>
      <rPr>
        <b/>
        <sz val="12"/>
        <color theme="1"/>
        <rFont val="Arial"/>
        <family val="2"/>
      </rPr>
      <t xml:space="preserve">&lt;host_fqdn&gt; </t>
    </r>
    <r>
      <rPr>
        <i/>
        <sz val="12"/>
        <color theme="1"/>
        <rFont val="Arial"/>
        <family val="2"/>
      </rPr>
      <t>(Host 2)</t>
    </r>
  </si>
  <si>
    <r>
      <rPr>
        <b/>
        <sz val="12"/>
        <color theme="1"/>
        <rFont val="Arial"/>
        <family val="2"/>
      </rPr>
      <t>source_vrms_network_gateway</t>
    </r>
    <r>
      <rPr>
        <i/>
        <sz val="12"/>
        <color theme="1"/>
        <rFont val="Arial"/>
        <family val="2"/>
      </rPr>
      <t xml:space="preserve"> (Host 2)</t>
    </r>
  </si>
  <si>
    <r>
      <rPr>
        <b/>
        <sz val="12"/>
        <color theme="1"/>
        <rFont val="Arial"/>
        <family val="2"/>
      </rPr>
      <t>target_vrms_network_cidr</t>
    </r>
    <r>
      <rPr>
        <i/>
        <sz val="12"/>
        <color theme="1"/>
        <rFont val="Arial"/>
        <family val="2"/>
      </rPr>
      <t xml:space="preserve"> (Host 2)</t>
    </r>
  </si>
  <si>
    <r>
      <rPr>
        <b/>
        <sz val="12"/>
        <color theme="1"/>
        <rFont val="Arial"/>
        <family val="2"/>
      </rPr>
      <t xml:space="preserve">&lt;host_fqdn&gt; </t>
    </r>
    <r>
      <rPr>
        <i/>
        <sz val="12"/>
        <color theme="1"/>
        <rFont val="Arial"/>
        <family val="2"/>
      </rPr>
      <t>(Host 3)</t>
    </r>
  </si>
  <si>
    <r>
      <rPr>
        <b/>
        <sz val="12"/>
        <color theme="1"/>
        <rFont val="Arial"/>
        <family val="2"/>
      </rPr>
      <t>source_vrms_network_gateway</t>
    </r>
    <r>
      <rPr>
        <i/>
        <sz val="12"/>
        <color theme="1"/>
        <rFont val="Arial"/>
        <family val="2"/>
      </rPr>
      <t xml:space="preserve"> (Host 3)</t>
    </r>
  </si>
  <si>
    <r>
      <rPr>
        <b/>
        <sz val="12"/>
        <color theme="1"/>
        <rFont val="Arial"/>
        <family val="2"/>
      </rPr>
      <t xml:space="preserve">target_vrms_network_cidr </t>
    </r>
    <r>
      <rPr>
        <i/>
        <sz val="12"/>
        <color theme="1"/>
        <rFont val="Arial"/>
        <family val="2"/>
      </rPr>
      <t>(Host 3)</t>
    </r>
  </si>
  <si>
    <r>
      <rPr>
        <b/>
        <sz val="12"/>
        <color theme="1"/>
        <rFont val="Arial"/>
        <family val="2"/>
      </rPr>
      <t xml:space="preserve">&lt;host_fqdn&gt; </t>
    </r>
    <r>
      <rPr>
        <i/>
        <sz val="12"/>
        <color theme="1"/>
        <rFont val="Arial"/>
        <family val="2"/>
      </rPr>
      <t>(Host 4)</t>
    </r>
  </si>
  <si>
    <r>
      <rPr>
        <b/>
        <sz val="12"/>
        <color theme="1"/>
        <rFont val="Arial"/>
        <family val="2"/>
      </rPr>
      <t>source_vrms_network_gateway</t>
    </r>
    <r>
      <rPr>
        <i/>
        <sz val="12"/>
        <color theme="1"/>
        <rFont val="Arial"/>
        <family val="2"/>
      </rPr>
      <t xml:space="preserve"> (Host 4)</t>
    </r>
  </si>
  <si>
    <r>
      <rPr>
        <b/>
        <sz val="12"/>
        <color theme="1"/>
        <rFont val="Arial"/>
        <family val="2"/>
      </rPr>
      <t xml:space="preserve">target_vrms_network_cidr </t>
    </r>
    <r>
      <rPr>
        <i/>
        <sz val="12"/>
        <color theme="1"/>
        <rFont val="Arial"/>
        <family val="2"/>
      </rPr>
      <t>(Host 4)</t>
    </r>
  </si>
  <si>
    <t>Implementation of Site Recovery Manager for the VI Workload Domain</t>
  </si>
  <si>
    <t>Create a Virtual Machine Folder for Site Recovery Manager</t>
  </si>
  <si>
    <t>Deploy Site Recovery Manager</t>
  </si>
  <si>
    <t>&lt;management_vcenter_server_fqdn&gt;</t>
  </si>
  <si>
    <r>
      <rPr>
        <b/>
        <sz val="12"/>
        <color theme="1"/>
        <rFont val="Arial"/>
        <family val="2"/>
      </rPr>
      <t xml:space="preserve">Password </t>
    </r>
    <r>
      <rPr>
        <i/>
        <sz val="12"/>
        <color theme="1"/>
        <rFont val="Arial"/>
        <family val="2"/>
      </rPr>
      <t>(Initial Database)</t>
    </r>
  </si>
  <si>
    <t>Replace the Certificate of Site Recovery Manager</t>
  </si>
  <si>
    <t>&lt;srm_fqdn&gt;</t>
  </si>
  <si>
    <t>Register Site Recovery Manager with vCenter Single Sign-On</t>
  </si>
  <si>
    <t>Assign Licenses to Site Recovery Manager</t>
  </si>
  <si>
    <t>Enter license keys</t>
  </si>
  <si>
    <t>License name</t>
  </si>
  <si>
    <t>Asset</t>
  </si>
  <si>
    <t>License</t>
  </si>
  <si>
    <t>Protection Site Configuration Tasks</t>
  </si>
  <si>
    <t>Create a Site Pair between Protected and the Recovery VMware Cloud Foundation Instances</t>
  </si>
  <si>
    <t>Local vCenter Server Instance</t>
  </si>
  <si>
    <t>Pair Type</t>
  </si>
  <si>
    <t>Pair with a peer vCenter Server located in the same SSO domain</t>
  </si>
  <si>
    <t>vCenter Server you want to pair</t>
  </si>
  <si>
    <t xml:space="preserve">         Site Protection and Disaster Recovery Protection Blueprint </t>
  </si>
  <si>
    <t>This page contains all user required values used during the deployment of the Site Protection and Disaster Recovery Protection Blueprint . Each table and value maps directly to a process in the deployment guidance documentation.</t>
  </si>
  <si>
    <t>Solution Interoperability</t>
  </si>
  <si>
    <t>Reconfigure DNS and Domain Search on the VCF Operations Fleet Management Appliance for Site Protection and Disaster Recovery for VMware Cloud Foundation</t>
  </si>
  <si>
    <t>Configuration</t>
  </si>
  <si>
    <t>Sample</t>
  </si>
  <si>
    <t>&lt;vcf_operations_fm_fqdn&gt;</t>
  </si>
  <si>
    <t>10-eth0-static.network</t>
  </si>
  <si>
    <t>resolved.conf</t>
  </si>
  <si>
    <t>Domains</t>
  </si>
  <si>
    <t>Reconfigure NTP on the VCF Operations Fleet Management Appliance for Site Protection and Disaster Recovery for VMware Cloud Foundation</t>
  </si>
  <si>
    <t>&lt;vcf_operations_primary_node_fqdn&gt;</t>
  </si>
  <si>
    <t>VCF NTP Server 2</t>
  </si>
  <si>
    <t>FQDN / IP Address</t>
  </si>
  <si>
    <t>Reconfigure DNS and Domain Search on VCF Operations Nodes for Site Protection and Disaster Recovery for VMware Cloud Foundation</t>
  </si>
  <si>
    <t>Reconfigure NTP on the VCF Operations Cluster Nodes for Site Protection and Disaster Recovery for VMware Cloud Foundation</t>
  </si>
  <si>
    <t>NTP Server Address</t>
  </si>
  <si>
    <t>Reconfigure NTP on the VCF Operations for logs Nodes for Site Protection and Disaster Recovery for VMware Cloud Foundation</t>
  </si>
  <si>
    <t>Reconfigure NTP on the VCF Operations for networks Nodes for Site Protection and Disaster Recovery for VMware Cloud Foundation</t>
  </si>
  <si>
    <t>Reconfigure DNS on VCF Automation for Site Protection and Disaster Recovery for VMware Cloud Foundation</t>
  </si>
  <si>
    <t>&lt;vcf_operations_fqdn&gt;</t>
  </si>
  <si>
    <t>Components</t>
  </si>
  <si>
    <t>automation</t>
  </si>
  <si>
    <t>DNS Server</t>
  </si>
  <si>
    <t>Reconfigure NTP on VCF Automation for Site Protection and Disaster Recovery for VMware Cloud Foundation</t>
  </si>
  <si>
    <t>&lt;aria_automation_node_fqdn&gt; (1st Node)</t>
  </si>
  <si>
    <t>&lt;ntp_server_list&gt;</t>
  </si>
  <si>
    <t>Reconfigure DNS on VCF Identity Broker for Site Protection and Disaster Recovery for VMware Cloud Foundation</t>
  </si>
  <si>
    <t>identity broker</t>
  </si>
  <si>
    <t>Reconfigure NTP on VCF Identity Broker for Site Protection and Disaster Recovery for VMware Cloud Foundation</t>
  </si>
  <si>
    <t>Implementation of vSphere Replication for the Management Domain</t>
  </si>
  <si>
    <t>Deploy VMware Live Recovery for Site Protection and Disaster Recovery for VMware Cloud Foundation</t>
  </si>
  <si>
    <t>Management Interface for vSphere Replication in Management Domain</t>
  </si>
  <si>
    <t>Replace the Certificate of VMware Live Recovery for Site Protection and Disaster Recovery for VMware Cloud Foundation</t>
  </si>
  <si>
    <t>Organization unit</t>
  </si>
  <si>
    <t>IP addresses</t>
  </si>
  <si>
    <t>Certificate file</t>
  </si>
  <si>
    <t>csr.pem</t>
  </si>
  <si>
    <t>Create vCenter Single Sign-On User for Registering VMware Live Recovery for Site Protection and Disaster Recovery for VMware Cloud Foundation</t>
  </si>
  <si>
    <t>&lt;protected_vcenter_fqdn&gt;</t>
  </si>
  <si>
    <t>vsphere.local</t>
  </si>
  <si>
    <t>Username (vSphere Replication User)</t>
  </si>
  <si>
    <t>Password (vSphere Replication User)</t>
  </si>
  <si>
    <t>Assign vCenter Single Sign-On User with Group Role for Site Protection and Disaster Recovery for VMware Cloud Foundation</t>
  </si>
  <si>
    <t>user</t>
  </si>
  <si>
    <t>Register VMware Live Recovery with vCenter Single Sign-On for Site Protection and Disaster Recovery for VMware Cloud Foundation</t>
  </si>
  <si>
    <t>&lt;vlr_fqdn&gt;</t>
  </si>
  <si>
    <t>Create a Port Group for vSphere Replication Traffic for Site Protection and Disaster Recovery for VMware Cloud Foundation</t>
  </si>
  <si>
    <t>Create a VMkernel Adapter on the ESX Hosts for vSphere Replication Traffic for Site Protection and Disaster Recovery for VMware Cloud Foundation</t>
  </si>
  <si>
    <t>vSphere Replication IP (ESX Host 1)</t>
  </si>
  <si>
    <t>vSphere Replication IP (ESX Host 2)</t>
  </si>
  <si>
    <t>vSphere Replication IP (ESX Host 3)</t>
  </si>
  <si>
    <t>vSphere Replication IP (ESX Host 4)</t>
  </si>
  <si>
    <t>vSphere Replication IP (ESX Host 5)</t>
  </si>
  <si>
    <t>vSphere Replication IP (ESX Host 6)</t>
  </si>
  <si>
    <t>vSphere Replication IP (ESX Host 7)</t>
  </si>
  <si>
    <t>vSphere Replication IP (ESX Host 8)</t>
  </si>
  <si>
    <t>vSphere Replication IP (ESX Host 9)</t>
  </si>
  <si>
    <t>vSphere Replication IP (ESX Host 10)</t>
  </si>
  <si>
    <t>vSphere Replication IP (ESX Host 11)</t>
  </si>
  <si>
    <t>vSphere Replication IP (ESX Host 12)</t>
  </si>
  <si>
    <t>vSphere Replication IP (ESX Host 13)</t>
  </si>
  <si>
    <t>vSphere Replication IP (ESX Host 14)</t>
  </si>
  <si>
    <t>vSphere Replication IP (ESX Host 15)</t>
  </si>
  <si>
    <t>vSphere Replication IP (ESX Host 16)</t>
  </si>
  <si>
    <t>Protected Site Configuration Tasks for Site Protection and Disaster Recovery for VMware Cloud Foundation</t>
  </si>
  <si>
    <t>Create a Site Pair Between the Protected and Recovery VMware Cloud Foundation Instances</t>
  </si>
  <si>
    <t>&lt;management_vcenter_fqdn&gt;</t>
  </si>
  <si>
    <t>Assign Licenses to VMware Live Recovery using Offline Mode for Site Protection and Disaster Recovery for VMware Cloud Foundation</t>
  </si>
  <si>
    <t>Live Site Recovery Server</t>
  </si>
  <si>
    <t>Change request key</t>
  </si>
  <si>
    <t>XXXXX-XXXXX-XXXXX-XXXXX</t>
  </si>
  <si>
    <t>License Ley</t>
  </si>
  <si>
    <t>Configure Mappings between the Protected and the Recovery VMware Cloud Foundation Instances</t>
  </si>
  <si>
    <t>Site Pair tile</t>
  </si>
  <si>
    <r>
      <rPr>
        <b/>
        <sz val="12"/>
        <color theme="1"/>
        <rFont val="Arial"/>
        <family val="2"/>
      </rPr>
      <t xml:space="preserve">Network Mapping </t>
    </r>
    <r>
      <rPr>
        <i/>
        <sz val="12"/>
        <color theme="1"/>
        <rFont val="Arial"/>
        <family val="2"/>
      </rPr>
      <t>(Protected Network)</t>
    </r>
  </si>
  <si>
    <r>
      <rPr>
        <b/>
        <sz val="12"/>
        <color theme="1"/>
        <rFont val="Arial"/>
        <family val="2"/>
      </rPr>
      <t xml:space="preserve">Network Mapping </t>
    </r>
    <r>
      <rPr>
        <i/>
        <sz val="12"/>
        <color theme="1"/>
        <rFont val="Arial"/>
        <family val="2"/>
      </rPr>
      <t>(Recovery Network)</t>
    </r>
  </si>
  <si>
    <r>
      <rPr>
        <b/>
        <sz val="12"/>
        <color theme="1"/>
        <rFont val="Arial"/>
        <family val="2"/>
      </rPr>
      <t xml:space="preserve">Folder Mapping </t>
    </r>
    <r>
      <rPr>
        <i/>
        <sz val="12"/>
        <color theme="1"/>
        <rFont val="Arial"/>
        <family val="2"/>
      </rPr>
      <t>(Protected Folder)</t>
    </r>
  </si>
  <si>
    <r>
      <rPr>
        <b/>
        <sz val="12"/>
        <color theme="1"/>
        <rFont val="Arial"/>
        <family val="2"/>
      </rPr>
      <t xml:space="preserve">Folder Mapping </t>
    </r>
    <r>
      <rPr>
        <i/>
        <sz val="12"/>
        <color theme="1"/>
        <rFont val="Arial"/>
        <family val="2"/>
      </rPr>
      <t>(Recovery Folder)</t>
    </r>
  </si>
  <si>
    <r>
      <rPr>
        <b/>
        <sz val="12"/>
        <color theme="1"/>
        <rFont val="Arial"/>
        <family val="2"/>
      </rPr>
      <t xml:space="preserve">Resource Mapping </t>
    </r>
    <r>
      <rPr>
        <i/>
        <sz val="12"/>
        <color theme="1"/>
        <rFont val="Arial"/>
        <family val="2"/>
      </rPr>
      <t>(Protected Cluster)</t>
    </r>
  </si>
  <si>
    <r>
      <rPr>
        <b/>
        <sz val="12"/>
        <color theme="1"/>
        <rFont val="Arial"/>
        <family val="2"/>
      </rPr>
      <t xml:space="preserve">Resource Mapping </t>
    </r>
    <r>
      <rPr>
        <i/>
        <sz val="12"/>
        <color theme="1"/>
        <rFont val="Arial"/>
        <family val="2"/>
      </rPr>
      <t>(Recovery Cluster)</t>
    </r>
  </si>
  <si>
    <t>Configure Replication, Create a Protection Group and a Recovery Plan for VCF Operations for Site Protection and Disaster Recovery for VMware Cloud Foundation</t>
  </si>
  <si>
    <t>Virtual Machine</t>
  </si>
  <si>
    <t>Target Datastore</t>
  </si>
  <si>
    <t>Recovery Point Objective (RPO)</t>
  </si>
  <si>
    <t>Protection Group Name</t>
  </si>
  <si>
    <t>VCF-OPS-PG</t>
  </si>
  <si>
    <t>Recovery Plan Name</t>
  </si>
  <si>
    <t>VCF-OPS-RP</t>
  </si>
  <si>
    <t>Customize the Recovery Plan for VCF Operations for Site Protection and Disaster Recovery for VMware Cloud Foundation</t>
  </si>
  <si>
    <t>recovery_plan_name</t>
  </si>
  <si>
    <t>Virtual Machine (VCF Operations fleet management Node)</t>
  </si>
  <si>
    <t>Virtual Machine (VCF Operations Primary Node)</t>
  </si>
  <si>
    <t>Virtual Machine (VCF Operations Replica Node)</t>
  </si>
  <si>
    <t>Virtual Machine (VCF Operations Data Node)</t>
  </si>
  <si>
    <t>Configure Replication, Create a Protection Group and a Recovery Plan for VCF Operations for Logs for Site Protection and Disaster Recovery for  VMware Cloud Foundation</t>
  </si>
  <si>
    <t>Virtual Machine (VCF Operations for logs Primary Node)</t>
  </si>
  <si>
    <t>Virtual Machine (VCF Operations for logs Worker Node1)</t>
  </si>
  <si>
    <t>Virtual Machine (VCF Operations for logs Worker Node2)</t>
  </si>
  <si>
    <t>VCF-OPS-LOGS-PG</t>
  </si>
  <si>
    <t>VCF-OPS-LOGS-RP</t>
  </si>
  <si>
    <t>Customize the Recovery Plan for VCF Operations for logs for Site Protection and Disaster Recovery for VMware Cloud Foundation</t>
  </si>
  <si>
    <t>Configure Replication, Create a Protection Group and a Recovery Plan for VCF Operations for Networks for Site Protection and Disaster Recovery for VMware Cloud Foundation</t>
  </si>
  <si>
    <t>Virtual Machine (Platform Node 1)</t>
  </si>
  <si>
    <t>Virtual Machine (Platform Node 2)</t>
  </si>
  <si>
    <t>Virtual Machine (Platform Node 3)</t>
  </si>
  <si>
    <t>VCF-OPS-NET-PG</t>
  </si>
  <si>
    <t>VCF-OPS-NET-RP</t>
  </si>
  <si>
    <t>Customize the Recovery Plan for VCF Operations for Networks for Site Protection and Disaster Recovery for VMware Cloud Foundation</t>
  </si>
  <si>
    <t>Create Anti-Affinity Rules for the Placeholder Virtual Machines in the Recovery VMware Cloud Foundation Instance</t>
  </si>
  <si>
    <t>Name (VCF Operations)</t>
  </si>
  <si>
    <t>anti-affinity-rule-vcf-operations</t>
  </si>
  <si>
    <t>Virtual Machine (VCF Operations Cluster Primary Node)</t>
  </si>
  <si>
    <t>Virtual Machine (VCF Operations Cluster Replica Node)</t>
  </si>
  <si>
    <t>Virtual Machine (VCF Operations Cluster Data Node)</t>
  </si>
  <si>
    <t>Name (VCF Operations for Logs)</t>
  </si>
  <si>
    <t>anti-affinity-rule-vcf-logs</t>
  </si>
  <si>
    <t>Virtual Machine (Primary Node)</t>
  </si>
  <si>
    <t>Virtual Machine (Worker Node1)</t>
  </si>
  <si>
    <t>Virtual Machine (Worker Node2)</t>
  </si>
  <si>
    <t>Name (VCF Operations for Networks)</t>
  </si>
  <si>
    <t>anti-affinity-rule-vcf-networks</t>
  </si>
  <si>
    <t>Virtual Machine (Platform Node1)</t>
  </si>
  <si>
    <t>Virtual Machine (Platform Node2)</t>
  </si>
  <si>
    <t>Virtual Machine (Platform Node3)</t>
  </si>
  <si>
    <t>Create Virtual Machine Groups and Restart Order in the Recovery VMware Cloud Foundation Instance</t>
  </si>
  <si>
    <t>VM/Host Groups</t>
  </si>
  <si>
    <t>VM/Host Rules</t>
  </si>
  <si>
    <r>
      <rPr>
        <b/>
        <sz val="12"/>
        <color theme="1"/>
        <rFont val="Helvetica Neue"/>
        <family val="2"/>
      </rPr>
      <t xml:space="preserve">Name </t>
    </r>
    <r>
      <rPr>
        <sz val="12"/>
        <color theme="1"/>
        <rFont val="Helvetica"/>
        <family val="2"/>
      </rPr>
      <t>(VCF Operations for Logs)</t>
    </r>
  </si>
  <si>
    <r>
      <rPr>
        <b/>
        <sz val="12"/>
        <color theme="1"/>
        <rFont val="Helvetica Neue"/>
        <family val="2"/>
      </rPr>
      <t>Virtual Machine</t>
    </r>
    <r>
      <rPr>
        <sz val="12"/>
        <color theme="1"/>
        <rFont val="Helvetica"/>
        <family val="2"/>
      </rPr>
      <t xml:space="preserve"> (Primary Node)</t>
    </r>
  </si>
  <si>
    <r>
      <rPr>
        <b/>
        <sz val="12"/>
        <color theme="1"/>
        <rFont val="Helvetica Neue"/>
        <family val="2"/>
      </rPr>
      <t xml:space="preserve">Virtual Machine </t>
    </r>
    <r>
      <rPr>
        <sz val="12"/>
        <color theme="1"/>
        <rFont val="Helvetica"/>
        <family val="2"/>
      </rPr>
      <t>(Worker Node1)</t>
    </r>
  </si>
  <si>
    <r>
      <rPr>
        <b/>
        <sz val="12"/>
        <color theme="1"/>
        <rFont val="Helvetica Neue"/>
        <family val="2"/>
      </rPr>
      <t xml:space="preserve">Virtual Machine </t>
    </r>
    <r>
      <rPr>
        <sz val="12"/>
        <color theme="1"/>
        <rFont val="Helvetica"/>
        <family val="2"/>
      </rPr>
      <t>(Worker Node2)</t>
    </r>
  </si>
  <si>
    <r>
      <rPr>
        <b/>
        <sz val="12"/>
        <color theme="1"/>
        <rFont val="Helvetica Neue"/>
        <family val="2"/>
      </rPr>
      <t xml:space="preserve">Name </t>
    </r>
    <r>
      <rPr>
        <sz val="12"/>
        <color theme="1"/>
        <rFont val="Helvetica"/>
        <family val="2"/>
      </rPr>
      <t>(VCF Operations for Networks)</t>
    </r>
  </si>
  <si>
    <r>
      <rPr>
        <b/>
        <sz val="12"/>
        <color theme="1"/>
        <rFont val="Helvetica Neue"/>
        <family val="2"/>
      </rPr>
      <t>Virtual Machine</t>
    </r>
    <r>
      <rPr>
        <sz val="12"/>
        <color theme="1"/>
        <rFont val="Helvetica"/>
        <family val="2"/>
      </rPr>
      <t xml:space="preserve"> (Platform Node1)</t>
    </r>
  </si>
  <si>
    <r>
      <rPr>
        <b/>
        <sz val="12"/>
        <color theme="1"/>
        <rFont val="Helvetica Neue"/>
        <family val="2"/>
      </rPr>
      <t xml:space="preserve">Virtual Machine </t>
    </r>
    <r>
      <rPr>
        <sz val="12"/>
        <color theme="1"/>
        <rFont val="Helvetica"/>
        <family val="2"/>
      </rPr>
      <t>(Platform Node2)</t>
    </r>
  </si>
  <si>
    <r>
      <rPr>
        <b/>
        <sz val="12"/>
        <color theme="1"/>
        <rFont val="Helvetica Neue"/>
        <family val="2"/>
      </rPr>
      <t>Virtual Machine</t>
    </r>
    <r>
      <rPr>
        <sz val="12"/>
        <color theme="1"/>
        <rFont val="Helvetica"/>
        <family val="2"/>
      </rPr>
      <t xml:space="preserve"> (Platform Node3)</t>
    </r>
  </si>
  <si>
    <t>Name (VCF Operations )</t>
  </si>
  <si>
    <t>vm-vm-rule-idb-operations</t>
  </si>
  <si>
    <t>Restart for VM group (VCF Operations Analytics Cluster)</t>
  </si>
  <si>
    <t>VM dependency restart condition</t>
  </si>
  <si>
    <t>flt-vm-group-idb</t>
  </si>
  <si>
    <t>Name (VCF Automation)</t>
  </si>
  <si>
    <t>vm-vm-rule-idb-automation</t>
  </si>
  <si>
    <t>Restart for VM group(VCF Automation)</t>
  </si>
  <si>
    <t>flt-vm-group-vcf-automation</t>
  </si>
  <si>
    <t>Operational Guidance for Site Protection and Disaster Recovery for VMware Cloud Foundation</t>
  </si>
  <si>
    <t>Initiate a Planned Recovery of VCF Identity Broker for Site Protection and Disaster Recovery for VMware Cloud Foundation</t>
  </si>
  <si>
    <t>Infrastructure</t>
  </si>
  <si>
    <t>Certificate</t>
  </si>
  <si>
    <t>Component Password</t>
  </si>
  <si>
    <t>Cluster Virtual IP - FQDN</t>
  </si>
  <si>
    <t>100.64.0.0/15</t>
  </si>
  <si>
    <t>Cluster Node IP Pool(IP or range, depending on the type of deployment)</t>
  </si>
  <si>
    <t>Initiate a Planned Recovery of VCF Automation for Site Protection and Disaster Recovery for VMware Cloud Foundation</t>
  </si>
  <si>
    <t>lax-m01-vc01.lax.rainpole.io</t>
  </si>
  <si>
    <t>lax-m01-cl01</t>
  </si>
  <si>
    <t>lax-m01-cl01-ds-vsan01</t>
  </si>
  <si>
    <t>Initiate a Disaster Recovery of VCF Identity Broker for Site Protection and Disaster Recovery for VMware Cloud Foundation</t>
  </si>
  <si>
    <t>Initiate a Disaster Recovery of VCF Automation for Site Protection and Disaster Recovery for VMware Cloud Foundation</t>
  </si>
  <si>
    <t>Create vSphere Single Sign-On Users for Integration with VMware Cloud Foundation Operations for Site Protection and Disaster Recovery for VMware Cloud Foundation</t>
  </si>
  <si>
    <r>
      <rPr>
        <b/>
        <sz val="12"/>
        <color theme="1"/>
        <rFont val="Arial"/>
        <family val="2"/>
      </rPr>
      <t xml:space="preserve">Username </t>
    </r>
    <r>
      <rPr>
        <i/>
        <sz val="12"/>
        <color theme="1"/>
        <rFont val="Arial"/>
        <family val="2"/>
      </rPr>
      <t>(VMware Live Site Recovery)</t>
    </r>
  </si>
  <si>
    <t>svc-vcfops-vlsr</t>
  </si>
  <si>
    <r>
      <rPr>
        <b/>
        <sz val="12"/>
        <color theme="1"/>
        <rFont val="Arial"/>
        <family val="2"/>
      </rPr>
      <t xml:space="preserve">Password </t>
    </r>
    <r>
      <rPr>
        <i/>
        <sz val="12"/>
        <color theme="1"/>
        <rFont val="Arial"/>
        <family val="2"/>
      </rPr>
      <t>(VMware Live Site Recovery)</t>
    </r>
  </si>
  <si>
    <r>
      <rPr>
        <b/>
        <sz val="12"/>
        <color theme="1"/>
        <rFont val="Arial"/>
        <family val="2"/>
      </rPr>
      <t xml:space="preserve">Username </t>
    </r>
    <r>
      <rPr>
        <i/>
        <sz val="12"/>
        <color theme="1"/>
        <rFont val="Arial"/>
        <family val="2"/>
      </rPr>
      <t>(vSphere Replication User)</t>
    </r>
  </si>
  <si>
    <t>svc-vcfops-vr</t>
  </si>
  <si>
    <r>
      <rPr>
        <b/>
        <sz val="12"/>
        <color theme="1"/>
        <rFont val="Arial"/>
        <family val="2"/>
      </rPr>
      <t xml:space="preserve">Password </t>
    </r>
    <r>
      <rPr>
        <i/>
        <sz val="12"/>
        <color theme="1"/>
        <rFont val="Arial"/>
        <family val="2"/>
      </rPr>
      <t>(vSphere Replication User)</t>
    </r>
  </si>
  <si>
    <t>Configure Service Account Permissions in vSphere for Integration with VMware Cloud Foundation Operations for VMware Cloud Foundation</t>
  </si>
  <si>
    <r>
      <rPr>
        <b/>
        <sz val="12"/>
        <color theme="1"/>
        <rFont val="Arial"/>
        <family val="2"/>
      </rPr>
      <t xml:space="preserve">User/Group </t>
    </r>
    <r>
      <rPr>
        <sz val="12"/>
        <color theme="1"/>
        <rFont val="Arial"/>
        <family val="2"/>
      </rPr>
      <t>(VMware Live Site Recovery User)</t>
    </r>
  </si>
  <si>
    <r>
      <rPr>
        <b/>
        <sz val="12"/>
        <color theme="1"/>
        <rFont val="Arial"/>
        <family val="2"/>
      </rPr>
      <t xml:space="preserve">Role </t>
    </r>
    <r>
      <rPr>
        <i/>
        <sz val="12"/>
        <color theme="1"/>
        <rFont val="Arial"/>
        <family val="2"/>
      </rPr>
      <t>(VMware Live Site Recovery User)</t>
    </r>
  </si>
  <si>
    <t>Read-Only</t>
  </si>
  <si>
    <r>
      <rPr>
        <b/>
        <sz val="12"/>
        <color theme="1"/>
        <rFont val="Arial"/>
        <family val="2"/>
      </rPr>
      <t xml:space="preserve">User/Group </t>
    </r>
    <r>
      <rPr>
        <i/>
        <sz val="12"/>
        <color theme="1"/>
        <rFont val="Arial"/>
        <family val="2"/>
      </rPr>
      <t>(vSphere Replication User)</t>
    </r>
  </si>
  <si>
    <r>
      <rPr>
        <b/>
        <sz val="12"/>
        <color theme="1"/>
        <rFont val="Arial"/>
        <family val="2"/>
      </rPr>
      <t xml:space="preserve">Role </t>
    </r>
    <r>
      <rPr>
        <i/>
        <sz val="12"/>
        <color theme="1"/>
        <rFont val="Arial"/>
        <family val="2"/>
      </rPr>
      <t>(vSphere Replication User)</t>
    </r>
  </si>
  <si>
    <t>VRM replication viewer</t>
  </si>
  <si>
    <t>Install the VMware Cloud Foundation Operations Management Packs for VMware Live Site Recovery for Site Protection and Disaster Recovery for VMware Cloud Foundation</t>
  </si>
  <si>
    <t>&lt;aria_operations_fqdn&gt;</t>
  </si>
  <si>
    <t>Management Pack</t>
  </si>
  <si>
    <t>vlsrAdapterPak-build_number.pak</t>
  </si>
  <si>
    <t>Add VMware Live Site Recovery Adapter Instances to VMware Cloud Foundation Operations for Site Protection and Disaster Recovery for VMware Cloud Foundation</t>
  </si>
  <si>
    <r>
      <rPr>
        <b/>
        <sz val="12"/>
        <color theme="1"/>
        <rFont val="Arial"/>
        <family val="2"/>
      </rPr>
      <t xml:space="preserve">Name </t>
    </r>
    <r>
      <rPr>
        <i/>
        <sz val="12"/>
        <color theme="1"/>
        <rFont val="Arial"/>
        <family val="2"/>
      </rPr>
      <t>(Management Domain)</t>
    </r>
  </si>
  <si>
    <r>
      <rPr>
        <b/>
        <sz val="12"/>
        <color theme="1"/>
        <rFont val="Arial"/>
        <family val="2"/>
      </rPr>
      <t>Site Recovery Manager Host</t>
    </r>
    <r>
      <rPr>
        <i/>
        <sz val="12"/>
        <color theme="1"/>
        <rFont val="Arial"/>
        <family val="2"/>
      </rPr>
      <t xml:space="preserve"> (Management Domain)</t>
    </r>
  </si>
  <si>
    <r>
      <rPr>
        <b/>
        <sz val="12"/>
        <color theme="1"/>
        <rFont val="Arial"/>
        <family val="2"/>
      </rPr>
      <t xml:space="preserve">Site Recovery Manager Port </t>
    </r>
    <r>
      <rPr>
        <i/>
        <sz val="12"/>
        <color theme="1"/>
        <rFont val="Arial"/>
        <family val="2"/>
      </rPr>
      <t>(Management Domain)</t>
    </r>
  </si>
  <si>
    <r>
      <rPr>
        <b/>
        <sz val="12"/>
        <color theme="1"/>
        <rFont val="Arial"/>
        <family val="2"/>
      </rPr>
      <t xml:space="preserve">Credential name </t>
    </r>
    <r>
      <rPr>
        <i/>
        <sz val="12"/>
        <color theme="1"/>
        <rFont val="Arial"/>
        <family val="2"/>
      </rPr>
      <t>(Management Domain)</t>
    </r>
  </si>
  <si>
    <r>
      <rPr>
        <b/>
        <sz val="12"/>
        <color theme="1"/>
        <rFont val="Arial"/>
        <family val="2"/>
      </rPr>
      <t xml:space="preserve">Use name </t>
    </r>
    <r>
      <rPr>
        <i/>
        <sz val="12"/>
        <color theme="1"/>
        <rFont val="Arial"/>
        <family val="2"/>
      </rPr>
      <t>(Management Domain)</t>
    </r>
  </si>
  <si>
    <r>
      <rPr>
        <b/>
        <sz val="12"/>
        <color theme="1"/>
        <rFont val="Arial"/>
        <family val="2"/>
      </rPr>
      <t xml:space="preserve">Password </t>
    </r>
    <r>
      <rPr>
        <i/>
        <sz val="12"/>
        <color theme="1"/>
        <rFont val="Arial"/>
        <family val="2"/>
      </rPr>
      <t>(Management Domain)</t>
    </r>
  </si>
  <si>
    <r>
      <rPr>
        <b/>
        <sz val="12"/>
        <color theme="1"/>
        <rFont val="Arial"/>
        <family val="2"/>
      </rPr>
      <t xml:space="preserve">Collector/Group </t>
    </r>
    <r>
      <rPr>
        <i/>
        <sz val="12"/>
        <color theme="1"/>
        <rFont val="Arial"/>
        <family val="2"/>
      </rPr>
      <t>(Management Domain)</t>
    </r>
  </si>
  <si>
    <t>Add vSphere Replication Adapter Instances to VMware Cloud Foundation Operations for Site Protection and Disaster Recovery for VMware Cloud Foundation</t>
  </si>
  <si>
    <r>
      <rPr>
        <b/>
        <sz val="12"/>
        <color theme="1"/>
        <rFont val="Arial"/>
        <family val="2"/>
      </rPr>
      <t xml:space="preserve">vCenter Server, where vSphere Replication is registered </t>
    </r>
    <r>
      <rPr>
        <i/>
        <sz val="12"/>
        <color theme="1"/>
        <rFont val="Arial"/>
        <family val="2"/>
      </rPr>
      <t>(Management Domain)</t>
    </r>
  </si>
  <si>
    <r>
      <rPr>
        <b/>
        <sz val="12"/>
        <color theme="1"/>
        <rFont val="Arial"/>
        <family val="2"/>
      </rPr>
      <t xml:space="preserve">User name </t>
    </r>
    <r>
      <rPr>
        <i/>
        <sz val="12"/>
        <color theme="1"/>
        <rFont val="Arial"/>
        <family val="2"/>
      </rPr>
      <t>(Management Domain)</t>
    </r>
  </si>
  <si>
    <t>Create Notifications in VMware Cloud Foundation Operations for Site Protection and Disaster Recovery for VMware Cloud Foundation</t>
  </si>
  <si>
    <t>Install and Configure the VCF Operations for logs Agent on the VMware Live Recovery Appliances for Site Protection and Disaster Recovery for VMware Cloud Foundation</t>
  </si>
  <si>
    <t>&lt;vcf_operations_logs_fqdn&gt;</t>
  </si>
  <si>
    <t>VLSR_environment_name</t>
  </si>
  <si>
    <t>SFO-M01-VLSR</t>
  </si>
  <si>
    <t>&lt;VR_environment_name&gt;</t>
  </si>
  <si>
    <t>SFO-M01-VR</t>
  </si>
  <si>
    <t xml:space="preserve">         VMware Cloud Foundation Live Recovery for Ransomware Recovery Protection Blueprint </t>
  </si>
  <si>
    <t>This page contains all user required values used for associated Post-Config tasks. Each table and value maps directly to a process in the deployment guidance documentation.</t>
  </si>
  <si>
    <t>Deploy VMware Live Recovery for On-Premises Ransomware Recovery for VMware Cloud Foundation</t>
  </si>
  <si>
    <t>Password (Initial Root)</t>
  </si>
  <si>
    <t>Password (Initial Admin)</t>
  </si>
  <si>
    <t>Network 1 Prefix</t>
  </si>
  <si>
    <t>Replace the Certificate of VMware Live Recovery for On-Premises Ransomware Recovery for VMware Cloud Foundation</t>
  </si>
  <si>
    <t>Create vCenter Single Sign-On User for Registering VMware Live Recovery for On-Premises Ransomware Recovery for VMware Cloud Foundation</t>
  </si>
  <si>
    <t>Assign vCenter Single Sign-On User with Group Role for On-Premises Ransomware Recovery for VMware Cloud Foundation</t>
  </si>
  <si>
    <t>User</t>
  </si>
  <si>
    <t>Register VMware Live Recovery with vCenter Single Sign-On for On-Premises Ransomware Recovery for VMware Cloud Foundation</t>
  </si>
  <si>
    <t>vrl-administrator@rainpole.io</t>
  </si>
  <si>
    <t>Create a Port Group for vSphere Replication Traffic for On-Premises Ransomware Recovery for VMware Cloud Foundation</t>
  </si>
  <si>
    <t>Create a VMkernel Adapter on the ESX Hosts for vSphere Replication Traffic for On-Premises Ransomware Recovery for VMware Cloud Foundation</t>
  </si>
  <si>
    <t>&lt;host_fqdn&gt; (Host 1)</t>
  </si>
  <si>
    <t>IPv4 address (Host 1)</t>
  </si>
  <si>
    <t>Subnet Mask (Host 1)</t>
  </si>
  <si>
    <t>&lt;host_fqdn&gt; (Host 2)</t>
  </si>
  <si>
    <t>IPv4 address (Host 2)</t>
  </si>
  <si>
    <t>Subnet Mask (Host 2)</t>
  </si>
  <si>
    <t>&lt;host_fqdn&gt; (Host 3)</t>
  </si>
  <si>
    <t>IPv4 address (Host 3)</t>
  </si>
  <si>
    <t>Subnet Mask (Host 3)</t>
  </si>
  <si>
    <t>&lt;host_fqdn&gt; (Host 4)</t>
  </si>
  <si>
    <t>IPv4 address (Host 4)</t>
  </si>
  <si>
    <t>Subnet Mask (Host 4)</t>
  </si>
  <si>
    <t>Configure ESX Host Static Routes for vSphere Replication for On-Premises Ransomware Recovery for VMware Cloud Foundation</t>
  </si>
  <si>
    <t>&lt;source_vrms_network_gateway&gt; (Host 1)</t>
  </si>
  <si>
    <t>&lt;target_vrms_network_cidr&gt; (Host 1)</t>
  </si>
  <si>
    <t>&lt;target_vlr_mgmt_network_cidr&gt; (Host 1)</t>
  </si>
  <si>
    <t>&lt;source_vrms_network_gateway&gt; (Host 2)</t>
  </si>
  <si>
    <t>&lt;target_vrms_network_cidr&gt; (Host 2)</t>
  </si>
  <si>
    <t>&lt;target_vlr_mgmt_network_cidr&gt; (Host 2)</t>
  </si>
  <si>
    <t>&lt;source_vrms_network_gateway&gt; (Host 3)</t>
  </si>
  <si>
    <t>&lt;target_vrms_network_cidr&gt; (Host 3)</t>
  </si>
  <si>
    <t>&lt;target_vlr_mgmt_network_cidr&gt; (Host 3)</t>
  </si>
  <si>
    <t>&lt;source_vrms_network_gateway&gt; (Host 4)</t>
  </si>
  <si>
    <t>&lt;target_vrms_network_cidr&gt; (Host 4)</t>
  </si>
  <si>
    <t>&lt;target_vlr_mgmt_network_cidr&gt; (Host 4)</t>
  </si>
  <si>
    <t>Add a Tier-1 Gateway, Network Segment, and Configure DHCP Service for On-Premises Ransomware Recovery for VMware Cloud Foundation</t>
  </si>
  <si>
    <t>&lt;nsx_manager_cluster_fqdn&gt;</t>
  </si>
  <si>
    <t>Add DHCP Profile</t>
  </si>
  <si>
    <t>DHCP Name</t>
  </si>
  <si>
    <t>tier1_dhcp_profile</t>
  </si>
  <si>
    <t>Profile Type</t>
  </si>
  <si>
    <t>DHCP Server</t>
  </si>
  <si>
    <t>Server IP Address</t>
  </si>
  <si>
    <t>192.168.90.2/24</t>
  </si>
  <si>
    <t>Edge cluster</t>
  </si>
  <si>
    <t>Add Tier-1 Gateways</t>
  </si>
  <si>
    <t>Linked Tier-0 Gateway</t>
  </si>
  <si>
    <t>Add Segments</t>
  </si>
  <si>
    <t>Segment Name</t>
  </si>
  <si>
    <t>Connected Gateway</t>
  </si>
  <si>
    <t>Transport Zone</t>
  </si>
  <si>
    <t>Gateway CIDR IPV4</t>
  </si>
  <si>
    <t>192.168.90.1/24</t>
  </si>
  <si>
    <t>Set DHCP Config</t>
  </si>
  <si>
    <t>DHCP Profile</t>
  </si>
  <si>
    <t>DHCP server address</t>
  </si>
  <si>
    <t>192.168.90.3/24</t>
  </si>
  <si>
    <t>DHCP Ranges</t>
  </si>
  <si>
    <t>192.168.90.100-192.168.90.200</t>
  </si>
  <si>
    <t>Create a Virtual Machine Folder for Workload VMs for On-Premises Ransomware Recovery for VMware Cloud Foundation</t>
  </si>
  <si>
    <t>Data Center</t>
  </si>
  <si>
    <t>Protected Site Configuration Tasks for On-Premises Ransomware Recovery for VMware Cloud Foundation</t>
  </si>
  <si>
    <t>Create a Site Pair Between the Protected and Recovery Instances</t>
  </si>
  <si>
    <t>svc_lax-w01-vlr01_lax-w01-vc01@lax-w01.local</t>
  </si>
  <si>
    <t>Llicense key</t>
  </si>
  <si>
    <t>Configure Mappings between the Protected and the Recovery Instances</t>
  </si>
  <si>
    <t>Network Mapping (Protected Network)</t>
  </si>
  <si>
    <t>Network Mapping (Recovery Network)</t>
  </si>
  <si>
    <t xml:space="preserve">Compute Cluster </t>
  </si>
  <si>
    <t>Folder Mapping (Protected Folder)</t>
  </si>
  <si>
    <t>Folder Mapping (Recovery Folder)</t>
  </si>
  <si>
    <t>Resource Mapping (Protected Cluster)</t>
  </si>
  <si>
    <t>Resource Mapping (Recovery Cluster)</t>
  </si>
  <si>
    <t>Configure Replication, Create a Protection Group and a Recovery Plan for Workload VMs for On-Premises Ransomware Recovery for VMware Cloud Foundation</t>
  </si>
  <si>
    <t>workload-VM, ex: win2022</t>
  </si>
  <si>
    <t>24 Hours</t>
  </si>
  <si>
    <t xml:space="preserve">Value can be customized if required. </t>
  </si>
  <si>
    <t>Total instances</t>
  </si>
  <si>
    <t>workload PG</t>
  </si>
  <si>
    <t>workload RP</t>
  </si>
  <si>
    <t>Perform Recovery of a Business Critical Workloads for On-Premises Ransomware Recovery for VMware Cloud Foundation</t>
  </si>
  <si>
    <t>&lt;recovery_vcenter_fqdn&gt;</t>
  </si>
  <si>
    <t>Network adapter</t>
  </si>
  <si>
    <t>Create vSphere Single Sign-On Users for Integration with VCF Operations for On-Premises Ransomware Recovery for VMware Cloud Foundation</t>
  </si>
  <si>
    <t>Username (VMware Live Site Recovery)</t>
  </si>
  <si>
    <t>Password (VMware Live Site Recovery)</t>
  </si>
  <si>
    <t>Configure Service Account Permissions in vSphere for Integration with VCF Operations for VMware Cloud Foundation</t>
  </si>
  <si>
    <t>User/Group (VMware Live Site Recovery User)</t>
  </si>
  <si>
    <t>Role (VMware Live Site Recovery)</t>
  </si>
  <si>
    <t>User/Group (vSphere Replication User)</t>
  </si>
  <si>
    <t>Role (vSphere Replication User)</t>
  </si>
  <si>
    <t>Install the VCF Operations Management Packs for VMware Live Site Recovery for On-Premises Ransomware Recovery for VMware Cloud Foundation</t>
  </si>
  <si>
    <t>Management pack</t>
  </si>
  <si>
    <t>Add VMware Live Site Recovery Adapter Instances to VCF Operations for On-Premises Ransomware Recovery for VMware Cloud Foundation</t>
  </si>
  <si>
    <t>VMware Live Site Recovery Host</t>
  </si>
  <si>
    <t>VMware Live Site Recovery Port</t>
  </si>
  <si>
    <t>Credential name</t>
  </si>
  <si>
    <t>Collector/Group</t>
  </si>
  <si>
    <t>Add vSphere Replication Adapter Instances to VCF Operations for On-Premises Ransomware Recovery for VMware Cloud Foundation</t>
  </si>
  <si>
    <t>vCenter Server, where vSphere Replication is registered</t>
  </si>
  <si>
    <t>Create Notifications in VCF Operations for On-Premises Ransomware Recovery for VMware Cloud Foundation</t>
  </si>
  <si>
    <t xml:space="preserve">          VMware Cloud Foundation Management Domain Post-Deployment </t>
  </si>
  <si>
    <t>MGMT Workload Domain Networking</t>
  </si>
  <si>
    <t>Management Domain VLAN and IP Subnet Requirements (Primary Availability Zone)</t>
  </si>
  <si>
    <t>Function</t>
  </si>
  <si>
    <t xml:space="preserve"> VLAN ID</t>
  </si>
  <si>
    <t>Network Cidr</t>
  </si>
  <si>
    <t xml:space="preserve"> Gateway</t>
  </si>
  <si>
    <t>Your MTU</t>
  </si>
  <si>
    <t>ESXi Management Network</t>
  </si>
  <si>
    <t xml:space="preserve">NSX Edge Uplink1 </t>
  </si>
  <si>
    <t>NSX Edge Uplink2</t>
  </si>
  <si>
    <t>Management Domain BGP Requirements (Primary Availability Zone)</t>
  </si>
  <si>
    <t>Management Domain VLAN and IP Subnet Requirements (Secondary Availability Zone)</t>
  </si>
  <si>
    <t xml:space="preserve">vSphere Replication </t>
  </si>
  <si>
    <t>Management Domain BGP Requirements (Secondary Availability Zone)</t>
  </si>
  <si>
    <t>Management Domain ESX Hosts Names and IP Addresss (Primary Availability Zone)</t>
  </si>
  <si>
    <t>ESX Hosts</t>
  </si>
  <si>
    <t xml:space="preserve">MGMT IP Address </t>
  </si>
  <si>
    <t>Management Domain Virtula Machines Names and IP Addresss (Primary Availability Zone)</t>
  </si>
  <si>
    <t xml:space="preserve">IP Address </t>
  </si>
  <si>
    <t>NSX Manager Cluster</t>
  </si>
  <si>
    <t>NSX Manager #1</t>
  </si>
  <si>
    <t>NSX Manager #2</t>
  </si>
  <si>
    <t>NSX Manager #3</t>
  </si>
  <si>
    <t>NSX Edge #1</t>
  </si>
  <si>
    <t>NSX Edge #2</t>
  </si>
  <si>
    <t>VCF Operation primary</t>
  </si>
  <si>
    <t>VCF Operations LB</t>
  </si>
  <si>
    <t>VCF Automation - Node IP 1</t>
  </si>
  <si>
    <t>VCF Automation - Node IP 2</t>
  </si>
  <si>
    <t>VCF Automation - Node IP 3</t>
  </si>
  <si>
    <t>VCF Automation - Node IP 4</t>
  </si>
  <si>
    <t>VIDB - FQDN</t>
  </si>
  <si>
    <t>VIDB - Node IP 1</t>
  </si>
  <si>
    <t>VIDB - Node IP 2</t>
  </si>
  <si>
    <t>VIDB - Node IP 3</t>
  </si>
  <si>
    <t>VIDB - Node IP 4</t>
  </si>
  <si>
    <t>Witness Node</t>
  </si>
  <si>
    <t>Management Domain Naming and IP Addresss (Secondary Availability Zone)</t>
  </si>
  <si>
    <t>Workload Domain Networking</t>
  </si>
  <si>
    <t>Workload Domain  VLAN and IP Subnet Requirements (Primary Availability Zone)</t>
  </si>
  <si>
    <t xml:space="preserve">Network </t>
  </si>
  <si>
    <t>Workload Domain BGP Requirements (Primary Availability Zone)</t>
  </si>
  <si>
    <t>Workload Domain VLAN and IP Subnet Requirements (Secondary Availability Zone)</t>
  </si>
  <si>
    <t>Workload Domain BGP Requirements (Secondary Availability Zone)</t>
  </si>
  <si>
    <t>Workload Domain Naming and IP Addresss (Primary Availability Zone)</t>
  </si>
  <si>
    <t>Workload  Domain Naming and IP Addresss (Secondary Availability Zone)</t>
  </si>
  <si>
    <t xml:space="preserve">          Private AI Ready Infrastructure Validated Solution</t>
  </si>
  <si>
    <t>This page contains all user required values used during the deployment of the Private AI Ready Infrastruture Validated Solution. Each table and value maps directly to a process in the deployment guidance documentation.</t>
  </si>
  <si>
    <t>Private AI Ready Infrastructure Inputs</t>
  </si>
  <si>
    <t>xxxxx-xxxxx-xxxxx-xxxxx-xxxxx</t>
  </si>
  <si>
    <t>Kubernetes</t>
  </si>
  <si>
    <t>Kubernetes Cluster Name</t>
  </si>
  <si>
    <t>Developer Ready Infrastructure Inputs</t>
  </si>
  <si>
    <t>NSX Kubernetes Management Virtual Network Segment Name</t>
  </si>
  <si>
    <t>vsphere-with-tanzu-category</t>
  </si>
  <si>
    <t>vsphere-with-tanzu-tag</t>
  </si>
  <si>
    <t>Path to kubectl</t>
  </si>
  <si>
    <t>c:\kube\bin\</t>
  </si>
  <si>
    <t>Initial Virtual Machine Class for Tanzu Kubernetes Cluster</t>
  </si>
  <si>
    <t>guaranteed-small</t>
  </si>
  <si>
    <t>Enable vSphere vMotion for vGPU-Enabled Virtual Machines for Private AI Ready Infrastructure for VMware Cloud Foundation</t>
  </si>
  <si>
    <t>Install the Vendor GPU Driver on the ESXi Hosts for Private AI Ready Infrastructure for VMware Cloud Foundation</t>
  </si>
  <si>
    <t>&lt;sddc_manager_fqdn&gt;</t>
  </si>
  <si>
    <t>Create a Namespace for the Tanzu Kubernetes Grid Cluster for Private AI Ready Infrastructure for VMware Cloud Foundation</t>
  </si>
  <si>
    <t>vsphere-with-tanzu-storage-policy</t>
  </si>
  <si>
    <t>Assign the New Tanzu Cluster Namespace Roles to Active Directory Groups for VMware Cloud Foundation</t>
  </si>
  <si>
    <t>Namespace</t>
  </si>
  <si>
    <r>
      <rPr>
        <b/>
        <sz val="12"/>
        <color theme="1"/>
        <rFont val="Arial"/>
        <family val="2"/>
      </rPr>
      <t xml:space="preserve">Group </t>
    </r>
    <r>
      <rPr>
        <i/>
        <sz val="12"/>
        <color theme="1"/>
        <rFont val="Arial"/>
        <family val="2"/>
      </rPr>
      <t>(Edit Role)</t>
    </r>
  </si>
  <si>
    <r>
      <rPr>
        <b/>
        <sz val="12"/>
        <color theme="1"/>
        <rFont val="Arial"/>
        <family val="2"/>
      </rPr>
      <t>Group</t>
    </r>
    <r>
      <rPr>
        <i/>
        <sz val="12"/>
        <color theme="1"/>
        <rFont val="Arial"/>
        <family val="2"/>
      </rPr>
      <t xml:space="preserve"> (View Role)</t>
    </r>
  </si>
  <si>
    <t>Add GPU-Enabled VM Classes for the Tanzu Kubernetes Grid Cluster for Private AI Ready Infrastructure for VMware Cloud Foundation</t>
  </si>
  <si>
    <t>vgpu-a100-16vcpu-128gb</t>
  </si>
  <si>
    <t>GPU VM Class CPU Reservation</t>
  </si>
  <si>
    <t>GPU VM Class Mem Reservation</t>
  </si>
  <si>
    <t>Provision a Tanzu Kubernetes Grid Cluster for Private AI Ready Infrastructure for VMware Cloud Foundation</t>
  </si>
  <si>
    <t>Server</t>
  </si>
  <si>
    <t>name</t>
  </si>
  <si>
    <t>namespace</t>
  </si>
  <si>
    <t>storageClass</t>
  </si>
  <si>
    <t>class</t>
  </si>
  <si>
    <t>cidrBlock (services)</t>
  </si>
  <si>
    <t>198.51.100.0/12</t>
  </si>
  <si>
    <t>cidrBlock (pods)</t>
  </si>
  <si>
    <t>192.0.2.0/16</t>
  </si>
  <si>
    <t>Install the NVIDIA GPU Operator for Private AI Ready Infrastructure for VMware Cloud Foundation</t>
  </si>
  <si>
    <t>gpu-operator</t>
  </si>
  <si>
    <t>Install the NVIDIA Network Operator for Private AI Ready Infrastructure for VMware Cloud Foundation</t>
  </si>
  <si>
    <t>GPU Operator Network Namespace</t>
  </si>
  <si>
    <t>nvidia-network-operator</t>
  </si>
  <si>
    <t>Create AI Self-Service Catalog Items in VMware Aria Automation for Private AI Ready Infrastructure for VMware Cloud Foundation</t>
  </si>
  <si>
    <t>&lt;aria_suite_lifecycle_fqdn&gt;</t>
  </si>
  <si>
    <t>Deploy VMware Data Services Manager for Private AI Ready Infrastructure for VMware Cloud Foundation</t>
  </si>
  <si>
    <t>Create a Content Library with Deep Learning VM Images for Private AI Ready Infrastructure for VMware Cloud Foundation</t>
  </si>
  <si>
    <t>Content Library Name</t>
  </si>
  <si>
    <t>vSAN Datastore</t>
  </si>
  <si>
    <t>Deploy a Deep Learning VM from the VMware Aria Automation Self-Service Catalog for Private AI Ready Infrastructure for VMware Cloud Foundation</t>
  </si>
  <si>
    <t>Provision a Tanzu Kubernetes Grid Cluster from the VMware Aria Automation Self-Service Catalog for Private AI Ready Infrastructure for VMware Cloud Foundation</t>
  </si>
  <si>
    <t>Create a Vector Database Catalog Item in VMware Aria Automation for RAG Workloads for Private AI Ready Infrastructure for VMware Cloud Foundation</t>
  </si>
  <si>
    <t>Deploy a Vector Database by Using a Self-Service Catalog Item in VMware Aria Automation for RAG Workloads for Private AI Ready Infrastructure for VMware Cloud Foundation</t>
  </si>
  <si>
    <t xml:space="preserve">        Cloud-Based Ransomware Recovery Validated Solution</t>
  </si>
  <si>
    <t>This page contains all user required values used during the deployment of the Cloud-Based Ransomware Recovery Validated Solution. Each table and value maps directly to a process in the deployment guidance documentation.</t>
  </si>
  <si>
    <t>Section Navigation (Click to Navigate)</t>
  </si>
  <si>
    <t>Deployment</t>
  </si>
  <si>
    <t>Cloud-Based Ramsomware Recovery</t>
  </si>
  <si>
    <t>DRaaS Connector Appliance</t>
  </si>
  <si>
    <t>Chid</t>
  </si>
  <si>
    <t>Cloud-Based Ransomware Recovery</t>
  </si>
  <si>
    <t>VMware Live Cyber Recovery to vSphere Integration</t>
  </si>
  <si>
    <t>svc-vlcr-vsphere</t>
  </si>
  <si>
    <r>
      <rPr>
        <b/>
        <sz val="12"/>
        <color theme="1"/>
        <rFont val="Arial"/>
        <family val="2"/>
      </rPr>
      <t xml:space="preserve">VM Folder </t>
    </r>
    <r>
      <rPr>
        <i/>
        <sz val="12"/>
        <color theme="1"/>
        <rFont val="Arial"/>
        <family val="2"/>
      </rPr>
      <t>(DRaaS Connectors)</t>
    </r>
  </si>
  <si>
    <t>aws-recovery-sddc</t>
  </si>
  <si>
    <t>I4i (Local SSD)</t>
  </si>
  <si>
    <t>&lt;generated&gt;</t>
  </si>
  <si>
    <t>10.2.0.0/16</t>
  </si>
  <si>
    <r>
      <rPr>
        <b/>
        <sz val="12"/>
        <color theme="1"/>
        <rFont val="Arial"/>
        <family val="2"/>
      </rPr>
      <t xml:space="preserve">Firewall Rule Name </t>
    </r>
    <r>
      <rPr>
        <i/>
        <sz val="12"/>
        <color theme="1"/>
        <rFont val="Arial"/>
        <family val="2"/>
      </rPr>
      <t>(vCenter Server Inbound)</t>
    </r>
  </si>
  <si>
    <t>vCenter Inbound Rule</t>
  </si>
  <si>
    <r>
      <rPr>
        <b/>
        <sz val="12"/>
        <color theme="1"/>
        <rFont val="Arial"/>
        <family val="2"/>
      </rPr>
      <t xml:space="preserve">User Defined Group </t>
    </r>
    <r>
      <rPr>
        <i/>
        <sz val="12"/>
        <color theme="1"/>
        <rFont val="Arial"/>
        <family val="2"/>
      </rPr>
      <t>(Firewall Access)</t>
    </r>
  </si>
  <si>
    <t>External-Access</t>
  </si>
  <si>
    <t>69.34.34.11</t>
  </si>
  <si>
    <r>
      <rPr>
        <b/>
        <sz val="12"/>
        <color theme="1"/>
        <rFont val="Arial"/>
        <family val="2"/>
      </rPr>
      <t>Cloud File System</t>
    </r>
    <r>
      <rPr>
        <i/>
        <sz val="12"/>
        <color theme="1"/>
        <rFont val="Arial"/>
        <family val="2"/>
      </rPr>
      <t xml:space="preserve"> (VMware Cloud Disaster Recovery)</t>
    </r>
  </si>
  <si>
    <t>usw2-az2-cfs01</t>
  </si>
  <si>
    <r>
      <rPr>
        <b/>
        <sz val="12"/>
        <color theme="1"/>
        <rFont val="Arial"/>
        <family val="2"/>
      </rPr>
      <t xml:space="preserve">On-Premises Site Name </t>
    </r>
    <r>
      <rPr>
        <i/>
        <sz val="12"/>
        <color theme="1"/>
        <rFont val="Arial"/>
        <family val="2"/>
      </rPr>
      <t>(VMware Cloud Disaster Recovery)</t>
    </r>
  </si>
  <si>
    <r>
      <rPr>
        <b/>
        <sz val="12"/>
        <color theme="1"/>
        <rFont val="Arial"/>
        <family val="2"/>
      </rPr>
      <t xml:space="preserve">Timezone </t>
    </r>
    <r>
      <rPr>
        <i/>
        <sz val="12"/>
        <color theme="1"/>
        <rFont val="Arial"/>
        <family val="2"/>
      </rPr>
      <t>(VMware Cloud Disaster Recovery)</t>
    </r>
  </si>
  <si>
    <t>UTC</t>
  </si>
  <si>
    <t>https://vcdr-34-212-247-60.app.vcdr.vmware.com:443/vmware-cloud-connector.ova</t>
  </si>
  <si>
    <t>vcdr-34-212-247-60.app.vcdr.vmware.com</t>
  </si>
  <si>
    <t>cloudadmins@rainpole.io</t>
  </si>
  <si>
    <t>administrator@rainpole.io</t>
  </si>
  <si>
    <t>Create Virtual Machine and Template Folder for the VMware Live Cyber Recovery Connector Appliances for Cloud-Based Ransomware Recovery for VMware Cloud Foundation</t>
  </si>
  <si>
    <t>Datacenter</t>
  </si>
  <si>
    <r>
      <rPr>
        <b/>
        <sz val="12"/>
        <color rgb="FF000000"/>
        <rFont val="Arial"/>
        <family val="2"/>
      </rPr>
      <t xml:space="preserve">Folder Name </t>
    </r>
    <r>
      <rPr>
        <i/>
        <sz val="12"/>
        <color rgb="FF000000"/>
        <rFont val="Arial"/>
        <family val="2"/>
      </rPr>
      <t>(Cyber Recovery Connectors)</t>
    </r>
  </si>
  <si>
    <t>Deploy the Recovery SDDC for Cloud-Based Ransomware Recovery for VMware Cloud Foundation</t>
  </si>
  <si>
    <t>&lt;csp_console_fqdn&gt;</t>
  </si>
  <si>
    <t>console.cloud.vmware.com</t>
  </si>
  <si>
    <t>SDDC Name</t>
  </si>
  <si>
    <t>Configure vCenter Server Access to the Recovery SDDC for Cloud-Based Ransomware Recovery for VMware Cloud Foundation</t>
  </si>
  <si>
    <r>
      <rPr>
        <b/>
        <sz val="12"/>
        <color theme="1"/>
        <rFont val="Arial"/>
        <family val="2"/>
      </rPr>
      <t xml:space="preserve">Name </t>
    </r>
    <r>
      <rPr>
        <i/>
        <sz val="12"/>
        <color theme="1"/>
        <rFont val="Arial"/>
        <family val="2"/>
      </rPr>
      <t>(Rule Name)</t>
    </r>
  </si>
  <si>
    <r>
      <rPr>
        <b/>
        <sz val="12"/>
        <color theme="1"/>
        <rFont val="Arial"/>
        <family val="2"/>
      </rPr>
      <t xml:space="preserve">Sources </t>
    </r>
    <r>
      <rPr>
        <i/>
        <sz val="12"/>
        <color theme="1"/>
        <rFont val="Arial"/>
        <family val="2"/>
      </rPr>
      <t>(User Defined Group)</t>
    </r>
  </si>
  <si>
    <t>Destinations</t>
  </si>
  <si>
    <t>Service</t>
  </si>
  <si>
    <t>HTTPS (TCP 443)</t>
  </si>
  <si>
    <t>SSO (TCP 7444)</t>
  </si>
  <si>
    <t>IP Address(es)</t>
  </si>
  <si>
    <t>Activate a VMware Cloud Disaster Recovery Region for Cloud-Based Ransomware Recovery for VMware Cloud Foundation</t>
  </si>
  <si>
    <t>Deploy a Cloud File System for Cloud-Based Ransomware Recovery for VMware Cloud Foundation</t>
  </si>
  <si>
    <t xml:space="preserve">Recovery SDDC														</t>
  </si>
  <si>
    <t>Cloud file system name</t>
  </si>
  <si>
    <t>Create a Protected Site for Cloud-Based Ransomware Recovery for VMware Cloud Foundation</t>
  </si>
  <si>
    <t>Cloud Backup</t>
  </si>
  <si>
    <t>Timezone</t>
  </si>
  <si>
    <t>On-Premises Site Name</t>
  </si>
  <si>
    <t>Deploy the VMware Live Cyber Recovery Connector Appliances for Cloud-Based Ransomware Recovery for VMware Cloud Foundation</t>
  </si>
  <si>
    <t>Protected Site</t>
  </si>
  <si>
    <t>Cyber Recovery Connector OVA Link</t>
  </si>
  <si>
    <t>vSAN datastore</t>
  </si>
  <si>
    <t>Console User</t>
  </si>
  <si>
    <t>Network IP Address Allocation</t>
  </si>
  <si>
    <t>Static</t>
  </si>
  <si>
    <t>Subnet mask</t>
  </si>
  <si>
    <t>Create and Configure a Custom Role in vSphere for Cloud-Based Ransomware Recovery for VMware Cloud Foundation</t>
  </si>
  <si>
    <t>vCenter Server IP Address</t>
  </si>
  <si>
    <t>--admin-username</t>
  </si>
  <si>
    <t>--admin-password</t>
  </si>
  <si>
    <t>--new-username</t>
  </si>
  <si>
    <t>--new-password</t>
  </si>
  <si>
    <t>--vcenter-role</t>
  </si>
  <si>
    <t>Configure a vSphere DRS Anti-Affinity Rule for the VMware Live Cyber Recovery Connector Appliances for Cloud-Based Ransomware Recovery for VMware Cloud Foundation</t>
  </si>
  <si>
    <r>
      <rPr>
        <b/>
        <sz val="12"/>
        <color theme="1"/>
        <rFont val="Arial"/>
        <family val="2"/>
      </rPr>
      <t xml:space="preserve">Member </t>
    </r>
    <r>
      <rPr>
        <i/>
        <sz val="12"/>
        <color theme="1"/>
        <rFont val="Arial"/>
        <family val="2"/>
      </rPr>
      <t>(Cyber Recovery Connector Node 1)</t>
    </r>
  </si>
  <si>
    <r>
      <rPr>
        <b/>
        <sz val="12"/>
        <color theme="1"/>
        <rFont val="Arial"/>
        <family val="2"/>
      </rPr>
      <t xml:space="preserve">Member </t>
    </r>
    <r>
      <rPr>
        <i/>
        <sz val="12"/>
        <color theme="1"/>
        <rFont val="Arial"/>
        <family val="2"/>
      </rPr>
      <t>(Cyber Recovery Connector Node 2)</t>
    </r>
  </si>
  <si>
    <t>Add the Connector Appliances to the First Availability Zone VM Group for Cloud-Based Ransomware Recovery for VMware Cloud Foundation</t>
  </si>
  <si>
    <t>Register a VI Workload Domain vCenter Server for Cloud-Based Ransomware Recovery for VMware Cloud Foundation</t>
  </si>
  <si>
    <t>vCenter Server IP address</t>
  </si>
  <si>
    <t>vCenter user name</t>
  </si>
  <si>
    <t>Add a Recovery SDDC for Cloud-Based Ransomware Recovery for VMware Cloud Foundation</t>
  </si>
  <si>
    <t>Configure Email Alerts for Cloud-Based Ransomware Recovery for VMware Cloud Foundation</t>
  </si>
  <si>
    <t>Sender name</t>
  </si>
  <si>
    <t>no-reply-vlcr</t>
  </si>
  <si>
    <t>Integration with Intelligent Operations Management for VMware Cloud Foundation</t>
  </si>
  <si>
    <t>Configure a Ping Adapter for the Connector Appliances in the on-premises VMware Aria Operations for Cloud-Based Ransomware Recovery for VMware Cloud Foundation</t>
  </si>
  <si>
    <t>Unique Name</t>
  </si>
  <si>
    <t xml:space="preserve">Address list </t>
  </si>
  <si>
    <t>Collector Group</t>
  </si>
  <si>
    <t xml:space="preserve">          Cross Cloud Mobility Validated Solution</t>
  </si>
  <si>
    <t>This page contains all user required values used during the deployment of the Cross Cloud Mobility Validated Solution. Each table and value maps directly to a process in the deployment guidance documentation.</t>
  </si>
  <si>
    <t>Cross Cloud Mobility</t>
  </si>
  <si>
    <t>HCX Appliance</t>
  </si>
  <si>
    <t>HCX Network Profiles</t>
  </si>
  <si>
    <t>Reference IP Range</t>
  </si>
  <si>
    <t>Your IP Range</t>
  </si>
  <si>
    <t>VMware HCX to vSphere Integration</t>
  </si>
  <si>
    <r>
      <rPr>
        <b/>
        <sz val="12"/>
        <color theme="1"/>
        <rFont val="Arial"/>
        <family val="2"/>
      </rPr>
      <t>VM Folder (</t>
    </r>
    <r>
      <rPr>
        <i/>
        <sz val="12"/>
        <color theme="1"/>
        <rFont val="Arial"/>
        <family val="2"/>
      </rPr>
      <t>HCX Connector)</t>
    </r>
  </si>
  <si>
    <t>mobility-sddc</t>
  </si>
  <si>
    <t>I3 (Local SSD)</t>
  </si>
  <si>
    <t>HCX Inbound Rule</t>
  </si>
  <si>
    <t>San Francisco, United States of America</t>
  </si>
  <si>
    <t>https://hcx.sddc-44-231-98-23.vmwarevmc.com/</t>
  </si>
  <si>
    <t>cloudadmin@vmc.local</t>
  </si>
  <si>
    <t>TBvAZf-Aj*1ap6T</t>
  </si>
  <si>
    <t>Define Custom Roles in vSphere for Cross Cloud Mobility for VMware Cloud Foundation</t>
  </si>
  <si>
    <r>
      <rPr>
        <b/>
        <sz val="12"/>
        <color theme="1"/>
        <rFont val="Arial"/>
        <family val="2"/>
      </rPr>
      <t xml:space="preserve">Role name </t>
    </r>
    <r>
      <rPr>
        <i/>
        <sz val="12"/>
        <color theme="1"/>
        <rFont val="Arial"/>
        <family val="2"/>
      </rPr>
      <t>(VMware HCX to vSphere)</t>
    </r>
  </si>
  <si>
    <t>Configure Service Account Permissions for vSphere Integration for Cross Cloud Mobility for VMware Cloud Foundation</t>
  </si>
  <si>
    <r>
      <rPr>
        <b/>
        <sz val="12"/>
        <color theme="1"/>
        <rFont val="Arial"/>
        <family val="2"/>
      </rPr>
      <t xml:space="preserve">Domain </t>
    </r>
    <r>
      <rPr>
        <i/>
        <sz val="12"/>
        <color theme="1"/>
        <rFont val="Arial"/>
        <family val="2"/>
      </rPr>
      <t>(VMware HCX Service Account)</t>
    </r>
  </si>
  <si>
    <r>
      <rPr>
        <b/>
        <sz val="12"/>
        <color theme="1"/>
        <rFont val="Arial"/>
        <family val="2"/>
      </rPr>
      <t xml:space="preserve">User / Group </t>
    </r>
    <r>
      <rPr>
        <i/>
        <sz val="12"/>
        <color theme="1"/>
        <rFont val="Arial"/>
        <family val="2"/>
      </rPr>
      <t>(VMware HCX Service Account)</t>
    </r>
  </si>
  <si>
    <r>
      <rPr>
        <b/>
        <sz val="12"/>
        <color theme="1"/>
        <rFont val="Arial"/>
        <family val="2"/>
      </rPr>
      <t xml:space="preserve">Role </t>
    </r>
    <r>
      <rPr>
        <i/>
        <sz val="12"/>
        <color theme="1"/>
        <rFont val="Arial"/>
        <family val="2"/>
      </rPr>
      <t>(VMware HCX Service Account)</t>
    </r>
  </si>
  <si>
    <t>Create a Virtual Machine and Template Folder for the HCX Appliance for Cross Cloud Mobility for VMware Cloud Foundation</t>
  </si>
  <si>
    <r>
      <rPr>
        <b/>
        <sz val="12"/>
        <color rgb="FF000000"/>
        <rFont val="Arial"/>
        <family val="2"/>
      </rPr>
      <t xml:space="preserve">Folder Name </t>
    </r>
    <r>
      <rPr>
        <i/>
        <sz val="12"/>
        <color rgb="FF000000"/>
        <rFont val="Arial"/>
        <family val="2"/>
      </rPr>
      <t>(HCX Connector)</t>
    </r>
  </si>
  <si>
    <t>Create a Virtual Machine and Template Folder and a Resource Pool for the HCX Appliances for Cross Cloud Mobility for VMware Cloud Foundation</t>
  </si>
  <si>
    <t>&lt;vi_workload_domain_vcenter_server_fqdn&gt;</t>
  </si>
  <si>
    <r>
      <rPr>
        <b/>
        <sz val="12"/>
        <color theme="1"/>
        <rFont val="Arial"/>
        <family val="2"/>
      </rPr>
      <t xml:space="preserve">Folder Name </t>
    </r>
    <r>
      <rPr>
        <i/>
        <sz val="12"/>
        <color theme="1"/>
        <rFont val="Arial"/>
        <family val="2"/>
      </rPr>
      <t>(HCX Appliances)</t>
    </r>
  </si>
  <si>
    <t>Configure Service Account Permissions for NSX Integration for Cross Cloud Mobility for VMware Cloud Foundation</t>
  </si>
  <si>
    <t>&lt;vi_workload_domain_nsx_manager_fqdn&gt;</t>
  </si>
  <si>
    <t>Deploy the Mobility SDDC for Cross Cloud Mobility for VMware Cloud Foundation</t>
  </si>
  <si>
    <t>Configure vCenter Server Access to the Mobililty SDDC for Cross Cloud Mobility for VMware Cloud Foundation</t>
  </si>
  <si>
    <t>Deploy VMware HCX to the Mobility SDDC for Cross Cloud Mobility for VMware Cloud Foundation</t>
  </si>
  <si>
    <t>Deploy the HCX Connector Appliance for Cross Cloud Mobility for VMware Cloud Foundation</t>
  </si>
  <si>
    <t>Deploy HCX Connector</t>
  </si>
  <si>
    <t>Connector Folder</t>
  </si>
  <si>
    <t>CLI "admin" User Password</t>
  </si>
  <si>
    <t>root Password</t>
  </si>
  <si>
    <t>Network 1 IPv4 Address</t>
  </si>
  <si>
    <t>Network 1 IPv4 Prefix Length</t>
  </si>
  <si>
    <t>DNS Server list</t>
  </si>
  <si>
    <t>Domain Search List</t>
  </si>
  <si>
    <t>NTP Server List</t>
  </si>
  <si>
    <t xml:space="preserve">Configure HCX Connector			</t>
  </si>
  <si>
    <t>Location of your datacenter (nearest city)</t>
  </si>
  <si>
    <t>System name</t>
  </si>
  <si>
    <t>NSX Manager</t>
  </si>
  <si>
    <t>Identity Sources</t>
  </si>
  <si>
    <t>Replace the Certificate of the HCX Connector Appliance for Cross Cloud Mobility for VMware Cloud Foundation</t>
  </si>
  <si>
    <t>&lt;hcx_connector_fqdn&gt;</t>
  </si>
  <si>
    <t>Add the HCX Connector Appliance to the First Availability Zone VM Group for Cross Cloud Mobility for VMware Cloud Foundation</t>
  </si>
  <si>
    <t>Member</t>
  </si>
  <si>
    <t>Configure VMware HCX Access to the Mobility SDDC for Cross Cloud Mobility for VMware Cloud Foundation</t>
  </si>
  <si>
    <t>HCX</t>
  </si>
  <si>
    <t>Appliance Management (TCP 9443)</t>
  </si>
  <si>
    <t>Pair On-Premises vSphere Environment with HCX Cloud for Cross Cloud Mobility for VMware Cloud Foundation</t>
  </si>
  <si>
    <t>Create Network Profiles in HCX for Cross Cloud Mobility for VMware Cloud Foundation</t>
  </si>
  <si>
    <t>Management Network Profile</t>
  </si>
  <si>
    <t>IP Ranges</t>
  </si>
  <si>
    <t>Prefix Length</t>
  </si>
  <si>
    <t>Primary DNS</t>
  </si>
  <si>
    <t>Secondary DNS</t>
  </si>
  <si>
    <t>DNS Suffix</t>
  </si>
  <si>
    <t>vMotion Network Profile</t>
  </si>
  <si>
    <t>Create a Compute Profile in HCX for Cross Cloud Mobility for VMware Cloud Foundation</t>
  </si>
  <si>
    <t>Name your Compute Profile</t>
  </si>
  <si>
    <t>Select Resource(s)</t>
  </si>
  <si>
    <t>Select Resource</t>
  </si>
  <si>
    <t>Select Management Network Profile</t>
  </si>
  <si>
    <t xml:space="preserve">Select Uplink Network Profile </t>
  </si>
  <si>
    <t>Select vMotion Network Profile</t>
  </si>
  <si>
    <t>Select vSphere Replication Network Profile</t>
  </si>
  <si>
    <t>Select Network Containers</t>
  </si>
  <si>
    <t>Create a Service Mesh in HCX for Cross Cloud Mobility for VMware Cloud Foundation</t>
  </si>
  <si>
    <t>Select Source Compute Profile</t>
  </si>
  <si>
    <t>Select Remote Compute Profile</t>
  </si>
  <si>
    <t>ComputeProfile(vcenter)</t>
  </si>
  <si>
    <t>Name for this Service Mesh</t>
  </si>
  <si>
    <t>Configure a Ping Adapter for the HCX Connector Appliance in the on-premises VMware Aria Operations for Cross Cloud Mobility for VMware Cloud Foundation</t>
  </si>
  <si>
    <t>Data Protection for Cross Cloud Mobility for VMware Cloud Foundation</t>
  </si>
  <si>
    <t>Backup the HCX Connector Configuration for Cross Cloud Mobility for VMware Cloud Foundation</t>
  </si>
  <si>
    <t>IP/Host name</t>
  </si>
  <si>
    <t>Transfer protocol</t>
  </si>
  <si>
    <t>Backup directory</t>
  </si>
  <si>
    <t>Configure a Backup Schedule for the HCX Connector for Cross Cloud Mobility for VMware Cloud Foundation</t>
  </si>
  <si>
    <t>Backup Frequency</t>
  </si>
  <si>
    <t>DAILY</t>
  </si>
  <si>
    <t>Hour of day</t>
  </si>
  <si>
    <t>Minute</t>
  </si>
  <si>
    <t xml:space="preserve">      VMware Cloud Foundaation Active Directory Inputs</t>
  </si>
  <si>
    <t xml:space="preserve">To be completed by a member of the Customer Active Directory Team. Inputs are enabled by choices made on Deployment Options Tab and values will be presented in relevant sections of Workflow Execution Tabs								</t>
  </si>
  <si>
    <t>Active Directory Details</t>
  </si>
  <si>
    <t>Purpose</t>
  </si>
  <si>
    <t>Reference Fully Qualified Name</t>
  </si>
  <si>
    <t>Your Fully Qualified Name</t>
  </si>
  <si>
    <t>Reference NETBIOS Name</t>
  </si>
  <si>
    <r>
      <rPr>
        <b/>
        <sz val="12"/>
        <color theme="1"/>
        <rFont val="Arial"/>
        <family val="2"/>
      </rPr>
      <t xml:space="preserve">FQDN &amp; NetBIOS </t>
    </r>
    <r>
      <rPr>
        <sz val="12"/>
        <color theme="1"/>
        <rFont val="Arial"/>
        <family val="2"/>
      </rPr>
      <t>(Parent)</t>
    </r>
  </si>
  <si>
    <t>RAINPOLE</t>
  </si>
  <si>
    <r>
      <rPr>
        <b/>
        <sz val="12"/>
        <color theme="1"/>
        <rFont val="Arial"/>
        <family val="2"/>
      </rPr>
      <t xml:space="preserve">FQDN &amp; NetBIOS </t>
    </r>
    <r>
      <rPr>
        <sz val="12"/>
        <color theme="1"/>
        <rFont val="Arial"/>
        <family val="2"/>
      </rPr>
      <t>(Child)</t>
    </r>
  </si>
  <si>
    <r>
      <rPr>
        <b/>
        <sz val="12"/>
        <color theme="1"/>
        <rFont val="Arial"/>
        <family val="2"/>
      </rPr>
      <t xml:space="preserve">User and Group OUs </t>
    </r>
    <r>
      <rPr>
        <sz val="12"/>
        <color theme="1"/>
        <rFont val="Arial"/>
        <family val="2"/>
      </rPr>
      <t>(Parent)</t>
    </r>
  </si>
  <si>
    <t>ou=Security Groups,dc=rainpole,dc=io</t>
  </si>
  <si>
    <t>ou=Security Users,dc=rainpole,dc=io</t>
  </si>
  <si>
    <r>
      <rPr>
        <b/>
        <sz val="12"/>
        <color theme="1"/>
        <rFont val="Arial"/>
        <family val="2"/>
      </rPr>
      <t xml:space="preserve">User and Group OUs </t>
    </r>
    <r>
      <rPr>
        <sz val="12"/>
        <color theme="1"/>
        <rFont val="Arial"/>
        <family val="2"/>
      </rPr>
      <t>(Child)</t>
    </r>
  </si>
  <si>
    <t>Active Directory Users (Service Accounts for Application to External Service Communication)</t>
  </si>
  <si>
    <t>Reference Username</t>
  </si>
  <si>
    <t>Your Username</t>
  </si>
  <si>
    <t>Reference Password</t>
  </si>
  <si>
    <t>Your Password</t>
  </si>
  <si>
    <t>Identity and Access Management</t>
  </si>
  <si>
    <t>Active Directory Bind (vSphere)</t>
  </si>
  <si>
    <t>Active Directory Bind (NSX)</t>
  </si>
  <si>
    <t>svc-nsx-ad</t>
  </si>
  <si>
    <t>Active Directory Users (Service Accounts for Application to Application Communication)</t>
  </si>
  <si>
    <t>Intelligent Logging and Analytics for VMware Cloud Foundation</t>
  </si>
  <si>
    <t>VMware Aria Operations for Logs to Active Directory</t>
  </si>
  <si>
    <t>svc-logs-ad</t>
  </si>
  <si>
    <t>Intelligent Operations Management for VMware Cloud Foundation</t>
  </si>
  <si>
    <t>VMware Aria Operations to VMware Cloud Foundation</t>
  </si>
  <si>
    <t>svc-ops-vcf</t>
  </si>
  <si>
    <t>x</t>
  </si>
  <si>
    <t>VMware Aria Operations to vCenter Server</t>
  </si>
  <si>
    <t>svc-ops-vsphere</t>
  </si>
  <si>
    <t>VMware Aria Operations to VMware Aria Automation</t>
  </si>
  <si>
    <t>svc-ops-cmp</t>
  </si>
  <si>
    <t>Intelligent Network Visibility for VMware Cloud Foundation</t>
  </si>
  <si>
    <t>VMware Aria Operations for Networks to Active Directory</t>
  </si>
  <si>
    <t>svc-net-ad</t>
  </si>
  <si>
    <t>VMware Aria Operations for Networks to vCenter Server</t>
  </si>
  <si>
    <t>svc-net-vsphere</t>
  </si>
  <si>
    <t>VMware Aria Operations to VMware Aria Operations for Networks</t>
  </si>
  <si>
    <t>svc-net-ops</t>
  </si>
  <si>
    <t>Private Cloud Automation on VMware Cloud Foundation</t>
  </si>
  <si>
    <t>svc-cmp-vsphere</t>
  </si>
  <si>
    <t>svc-cmp-nsx</t>
  </si>
  <si>
    <t>svc-cmp-vcf</t>
  </si>
  <si>
    <t>svc-orch-vsphere</t>
  </si>
  <si>
    <t>svc-cmp-ops</t>
  </si>
  <si>
    <t>Health Reporting and Monitoring</t>
  </si>
  <si>
    <t>HRM to SDDC Manager</t>
  </si>
  <si>
    <t>svc-hrm-vcf</t>
  </si>
  <si>
    <t>HRM to VMware Aria Operations</t>
  </si>
  <si>
    <t>svc-hrm-ops</t>
  </si>
  <si>
    <t>VMware HCX to vCenter Server</t>
  </si>
  <si>
    <t>svc-hcx-vsphere</t>
  </si>
  <si>
    <t>VMware HCX to NSX</t>
  </si>
  <si>
    <t>svc-hcx-nsx</t>
  </si>
  <si>
    <t>VMware Aria Suite Lifecycle</t>
  </si>
  <si>
    <t>Reference Group Name</t>
  </si>
  <si>
    <t>Your Group Name</t>
  </si>
  <si>
    <t>gg-lcm-admins</t>
  </si>
  <si>
    <t>gg-lcm-release-managers</t>
  </si>
  <si>
    <t>gg-lcm-content-developers</t>
  </si>
  <si>
    <t>Clustered Workspace ONE Access</t>
  </si>
  <si>
    <t>Workspace ONE Access</t>
  </si>
  <si>
    <t>gg-idm-admins</t>
  </si>
  <si>
    <t>gg-idm-directory-admins</t>
  </si>
  <si>
    <t>gg-idm-read-only</t>
  </si>
  <si>
    <t>Identity and Access Management for VMware Cloud Foundation</t>
  </si>
  <si>
    <t>Developer Ready Infrastructure using VMware Cloud Foundation</t>
  </si>
  <si>
    <t xml:space="preserve">Kubernetes </t>
  </si>
  <si>
    <t>gg-kub-admins</t>
  </si>
  <si>
    <t>gg-kub-readonly</t>
  </si>
  <si>
    <t>VMware Aria Operations for Logs</t>
  </si>
  <si>
    <t>gg-logs-admins</t>
  </si>
  <si>
    <t>gg-logs-users</t>
  </si>
  <si>
    <t>gg-logs-viewers</t>
  </si>
  <si>
    <t>VMware Aria Operations</t>
  </si>
  <si>
    <t>gg-ops-admins</t>
  </si>
  <si>
    <t>gg-ops-content-admins</t>
  </si>
  <si>
    <t>gg-ops-read-only</t>
  </si>
  <si>
    <t>VMware Aria Operations for Networks</t>
  </si>
  <si>
    <t>gg-networks-admin</t>
  </si>
  <si>
    <t>gg-networks-member</t>
  </si>
  <si>
    <t>gg-networks-auditor</t>
  </si>
  <si>
    <t>VMware Aria Automation</t>
  </si>
  <si>
    <t>gg-cmp-org-owners</t>
  </si>
  <si>
    <t>gg-cmp-cloud-assembly-admins</t>
  </si>
  <si>
    <t>gg-cmp-cloud-assembly-users</t>
  </si>
  <si>
    <t>gg-cmp-cloud-assembly-viewers</t>
  </si>
  <si>
    <t>gg-cmp-service-broker-admins</t>
  </si>
  <si>
    <t>gg-cmp-service-broker-users</t>
  </si>
  <si>
    <t>gg-cmp-service-broker-viewers</t>
  </si>
  <si>
    <t>gg-cmp-orchestrator-admins</t>
  </si>
  <si>
    <t>gg-cmp-orchestrator-designers</t>
  </si>
  <si>
    <t>gg-cmp-orchestrator-viewers</t>
  </si>
  <si>
    <t>gg-cmp-project-admins-sample</t>
  </si>
  <si>
    <t>gg-cmp-project-users-sample</t>
  </si>
  <si>
    <t>ID</t>
  </si>
  <si>
    <t>Bucket</t>
  </si>
  <si>
    <t>Title</t>
  </si>
  <si>
    <t>Decision Type</t>
  </si>
  <si>
    <t>Trigger Criteria</t>
  </si>
  <si>
    <t>Requirement</t>
  </si>
  <si>
    <t>Justification</t>
  </si>
  <si>
    <t>Parent Decision IDs</t>
  </si>
  <si>
    <t>Baseline Bundle ID</t>
  </si>
  <si>
    <t>Rule Classification</t>
  </si>
  <si>
    <t>Mapping Status</t>
  </si>
  <si>
    <t>Mapping Rationale</t>
  </si>
  <si>
    <t>Source Version</t>
  </si>
  <si>
    <t>VCF-PAI-REQD-CFG-001</t>
  </si>
  <si>
    <t>AI</t>
  </si>
  <si>
    <t>GPU Host Profiling</t>
  </si>
  <si>
    <t>hldIncAI=true</t>
  </si>
  <si>
    <t>Ensure all hosts in the AI workload domain have identical NVIDIA GPU hardware and profiles.</t>
  </si>
  <si>
    <t>Guarantees DRS load balancing and vMotion compatibility for AI/ML workloads.</t>
  </si>
  <si>
    <t>DEC-AI-001; DEC-AI-002; DEC-NET-004</t>
  </si>
  <si>
    <t>BL-SOL-001</t>
  </si>
  <si>
    <t>DECISION_LED</t>
  </si>
  <si>
    <t>MAPPED</t>
  </si>
  <si>
    <t>Activated by hldIncAI=true; governed by DEC-AI-001, DEC-AI-002, DEC-NET-004.</t>
  </si>
  <si>
    <t>VCF 9.1</t>
  </si>
  <si>
    <t>VCF-PAI-REQD-CFG-002</t>
  </si>
  <si>
    <t>Backend AI Network</t>
  </si>
  <si>
    <t>Allocate a dedicated high-throughput, low-latency VLAN (RoCEv2) for GPU-to-GPU communications.</t>
  </si>
  <si>
    <t>Prevents deep learning network traffic from bottlenecking standard VM traffic.</t>
  </si>
  <si>
    <t>VCF-PAI-REQD-CFG-003</t>
  </si>
  <si>
    <t>NVIDIA Licensing System</t>
  </si>
  <si>
    <t>ALWAYS</t>
  </si>
  <si>
    <t>Deploy the NVIDIA License System (NLS) appliance in the management domain.</t>
  </si>
  <si>
    <t>Centralizes vGPU license distribution for tenant workload clusters.</t>
  </si>
  <si>
    <t>DEC-AI-001; DEC-AI-002</t>
  </si>
  <si>
    <t>INHERIT_PARENT_SCOPE</t>
  </si>
  <si>
    <t>Required after parent decision DEC-AI-001, DEC-AI-002 activates this domain or solution.</t>
  </si>
  <si>
    <t>VCF-PAI-REQD-CFG-004</t>
  </si>
  <si>
    <t>AI Workload Orchestration Model</t>
  </si>
  <si>
    <t>Determine whether AI/ML workloads will be scheduled via an MLOps orchestration platform (e.g., Run:ai, NVIDIA AI Enterprise tooling) or managed directly through vCenter/vGPU assignment.</t>
  </si>
  <si>
    <t>Orchestration model determines whether GPU capacity is exposed as an aggregate pool or requires explicit per-VM MIG/vGPU partition design; getting this wrong means re-architecting GPU allocation later.</t>
  </si>
  <si>
    <t>VCF-AUTO-REQD-CFG-001</t>
  </si>
  <si>
    <t>AUTO</t>
  </si>
  <si>
    <t>VCF Automation Placement</t>
  </si>
  <si>
    <t>Deploy VCF Automation in the management domain or a dedicated management cluster.</t>
  </si>
  <si>
    <t>Secures the automation and orchestration engine within the primary administrative boundary.</t>
  </si>
  <si>
    <t>DEC-AUTO-001; DEC-AUTO-002</t>
  </si>
  <si>
    <t>Required after parent decision DEC-AUTO-001, DEC-AUTO-002 activates this domain or solution.</t>
  </si>
  <si>
    <t>VCF-AUTO-REQD-CFG-002</t>
  </si>
  <si>
    <t>VCF Automation HA</t>
  </si>
  <si>
    <t>Deploy a cluster of three VCF Automation appliances for high availability.</t>
  </si>
  <si>
    <t>Guarantees continuous self-service and orchestration during host or node failures.</t>
  </si>
  <si>
    <t>VCF-AUTO-REQD-CFG-004</t>
  </si>
  <si>
    <t>Identity Broker Integration</t>
  </si>
  <si>
    <t>Integrate VCF Automation with Identity Broker.</t>
  </si>
  <si>
    <t>Standardizes Role-Based Access Control (RBAC) and single sign-on across the VCF portal.</t>
  </si>
  <si>
    <t>DEC-AUTO-001; DEC-ID-001; DEC-AUTO-002</t>
  </si>
  <si>
    <t>Required after parent decision DEC-AUTO-001, DEC-ID-001, DEC-AUTO-002 activates this domain or solution.</t>
  </si>
  <si>
    <t>VCF-AUTO-REQD-CFG-005</t>
  </si>
  <si>
    <t>NSX Cloud Accounts</t>
  </si>
  <si>
    <t>Configure NSX cloud accounts within VCF Automation to enable on-demand network provisioning.</t>
  </si>
  <si>
    <t>Allows developers to dynamically spin up load balancers and networks via self-service blueprints.</t>
  </si>
  <si>
    <t>VCF-AUTO-REQD-CFG-006</t>
  </si>
  <si>
    <t>VCF Auto Load Balancer</t>
  </si>
  <si>
    <t>Deploy an Avi or equivalent to front the VCF Automation cluster.</t>
  </si>
  <si>
    <t>Ensures highly available access to the self-service portal for developers and users.</t>
  </si>
  <si>
    <t>DEC-AUTO-001; DEC-NET-004; DEC-AUTO-002</t>
  </si>
  <si>
    <t>Required after parent decision DEC-AUTO-001, DEC-NET-004, DEC-AUTO-002 activates this domain or solution.</t>
  </si>
  <si>
    <t>VCF-AUTO-REQD-CFG-007</t>
  </si>
  <si>
    <t>Automation Extensibility</t>
  </si>
  <si>
    <t>Deploy VCF Automation Orchestrator nodes independently if complex scripting exceeds built-in capabilities.</t>
  </si>
  <si>
    <t>Offloads heavy API interaction and customized workflows from the core Automation appliances.</t>
  </si>
  <si>
    <t>VCF-AUTO-REQD-CFG-008</t>
  </si>
  <si>
    <t>Cloud Zone Grouping</t>
  </si>
  <si>
    <t>Group vCenter compute clusters into VCF Automation Cloud Zones by SLA or purpose.</t>
  </si>
  <si>
    <t>Allows fine-grained placement policies for developer blueprints targeting specific hardware tiers.</t>
  </si>
  <si>
    <t>VCF-AUTO-REQD-CFG-009</t>
  </si>
  <si>
    <t>Automation Sizing</t>
  </si>
  <si>
    <t>Deploy VCF Automation nodes using the standard Large form factor for production use.</t>
  </si>
  <si>
    <t>Provides adequate CPU and memory for concurrent blueprint provisioning and API rate limits.</t>
  </si>
  <si>
    <t>DEC-AUTO-001; DEC-AVAIL-002; DEC-AUTO-002</t>
  </si>
  <si>
    <t>Required after parent decision DEC-AUTO-001, DEC-AVAIL-002, DEC-AUTO-002 activates this domain or solution.</t>
  </si>
  <si>
    <t>VCF-AUTO-REQD-CFG-010</t>
  </si>
  <si>
    <t>Certificates</t>
  </si>
  <si>
    <t>Implement CA-signed certificates for the VCF Automation Load Balancer VIP and all nodes.</t>
  </si>
  <si>
    <t>Secures API endpoints and prevents browser trust warnings for end users accessing the catalog.</t>
  </si>
  <si>
    <t>DEC-AUTO-001; DEC-ID-002; DEC-AUTO-002</t>
  </si>
  <si>
    <t>Required after parent decision DEC-AUTO-001, DEC-ID-002, DEC-AUTO-002 activates this domain or solution.</t>
  </si>
  <si>
    <t>VCF-AUTO-REQD-CFG-003</t>
  </si>
  <si>
    <t>VCF Automation Database/NTP</t>
  </si>
  <si>
    <t>Configure Automation nodes with external NTP and verify database sync requirements.</t>
  </si>
  <si>
    <t>Ensures orchestration logs and time-based deployment policies execute accurately.</t>
  </si>
  <si>
    <t>DEC-AUTO-001; DEC-NET-003; DEC-AUTO-002</t>
  </si>
  <si>
    <t>Required after parent decision DEC-AUTO-001, DEC-NET-003, DEC-AUTO-002 activates this domain or solution.</t>
  </si>
  <si>
    <t>VCF-WLD-REQD-CFG-001</t>
  </si>
  <si>
    <t>CORE</t>
  </si>
  <si>
    <t>Management Domain Deployment</t>
  </si>
  <si>
    <t>Deploy a management domain to host all management components for the VCF instance.</t>
  </si>
  <si>
    <t>Guarantees sufficient resources for management components and isolates them from tenant workloads.</t>
  </si>
  <si>
    <t>DEC-ARCH-001</t>
  </si>
  <si>
    <t>BL-ARCH-001</t>
  </si>
  <si>
    <t>Required after parent decision DEC-ARCH-001 activates this domain or solution.</t>
  </si>
  <si>
    <t>VCF-WLD-REQD-CFG-002</t>
  </si>
  <si>
    <t>Dedicated VI Workload Domain</t>
  </si>
  <si>
    <t>Deploy dedicated VI workload domains for tenant applications.</t>
  </si>
  <si>
    <t>Isolates tenant workloads from management infrastructure and applies distinct security and performance profiles.</t>
  </si>
  <si>
    <t>DEC-ARCH-002</t>
  </si>
  <si>
    <t>Required after parent decision DEC-ARCH-002 activates this domain or solution.</t>
  </si>
  <si>
    <t>VCF-WLD-REQD-CFG-003</t>
  </si>
  <si>
    <t>Consolidated Architecture</t>
  </si>
  <si>
    <t>Deploy a consolidated management domain if resource requirements do not warrant dedicated VI domains.</t>
  </si>
  <si>
    <t>Reduces hardware footprint for smaller environments while maintaining full VCF operational capabilities.</t>
  </si>
  <si>
    <t>VCF-WLD-REQD-CFG-004</t>
  </si>
  <si>
    <t>Single SSO Domain</t>
  </si>
  <si>
    <t>Use a single vSphere Single Sign-On (SSO) domain per VCF instance.</t>
  </si>
  <si>
    <t>Streamlines authentication and identity management across the entire VMware Cloud Foundation environment.</t>
  </si>
  <si>
    <t>DEC-ID-001</t>
  </si>
  <si>
    <t>Required after parent decision DEC-ID-001 activates this domain or solution.</t>
  </si>
  <si>
    <t>VCF-WLD-REQD-CFG-005</t>
  </si>
  <si>
    <t>Domain Naming Standard</t>
  </si>
  <si>
    <t>Use standard naming conventions without special characters for workload domains.</t>
  </si>
  <si>
    <t>Prevents deployment and API integration errors during automated provisioning workflows.</t>
  </si>
  <si>
    <t>DEC-WLD-001</t>
  </si>
  <si>
    <t>BASELINE</t>
  </si>
  <si>
    <t>Inherited BL-ARCH-001 control; retained without presenting it as a questionnaire branch.</t>
  </si>
  <si>
    <t>VCF-SDDCMGR-REQD-CFG-001</t>
  </si>
  <si>
    <t>SDDC Manager Placement</t>
  </si>
  <si>
    <t>Deploy an SDDC Manager system in the first availability zone of the management domain.</t>
  </si>
  <si>
    <t>SDDC Manager is required to perform VCF lifecycle capabilities and domain provisioning.</t>
  </si>
  <si>
    <t>DEC-ARCH-001; DEC-ARCH-002</t>
  </si>
  <si>
    <t>BL-MGMT-001</t>
  </si>
  <si>
    <t>Required after parent decision DEC-ARCH-001, DEC-ARCH-002 activates this domain or solution.</t>
  </si>
  <si>
    <t>VCF-SDDCMGR-REQD-CFG-002</t>
  </si>
  <si>
    <t>SDDC Manager Network</t>
  </si>
  <si>
    <t>Place the SDDC Manager appliance on the VM management network.</t>
  </si>
  <si>
    <t>Simplifies IP addressing for management VMs by using the same VLAN and subnet.</t>
  </si>
  <si>
    <t>Inherited BL-MGMT-001 control; retained without presenting it as a questionnaire branch.</t>
  </si>
  <si>
    <t>VCF-SDDCMGR-REQD-CFG-003</t>
  </si>
  <si>
    <t>SDDC Manager Backup</t>
  </si>
  <si>
    <t>Configure file-based backup for the SDDC Manager appliance using an external SFTP server.</t>
  </si>
  <si>
    <t>Ensures rapid recovery of the central orchestrator in the event of severe management domain failure.</t>
  </si>
  <si>
    <t>DEC-ARCH-001; DEC-ARCH-002; DEC-PROT-001; DEC-PROT-002</t>
  </si>
  <si>
    <t>VCF-SDDCMGR-REQD-CFG-004</t>
  </si>
  <si>
    <t>SDDC Manager NTP</t>
  </si>
  <si>
    <t>Configure SDDC Manager to use external NTP sources.</t>
  </si>
  <si>
    <t>Maintains strict time synchronization across the entire SDDC stack required for certificate validity and logs.</t>
  </si>
  <si>
    <t>DEC-ARCH-001; DEC-ARCH-002; DEC-NET-003</t>
  </si>
  <si>
    <t>VCF-SDDCMGR-REQD-CFG-005</t>
  </si>
  <si>
    <t>SDDC Manager Sizing</t>
  </si>
  <si>
    <t>Do not alter the default vCPU and RAM configuration of the SDDC Manager appliance.</t>
  </si>
  <si>
    <t>Broadcom validates the default appliance sizing; manual changes may impact lifecycle automation performance.</t>
  </si>
  <si>
    <t>DEC-ARCH-001; DEC-ARCH-002; DEC-AVAIL-002</t>
  </si>
  <si>
    <t>Required after parent decision DEC-ARCH-001, DEC-ARCH-002, DEC-AVAIL-002 activates this domain or solution.</t>
  </si>
  <si>
    <t>VCF-VC-REQD-CFG-001</t>
  </si>
  <si>
    <t>Management vCenter Server</t>
  </si>
  <si>
    <t>Deploy a dedicated vCenter Server in the Management Domain.</t>
  </si>
  <si>
    <t>Isolates control plane operations from tenant workload domain vCenters.</t>
  </si>
  <si>
    <t>DEC-ARCH-002; DEC-WLD-001</t>
  </si>
  <si>
    <t>BL-VC-001</t>
  </si>
  <si>
    <t>Required after parent decision DEC-ARCH-002, DEC-WLD-001 activates this domain or solution.</t>
  </si>
  <si>
    <t>VCF-VC-REQD-CFG-002</t>
  </si>
  <si>
    <t>Deploy a dedicated vCenter Server for each Virtual Infrastructure (VI) Workload Domain.</t>
  </si>
  <si>
    <t>Maintains isolation and limits fault domains across separate tenant environments.</t>
  </si>
  <si>
    <t>VCF-VC-REQD-CFG-003</t>
  </si>
  <si>
    <t>vCenter High Availability</t>
  </si>
  <si>
    <t>Protect the Management vCenter using vSphere HA rather than vCenter Server High Availability (VCHA).</t>
  </si>
  <si>
    <t>Reduces complexity and overhead; vSphere HA provides sufficient automated recovery for the management plane.</t>
  </si>
  <si>
    <t>DEC-ARCH-002; DEC-WLD-001; DEC-AVAIL-002</t>
  </si>
  <si>
    <t>Required after parent decision DEC-ARCH-002, DEC-WLD-001, DEC-AVAIL-002 activates this domain or solution.</t>
  </si>
  <si>
    <t>VCF-VC-REQD-CFG-004</t>
  </si>
  <si>
    <t>vCenter File-Based Backup</t>
  </si>
  <si>
    <t>Configure file-based backup for all vCenter Server instances via SFTP/FTPS/SMB.</t>
  </si>
  <si>
    <t>Enables seamless bare-metal restoration of vCenter without relying on external snapshot dependencies.</t>
  </si>
  <si>
    <t>DEC-ARCH-002; DEC-WLD-001; DEC-PROT-001; DEC-PROT-002</t>
  </si>
  <si>
    <t>Inherited BL-VC-001 control; retained without presenting it as a questionnaire branch.</t>
  </si>
  <si>
    <t>VCF-VC-REQD-CFG-005</t>
  </si>
  <si>
    <t>vCenter Appliance Sizing</t>
  </si>
  <si>
    <t>Size the vCenter Server appliance based on the anticipated host and VM count.</t>
  </si>
  <si>
    <t>Ensures adequate inventory tracking and API responsiveness for large-scale environments.</t>
  </si>
  <si>
    <t>VCF-CLS-REQD-CFG-001</t>
  </si>
  <si>
    <t>Cluster Services Minimums</t>
  </si>
  <si>
    <t>Deploy minimum 4 hosts for management cluster, 3 for VI workload domains.</t>
  </si>
  <si>
    <t>Ensures N-1 availability and meets vSAN fault tolerance minimums.</t>
  </si>
  <si>
    <t>DEC-AVAIL-002</t>
  </si>
  <si>
    <t>BL-COMP-001</t>
  </si>
  <si>
    <t>Required after parent decision DEC-AVAIL-002 activates this domain or solution.</t>
  </si>
  <si>
    <t>VCF-CLS-REQD-CFG-002</t>
  </si>
  <si>
    <t>Cluster High Availability</t>
  </si>
  <si>
    <t>Enable vSphere HA and DRS in fully automated mode on all clusters.</t>
  </si>
  <si>
    <t>Provides dynamic load balancing and automated recovery without manual intervention.</t>
  </si>
  <si>
    <t>VCF-CLS-RCMD-CFG-001</t>
  </si>
  <si>
    <t>Enhanced vMotion Compatibility</t>
  </si>
  <si>
    <t>Recommended</t>
  </si>
  <si>
    <t>Enable EVC at the cluster level.</t>
  </si>
  <si>
    <t>Allows for seamless vMotion as physical host hardware is upgraded over time.</t>
  </si>
  <si>
    <t>Inherited BL-COMP-001 control; retained without presenting it as a questionnaire branch.</t>
  </si>
  <si>
    <t>VCF-CLS-REQD-CFG-003</t>
  </si>
  <si>
    <t>Lifecycle Management</t>
  </si>
  <si>
    <t>Use vSphere Lifecycle Manager (vLCM) with a single image per cluster.</t>
  </si>
  <si>
    <t>Ensures strict host configuration consistency across the cluster.</t>
  </si>
  <si>
    <t>DEC-LCM-001</t>
  </si>
  <si>
    <t>Required after parent decision DEC-LCM-001 activates this domain or solution.</t>
  </si>
  <si>
    <t>VCF-NET-REQD-CFG-001</t>
  </si>
  <si>
    <t>Uplink Configuration</t>
  </si>
  <si>
    <t>Do not use EtherChannel (LAG LACP or vPC) configuration for ESXi host uplinks.</t>
  </si>
  <si>
    <t>Simplifies top-of-rack switch configuration. Teaming options in vDS provide sufficient load balancing.</t>
  </si>
  <si>
    <t>DEC-NET-006</t>
  </si>
  <si>
    <t>BL-NET-001</t>
  </si>
  <si>
    <t>Required after parent decision DEC-NET-006 activates this domain or solution.</t>
  </si>
  <si>
    <t>VCF-NET-REQD-CFG-002</t>
  </si>
  <si>
    <t>Jumbo Frames</t>
  </si>
  <si>
    <t>Configure jumbo frames (MTU 9000) on all ESXi host physical network adapters.</t>
  </si>
  <si>
    <t>Optimizes performance for vSAN storage replication and NSX GENEVE overlay traffic.</t>
  </si>
  <si>
    <t>DEC-NET-003; DEC-NET-006</t>
  </si>
  <si>
    <t>Required after parent decision DEC-NET-003, DEC-NET-006 activates this domain or solution.</t>
  </si>
  <si>
    <t>VCF-NET-REQD-CFG-003</t>
  </si>
  <si>
    <t>Management VLAN</t>
  </si>
  <si>
    <t>Allocate a dedicated untagged or tagged VLAN for ESXi management traffic.</t>
  </si>
  <si>
    <t>Ensures unhindered access to host management interfaces regardless of NSX state.</t>
  </si>
  <si>
    <t>Inherited BL-NET-001 control; retained without presenting it as a questionnaire branch.</t>
  </si>
  <si>
    <t>VCF-NET-REQD-CFG-004</t>
  </si>
  <si>
    <t>Place vMotion traffic on a dedicated non-routable VLAN.</t>
  </si>
  <si>
    <t>Isolates unencrypted memory transfers and prevents security vulnerabilities across host boundaries.</t>
  </si>
  <si>
    <t>VCF-NET-REQD-CFG-005</t>
  </si>
  <si>
    <t>vSAN Network Isolation</t>
  </si>
  <si>
    <t>Configure vSAN traffic on a dedicated isolated VLAN with no default gateway.</t>
  </si>
  <si>
    <t>Maximizes storage replication performance and prevents storage traffic from leaking into the corporate WAN.</t>
  </si>
  <si>
    <t>VCF-HCX-REQD-CFG-001</t>
  </si>
  <si>
    <t>HCX Manager Placement</t>
  </si>
  <si>
    <t>derivedHcx=true</t>
  </si>
  <si>
    <t>Deploy the HCX Manager appliance in the management domain of both the source and destination sites.</t>
  </si>
  <si>
    <t>Provides the control plane for hybrid cloud workload mobility and network extension.</t>
  </si>
  <si>
    <t>DEC-MOB-001</t>
  </si>
  <si>
    <t>Activated by derivedHcx=true; governed by DEC-MOB-001.</t>
  </si>
  <si>
    <t>VCF-HCX-REQD-CFG-002</t>
  </si>
  <si>
    <t>Configure an HCX Compute Profile that includes all ESXi hosts intended for workload migration.</t>
  </si>
  <si>
    <t>Authorizes specific clusters to participate in HCX Service Mesh deployments.</t>
  </si>
  <si>
    <t>VCF-HCX-REQD-CFG-003</t>
  </si>
  <si>
    <t>HCX Network Extension (L2 Stretch)</t>
  </si>
  <si>
    <t>Use HCX Network Extension appliances to stretch Layer 2 networks between sites during migration.</t>
  </si>
  <si>
    <t>Allows VMs to retain their IP addresses and MAC addresses when migrating across locations.</t>
  </si>
  <si>
    <t>VCF-HCX-REQD-CFG-004</t>
  </si>
  <si>
    <t>Deploy an HCX Service Mesh consisting of Interconnect, WAN Optimization, and Network Extension appliances.</t>
  </si>
  <si>
    <t>Establishes the data plane required for optimized, secure, and high-throughput workload mobility.</t>
  </si>
  <si>
    <t>VCF-CERT-REQD-CFG-001</t>
  </si>
  <si>
    <t>Enterprise CA Integration</t>
  </si>
  <si>
    <t>Configure SDDC Manager to integrate directly with an Enterprise Certificate Authority (Microsoft CA or custom).</t>
  </si>
  <si>
    <t>Automates the generation, signing, and rotation of certificates across all VCF components.</t>
  </si>
  <si>
    <t>DEC-ID-002</t>
  </si>
  <si>
    <t>BL-SEC-001</t>
  </si>
  <si>
    <t>Required after parent decision DEC-ID-002 activates this domain or solution.</t>
  </si>
  <si>
    <t>VCF-CERT-REQD-CFG-002</t>
  </si>
  <si>
    <t>VMCA Subordinate Configuration</t>
  </si>
  <si>
    <t>Configure the vCenter Server VMCA as a subordinate CA to the Enterprise Root CA.</t>
  </si>
  <si>
    <t>Allows vCenter to automatically issue trusted certificates to ESXi hosts without manual intervention.</t>
  </si>
  <si>
    <t>VCF-BKP-REQD-CFG-001</t>
  </si>
  <si>
    <t>Centralized SFTP Server Placement</t>
  </si>
  <si>
    <t>Deploy a highly available, centralized SFTP server outside of the VCF management domain.</t>
  </si>
  <si>
    <t>Provides a resilient, external repository for native file-based backups of SDDC Manager, vCenter, and NSX Manager.</t>
  </si>
  <si>
    <t>BL-PROT-001</t>
  </si>
  <si>
    <t>VCF-BKP-REQD-CFG-002</t>
  </si>
  <si>
    <t>Management Component Retention Policy</t>
  </si>
  <si>
    <t>Configure a backup retention policy of at least 7 days for all VCF management components.</t>
  </si>
  <si>
    <t>Ensures multiple recovery points exist to roll back from failed upgrades or logical corruption.</t>
  </si>
  <si>
    <t>DEC-PROT-001; DEC-PROT-002</t>
  </si>
  <si>
    <t>Required after parent decision DEC-PROT-001, DEC-PROT-002 activates this domain or solution.</t>
  </si>
  <si>
    <t>VCF-VLR-REQD-CFG-001</t>
  </si>
  <si>
    <t>DR</t>
  </si>
  <si>
    <t>Live Recovery Placement</t>
  </si>
  <si>
    <t>Deploy VMware Live Recovery (VLR) management appliances in the management domain.</t>
  </si>
  <si>
    <t>Isolates DR orchestration components from the protected workload infrastructure.</t>
  </si>
  <si>
    <t>DEC-PROT-001; DEC-AVAIL-001</t>
  </si>
  <si>
    <t>Required after parent decision DEC-PROT-001, DEC-AVAIL-001 activates this domain or solution.</t>
  </si>
  <si>
    <t>VCF-VLR-REQD-CFG-002</t>
  </si>
  <si>
    <t>Cross-Site Pairing</t>
  </si>
  <si>
    <t>Establish bidirectional pairing between the protected and recovery VCF instances.</t>
  </si>
  <si>
    <t>Required to sync inventory mappings and execute automated recovery plans.</t>
  </si>
  <si>
    <t>VCF-VLR-REQD-CFG-003</t>
  </si>
  <si>
    <t>Deploy vSphere Replication appliances mapped to the specific VI workload domain clusters.</t>
  </si>
  <si>
    <t>Handles the data-plane block replication for VMs not protected by array-based replication.</t>
  </si>
  <si>
    <t>VCF-EDGE-REQD-PAT-001</t>
  </si>
  <si>
    <t>EDGE</t>
  </si>
  <si>
    <t>Centrally Managed Edge (Pattern 1)</t>
  </si>
  <si>
    <t>activeEdgePattern=1</t>
  </si>
  <si>
    <t>Deploy centrally managed edge compute clusters within a central workload domain.</t>
  </si>
  <si>
    <t>Provides consistent lifecycle and governance operations for standard branch deployments.</t>
  </si>
  <si>
    <t>DEC-EDGE-001</t>
  </si>
  <si>
    <t>BL-EDGE-001</t>
  </si>
  <si>
    <t>Activated by activeEdgePattern=1; governed by DEC-EDGE-001.</t>
  </si>
  <si>
    <t>VCF-EDGE-REQD-PAT-002</t>
  </si>
  <si>
    <t>Segregated Edge WLD (Pattern 2)</t>
  </si>
  <si>
    <t>activeEdgePattern=2</t>
  </si>
  <si>
    <t>Segregate edge environments across regional workload domains.</t>
  </si>
  <si>
    <t>Improves isolation resiliency and regional autonomy for large-scale distributed sites.</t>
  </si>
  <si>
    <t>Activated by activeEdgePattern=2; governed by DEC-EDGE-001.</t>
  </si>
  <si>
    <t>VCF-EDGE-REQD-PAT-003</t>
  </si>
  <si>
    <t>Locally Managed Edge (Pattern 3)</t>
  </si>
  <si>
    <t>activeEdgePattern=3</t>
  </si>
  <si>
    <t>Deploy localized management components (vCenter) directly at the edge location.</t>
  </si>
  <si>
    <t>Reduces dependency on centralized infrastructure and improves site autonomy during WAN outages.</t>
  </si>
  <si>
    <t>Activated by activeEdgePattern=3; governed by DEC-EDGE-001.</t>
  </si>
  <si>
    <t>VCF-EDGE-REQD-PAT-004</t>
  </si>
  <si>
    <t>Distributed VCF Fleet (Pattern 4)</t>
  </si>
  <si>
    <t>activeEdgePattern=4</t>
  </si>
  <si>
    <t>Implement a shared VCF Fleet model with centralized governance and regional isolation.</t>
  </si>
  <si>
    <t>Supports multiple distributed edge regions scaling beyond the capacity of a single SDDC Manager.</t>
  </si>
  <si>
    <t>Activated by activeEdgePattern=4; governed by DEC-EDGE-001.</t>
  </si>
  <si>
    <t>VCF-EDGE-REQD-PAT-005</t>
  </si>
  <si>
    <t>Dark Site Edge (Pattern 5)</t>
  </si>
  <si>
    <t>activeEdgePattern=5</t>
  </si>
  <si>
    <t>Design edge deployments as Dark Sites for disconnected or air-gapped environments.</t>
  </si>
  <si>
    <t>Requires local implementation of DNS NTP Identity and Licensing with minimal external dependencies.</t>
  </si>
  <si>
    <t>Activated by activeEdgePattern=5; governed by DEC-EDGE-001.</t>
  </si>
  <si>
    <t>VCF-EDGE-REQD-PAT-006</t>
  </si>
  <si>
    <t>Supervisor at the Edge (Pattern 6)</t>
  </si>
  <si>
    <t>activeEdgePattern=6</t>
  </si>
  <si>
    <t>Extend vSphere Supervisor (VKS) control plane to edge compute clusters.</t>
  </si>
  <si>
    <t>Enables native Kubernetes management for edge workloads like OpenShift Rancher or Tanzu.</t>
  </si>
  <si>
    <t>Activated by activeEdgePattern=6; governed by DEC-EDGE-001.</t>
  </si>
  <si>
    <t>VCF-EDGE-REQD-PAT-007</t>
  </si>
  <si>
    <t>Zonal Edge Separation (Pattern 7)</t>
  </si>
  <si>
    <t>activeEdgePattern=7</t>
  </si>
  <si>
    <t>Use zonal separation for Supervisor workloads across multiple edge environments.</t>
  </si>
  <si>
    <t>Improves resiliency and fault isolation for Kubernetes clusters spanning physical store locations.</t>
  </si>
  <si>
    <t>DEC-EDGE-001; DEC-VKS-002</t>
  </si>
  <si>
    <t>Activated by activeEdgePattern=7; governed by DEC-EDGE-001, DEC-VKS-002.</t>
  </si>
  <si>
    <t>VCF-EDGE-REQD-PAT-008</t>
  </si>
  <si>
    <t>Single-Host Supervisor (Pattern 8)</t>
  </si>
  <si>
    <t>activeEdgePattern=8</t>
  </si>
  <si>
    <t>Deploy a single-host vSphere Supervisor (VKS) architecture at the edge.</t>
  </si>
  <si>
    <t>Minimizes the hardware footprint for lightweight or non-critical edge container deployments.</t>
  </si>
  <si>
    <t>Activated by activeEdgePattern=8; governed by DEC-EDGE-001.</t>
  </si>
  <si>
    <t>VCF-EDGE-REQD-PAT-009</t>
  </si>
  <si>
    <t>Cloud Proxy for Remote Edge (Pattern 9)</t>
  </si>
  <si>
    <t>activeEdgePattern=9</t>
  </si>
  <si>
    <t>Deploy VCF Ops Cloud Proxies at remote edge sites with WAN latency &gt; 100ms.</t>
  </si>
  <si>
    <t>Buffers telemetry locally during WAN link drops to prevent central engine overload and data loss.</t>
  </si>
  <si>
    <t>DEC-EDGE-001; DEC-OPS-002</t>
  </si>
  <si>
    <t>Activated by activeEdgePattern=9; governed by DEC-EDGE-001, DEC-OPS-002.</t>
  </si>
  <si>
    <t>VCF-EDGE-REQD-PAT-010</t>
  </si>
  <si>
    <t>Colocated vCenter/ESXi (Pattern 10)</t>
  </si>
  <si>
    <t>activeEdgePattern=10</t>
  </si>
  <si>
    <t>Deploy vCenter alongside ESXi hosts at the edge site.</t>
  </si>
  <si>
    <t>Provides localized infrastructure management and operational independence without requiring a full management cluster.</t>
  </si>
  <si>
    <t>Activated by activeEdgePattern=10; governed by DEC-EDGE-001.</t>
  </si>
  <si>
    <t>VCF-VDS-COM-REQD-CFG-001</t>
  </si>
  <si>
    <t>NET</t>
  </si>
  <si>
    <t>Distributed Switch Model</t>
  </si>
  <si>
    <t>Deploy a single vSphere Distributed Switch (vDS) per cluster.</t>
  </si>
  <si>
    <t>Simplifies management and standardizes uplink configuration using NIOC.</t>
  </si>
  <si>
    <t>DEC-NET-001</t>
  </si>
  <si>
    <t>Required after parent decision DEC-NET-001 activates this domain or solution.</t>
  </si>
  <si>
    <t>VCF-VPC-REQD-CFG-001</t>
  </si>
  <si>
    <t>Advanced VPC Networking</t>
  </si>
  <si>
    <t>networkingModel=VPC</t>
  </si>
  <si>
    <t>Utilize Advanced VPC logical constructs for multi-tenant network isolation.</t>
  </si>
  <si>
    <t>Delegates IP address and subnet management securely to tenant operators.</t>
  </si>
  <si>
    <t>DEC-NET-001; DEC-NET-007; DEC-NET-008</t>
  </si>
  <si>
    <t>Activated by networkingModel=VPC; governed by DEC-NET-001, DEC-NET-007, DEC-NET-008.</t>
  </si>
  <si>
    <t>VCF-NET-REQD-CFG-006</t>
  </si>
  <si>
    <t>VLAN Separation</t>
  </si>
  <si>
    <t>hldNicProfile=4</t>
  </si>
  <si>
    <t>Use VLANs to separate physical network functions.</t>
  </si>
  <si>
    <t>Supports physical network connectivity without requiring many NICs and isolates different network functions.</t>
  </si>
  <si>
    <t>DEC-NET-001; DEC-NET-003; DEC-NET-006</t>
  </si>
  <si>
    <t>Activated by hldNicProfile=4; governed by DEC-NET-001, DEC-NET-003, DEC-NET-006.</t>
  </si>
  <si>
    <t>VCF-NET-REQD-CFG-007</t>
  </si>
  <si>
    <t>802.1Q Trunking</t>
  </si>
  <si>
    <t>Configure the VLANs as members of an 802.1Q trunk.</t>
  </si>
  <si>
    <t>Allows all VLANs to be available on the same physical network adapters on the ESXi hosts.</t>
  </si>
  <si>
    <t>VCF-NET-REQD-CFG-008</t>
  </si>
  <si>
    <t>Inter-Instance MTU</t>
  </si>
  <si>
    <t>hldSiteTopology=MULTI</t>
  </si>
  <si>
    <t>Set the MTU size to at least 1,500 bytes on the components of the physical network between the VCF instances.</t>
  </si>
  <si>
    <t>Prevents packet fragmentation for cross-instance management traffic.</t>
  </si>
  <si>
    <t>Activated by hldSiteTopology=MULTI; governed by DEC-NET-001, DEC-NET-003, DEC-NET-006.</t>
  </si>
  <si>
    <t>VCF-NET-L3MR-REQD-CFG-001</t>
  </si>
  <si>
    <t>Multi-Rack VLANs</t>
  </si>
  <si>
    <t>networkPhysicalTopology=L3_ROUTED</t>
  </si>
  <si>
    <t>For a multi-rack compute VI workload domain cluster, provide separate VLANs per rack for each network function.</t>
  </si>
  <si>
    <t>Limits Layer 2 broadcast domains and scales network topology efficiently.</t>
  </si>
  <si>
    <t>Activated by networkPhysicalTopology=L3_ROUTED; governed by DEC-NET-001, DEC-NET-003, DEC-NET-006.</t>
  </si>
  <si>
    <t>VCF-NET-L3MR-REQD-CFG-002</t>
  </si>
  <si>
    <t>Multi-Rack Routing</t>
  </si>
  <si>
    <t>For a multi-rack compute VI workload domain cluster, the subnets for each network per rack must be routable and reachable to the leaf switches in the other racks.</t>
  </si>
  <si>
    <t>Enables L3 communication between racks for stretched vSAN and vMotion traffic.</t>
  </si>
  <si>
    <t>Activated by networkPhysicalTopology=L3_ROUTED; governed by DEC-NET-001.</t>
  </si>
  <si>
    <t>VCF-AVI-REQD-CFG-001</t>
  </si>
  <si>
    <t>Advanced Load Balancing</t>
  </si>
  <si>
    <t>Deploy VMware Avi Load Balancer controllers in the Management Domain.</t>
  </si>
  <si>
    <t>Replaces legacy NSX load balancing providing robust L4/L7 ingress and WAF.</t>
  </si>
  <si>
    <t>DEC-NET-001; DEC-NET-004</t>
  </si>
  <si>
    <t>BL-NSX-001</t>
  </si>
  <si>
    <t>Required after parent decision DEC-NET-001, DEC-NET-004 activates this domain or solution.</t>
  </si>
  <si>
    <t>VCF-NSX-LM-REQD-CFG-001</t>
  </si>
  <si>
    <t>NSX Manager Network</t>
  </si>
  <si>
    <t>Place the appliances of the NSX Manager cluster on the VM management network in the management domain.</t>
  </si>
  <si>
    <t>Provides direct secure connection to the ESXi hosts and vCenter Server for distributed network services.</t>
  </si>
  <si>
    <t>VCF-NSX-LM-REQD-CFG-002</t>
  </si>
  <si>
    <t>Mgmt Domain NSX Cluster</t>
  </si>
  <si>
    <t>Deploy a cluster of three NSX Manager nodes for the management domain.</t>
  </si>
  <si>
    <t>Ensures continuous control-plane availability for network virtualisation and routing.</t>
  </si>
  <si>
    <t>VCF-NSX-LM-REQD-CFG-003</t>
  </si>
  <si>
    <t>VI Domain NSX Cluster</t>
  </si>
  <si>
    <t>Deploy a separate cluster of three NSX Manager nodes for each VI workload domain.</t>
  </si>
  <si>
    <t>Isolates the network control plane of tenant workloads from the management domain infrastructure.</t>
  </si>
  <si>
    <t>VCF-NSX-LM-REQD-CFG-004</t>
  </si>
  <si>
    <t>NSX Manager Anti-Affinity</t>
  </si>
  <si>
    <t>Apply a DRS anti-affinity rule to separate the NSX Manager nodes across different ESXi hosts.</t>
  </si>
  <si>
    <t>Prevents a single physical host failure from disabling the entire NSX control plane.</t>
  </si>
  <si>
    <t>DEC-NET-001; DEC-AVAIL-002</t>
  </si>
  <si>
    <t>Required after parent decision DEC-NET-001, DEC-AVAIL-002 activates this domain or solution.</t>
  </si>
  <si>
    <t>VCF-NSX-LM-REQD-CFG-005</t>
  </si>
  <si>
    <t>NSX Manager Sizing</t>
  </si>
  <si>
    <t>Deploy NSX Manager appliances in the Medium or Large form factor.</t>
  </si>
  <si>
    <t>Ensures adequate API and control plane performance for enterprise-scale software-defined networking.</t>
  </si>
  <si>
    <t>VCF-NSX-EDGE-REQD-CFG-001</t>
  </si>
  <si>
    <t>NSX Edge Cluster Size</t>
  </si>
  <si>
    <t>Deploy an NSX Edge cluster with a minimum of two Edge nodes.</t>
  </si>
  <si>
    <t>Provides Active/Standby or Active/Active high availability for North-South routing egress.</t>
  </si>
  <si>
    <t>DEC-NET-001; DEC-NET-002; DEC-NET-004; DEC-NET-005</t>
  </si>
  <si>
    <t>Required after parent decision DEC-NET-001, DEC-NET-002, DEC-NET-004, DEC-NET-005 activates this domain or solution.</t>
  </si>
  <si>
    <t>VCF-NSX-EDGE-REQD-CFG-002</t>
  </si>
  <si>
    <t>NSX Edge Node Sizing</t>
  </si>
  <si>
    <t>Size the NSX Edge appliances as Large or Extra Large for production workloads.</t>
  </si>
  <si>
    <t>Guarantees sufficient vCPU and RAM to process high-throughput BGP routing and stateful firewall services.</t>
  </si>
  <si>
    <t>DEC-NET-001; DEC-AVAIL-002; DEC-NET-002; DEC-NET-004; DEC-NET-005</t>
  </si>
  <si>
    <t>Required after parent decision DEC-NET-001, DEC-AVAIL-002, DEC-NET-002, DEC-NET-004, DEC-NET-005 activates this domain or solution.</t>
  </si>
  <si>
    <t>VCF-NSX-EDGE-REQD-CFG-003</t>
  </si>
  <si>
    <t>Tier-0 Gateway</t>
  </si>
  <si>
    <t>Create a dedicated Tier-0 gateway for North-South routing.</t>
  </si>
  <si>
    <t>Acts as the primary egress boundary between the NSX overlay networks and the physical data center fabric.</t>
  </si>
  <si>
    <t>VCF-NSX-EDGE-REQD-CFG-004</t>
  </si>
  <si>
    <t>BGP Route Learning</t>
  </si>
  <si>
    <t>networkTransitType=CTGW</t>
  </si>
  <si>
    <t>Configure BGP on the Tier-0 gateway for dynamic route learning with physical top-of-rack switches.</t>
  </si>
  <si>
    <t>Automates route propagation without the operational overhead of managing static routes.</t>
  </si>
  <si>
    <t>Activated by networkTransitType=CTGW; governed by DEC-NET-001, DEC-NET-002, DEC-NET-004, DEC-NET-005.</t>
  </si>
  <si>
    <t>VCF-NSX-EDGE-REQD-CFG-005</t>
  </si>
  <si>
    <t>Edge Anti-Affinity</t>
  </si>
  <si>
    <t>Create a DRS anti-affinity rule for the NSX Edge VMs in the cluster.</t>
  </si>
  <si>
    <t>Ensures primary and standby edge routers are not impacted simultaneously by a single host failure.</t>
  </si>
  <si>
    <t>VCF-NSX-EDGE-REQD-CFG-006</t>
  </si>
  <si>
    <t>Edge TEP Network</t>
  </si>
  <si>
    <t>Allocate a dedicated VLAN for NSX Edge TEP traffic.</t>
  </si>
  <si>
    <t>Isolates Edge overlay traffic from ESXi host overlay traffic simplifying QoS and troubleshooting.</t>
  </si>
  <si>
    <t>VCF-NSX-FED-REQD-CFG-001</t>
  </si>
  <si>
    <t>NSX Federation</t>
  </si>
  <si>
    <t>hldMultiSiteType=FEDERATED</t>
  </si>
  <si>
    <t>Deploy an NSX Global Manager cluster for multi-site federation.</t>
  </si>
  <si>
    <t>Enables consistent security policies and stretched Layer 2 networks across multiple VCF instances.</t>
  </si>
  <si>
    <t>DEC-NET-001; DEC-AVAIL-001; DEC-FLEET-002</t>
  </si>
  <si>
    <t>Activated by hldMultiSiteType=FEDERATED; governed by DEC-NET-001, DEC-AVAIL-001, DEC-FLEET-002.</t>
  </si>
  <si>
    <t>VCF-NSX-FED-REQD-CFG-002</t>
  </si>
  <si>
    <t>Global Manager Cluster</t>
  </si>
  <si>
    <t>Deploy a cluster of 3 Global Manager nodes in the primary site and 3 in the secondary site.</t>
  </si>
  <si>
    <t>Ensures resilient multi-region control plane availability for stretched topologies.</t>
  </si>
  <si>
    <t>VCF-NSX-FED-REQD-CFG-003</t>
  </si>
  <si>
    <t>RTEP MTU Sizing</t>
  </si>
  <si>
    <t>Configure an MTU of 9000 for Remote TEP (RTEP) interfaces between federated sites.</t>
  </si>
  <si>
    <t>Minimizes fragmentation across the inter-site WAN for stretched GENEVE overlay networks.</t>
  </si>
  <si>
    <t>DEC-NET-001; DEC-AVAIL-002; DEC-NET-003; DEC-NET-006; DEC-AVAIL-001; DEC-FLEET-002</t>
  </si>
  <si>
    <t>Activated by hldMultiSiteType=FEDERATED; governed by DEC-NET-001, DEC-AVAIL-002, DEC-NET-003, DEC-NET-006, DEC-AVAIL-001, DEC-FLEET-002.</t>
  </si>
  <si>
    <t>VCF-OPS-REQD-CFG-001</t>
  </si>
  <si>
    <t>OPS</t>
  </si>
  <si>
    <t>VCF Operations Placement</t>
  </si>
  <si>
    <t>Deploy VCF Operations in the central management domain.</t>
  </si>
  <si>
    <t>Provides unified capacity planning performance monitoring and memory tiering analytics for the entire VCF stack.</t>
  </si>
  <si>
    <t>DEC-OPS-001</t>
  </si>
  <si>
    <t>BL-OPS-001</t>
  </si>
  <si>
    <t>Required after parent decision DEC-OPS-001 activates this domain or solution.</t>
  </si>
  <si>
    <t>VCF-OPS-REQD-CFG-002</t>
  </si>
  <si>
    <t>VCF Ops HA Cluster</t>
  </si>
  <si>
    <t>Deploy the VCF Operations analytics cluster with a primary node and at least one replica node.</t>
  </si>
  <si>
    <t>Ensures continuous availability of telemetry data and analytics processing during node failures.</t>
  </si>
  <si>
    <t>VCF-OPS-REQD-CFG-003</t>
  </si>
  <si>
    <t>VCF Operations for Logs</t>
  </si>
  <si>
    <t>derivedLogs=true</t>
  </si>
  <si>
    <t>Deploy VCF Operations for Logs in the management domain.</t>
  </si>
  <si>
    <t>Centralizes syslog ingestion for rapid troubleshooting and security auditing across all ESXi hosts.</t>
  </si>
  <si>
    <t>DEC-OPS-001; DEC-OPS-002</t>
  </si>
  <si>
    <t>Activated by derivedLogs=true; governed by DEC-OPS-001, DEC-OPS-002.</t>
  </si>
  <si>
    <t>VCF-OPS-REQD-CFG-004</t>
  </si>
  <si>
    <t>Logs Load Balancer</t>
  </si>
  <si>
    <t>Configure a load balancer (ILB) for the VCF Operations for Logs cluster.</t>
  </si>
  <si>
    <t>Distributes incoming syslog traffic evenly across log nodes to prevent ingestion bottlenecks.</t>
  </si>
  <si>
    <t>DEC-OPS-001; DEC-NET-004; DEC-OPS-002</t>
  </si>
  <si>
    <t>Activated by derivedLogs=true; governed by DEC-OPS-001, DEC-NET-004, DEC-OPS-002.</t>
  </si>
  <si>
    <t>VCF-OPS-REQD-CFG-005</t>
  </si>
  <si>
    <t>Operations Network</t>
  </si>
  <si>
    <t>Place all Operations appliances on the VM management network.</t>
  </si>
  <si>
    <t>Simplifies communication with vCenter SDDC Manager and ESXi management interfaces.</t>
  </si>
  <si>
    <t>VCF-OPS-REQD-CFG-006</t>
  </si>
  <si>
    <t>Network Insight</t>
  </si>
  <si>
    <t>derivedOpsNet=true</t>
  </si>
  <si>
    <t>Deploy VCF Operations for Networks for traffic visibility and application discovery.</t>
  </si>
  <si>
    <t>Provides deep packet inspection and micro-segmentation planning capabilities.</t>
  </si>
  <si>
    <t>Activated by derivedOpsNet=true; governed by DEC-OPS-001, DEC-OPS-002.</t>
  </si>
  <si>
    <t>VCF-OPS-REQD-CFG-007</t>
  </si>
  <si>
    <t>Log Forwarding</t>
  </si>
  <si>
    <t>Configure VCF Operations for Logs to ingest syslogs from all ESXi hosts vCenter instances and NSX Managers.</t>
  </si>
  <si>
    <t>Guarantees full visibility into platform-level events across all workload domains.</t>
  </si>
  <si>
    <t>VCF-OPS-REQD-CFG-008</t>
  </si>
  <si>
    <t>VCF Ops Sizing</t>
  </si>
  <si>
    <t>Size the VCF Operations nodes to support the expected endpoint count (Large/Extra Large).</t>
  </si>
  <si>
    <t>Prevents memory exhaustion and interface latency during complex data querying.</t>
  </si>
  <si>
    <t>DEC-OPS-001; DEC-AVAIL-002</t>
  </si>
  <si>
    <t>Required after parent decision DEC-OPS-001, DEC-AVAIL-002 activates this domain or solution.</t>
  </si>
  <si>
    <t>VCF-OPS-REQD-CFG-009</t>
  </si>
  <si>
    <t>Cloud Proxy Deployment</t>
  </si>
  <si>
    <t>Deploy VCF Operations Cloud Proxies in isolated or remote workload domains.</t>
  </si>
  <si>
    <t>Optimizes WAN bandwidth and prevents telemetry loss during intermittent network disconnects.</t>
  </si>
  <si>
    <t>Required after parent decision DEC-OPS-001, DEC-OPS-002 activates this domain or solution.</t>
  </si>
  <si>
    <t>VCF-OPS-REQD-CFG-010</t>
  </si>
  <si>
    <t>Continuous Availability</t>
  </si>
  <si>
    <t>hldAvailabilityObjective=CONTINUOUS</t>
  </si>
  <si>
    <t>Enable Continuous Availability (CA) spanning fault domains for VCF Operations if cross-site resilience is required.</t>
  </si>
  <si>
    <t>Maintains monitoring capabilities even if an entire datacenter or site goes offline.</t>
  </si>
  <si>
    <t>DEC-OPS-001; DEC-OPS-003; DEC-AVAIL-002</t>
  </si>
  <si>
    <t>Activated by hldAvailabilityObjective=CONTINUOUS; governed by DEC-OPS-001, DEC-OPS-003, DEC-AVAIL-002.</t>
  </si>
  <si>
    <t>VCF-OPS-NET-REQD-CFG-001</t>
  </si>
  <si>
    <t>VCF Ops for Networks Placement</t>
  </si>
  <si>
    <t>Deploy VCF Operations for Networks (formerly vRNI) collector nodes in the target workload domains and the platform node in the management domain.</t>
  </si>
  <si>
    <t>Distributes network telemetry collection while centralizing analytics.</t>
  </si>
  <si>
    <t>Activated by derivedOpsNet=true; governed by DEC-OPS-001.</t>
  </si>
  <si>
    <t>VCF-OPS-NET-REQD-CFG-002</t>
  </si>
  <si>
    <t>VCF Ops for Networks Sizing</t>
  </si>
  <si>
    <t>Size the VCF Operations for Networks nodes according to the projected flow count (Large or Extra Large).</t>
  </si>
  <si>
    <t>Ensures the analytics engine does not drop packets or fail to process high-volume network flows.</t>
  </si>
  <si>
    <t>Activated by derivedOpsNet=true; governed by DEC-OPS-001, DEC-AVAIL-002.</t>
  </si>
  <si>
    <t>VCF-OPS-LOGS-REQD-CFG-001</t>
  </si>
  <si>
    <t>Dedicated Log Forwarding Architecture</t>
  </si>
  <si>
    <t>Implement intermediate log forwarding proxies for environments exceeding 10,000 events per second.</t>
  </si>
  <si>
    <t>Prevents the primary Aria Logs cluster from being overwhelmed by massive telemetry spikes.</t>
  </si>
  <si>
    <t>VCF-VDEFEND-REQD-CFG-001</t>
  </si>
  <si>
    <t>SEC</t>
  </si>
  <si>
    <t>vDefend Lateral Security</t>
  </si>
  <si>
    <t>Enable vDefend Distributed Firewall for east-west traffic inspection.</t>
  </si>
  <si>
    <t>Ensures zero-trust security architecture down to the individual VM vNIC.</t>
  </si>
  <si>
    <t>DEC-SEC-001; DEC-NET-004</t>
  </si>
  <si>
    <t>Required after parent decision DEC-SEC-001, DEC-NET-004 activates this domain or solution.</t>
  </si>
  <si>
    <t>VCF-RR-REQD-CFG-001</t>
  </si>
  <si>
    <t>Isolated Recovery Environment</t>
  </si>
  <si>
    <t>hldProtectionModel=CYBER_VAULT</t>
  </si>
  <si>
    <t>Deploy a dedicated, air-gapped workload domain (IRE) for forensic analysis and ransomware recovery.</t>
  </si>
  <si>
    <t>Prevents malware from jumping back into production during the validation and cleaning phases.</t>
  </si>
  <si>
    <t>DEC-SEC-001; DEC-PROT-001; DEC-PROT-002</t>
  </si>
  <si>
    <t>Activated by hldProtectionModel=CYBER_VAULT; governed by DEC-SEC-001, DEC-PROT-001, DEC-PROT-002.</t>
  </si>
  <si>
    <t>VCF-RR-REQD-CFG-002</t>
  </si>
  <si>
    <t>Immutable Snapshots</t>
  </si>
  <si>
    <t>Configure vSAN storage policies with scheduled immutable, locked snapshots.</t>
  </si>
  <si>
    <t>Ensures a clean baseline of data that cannot be encrypted or deleted by compromised admin accounts.</t>
  </si>
  <si>
    <t>VCF-RR-REQD-CFG-003</t>
  </si>
  <si>
    <t>Recovery Overlay Isolation</t>
  </si>
  <si>
    <t>Provision isolated NSX overlay networks in the IRE that do not route to the production WAN.</t>
  </si>
  <si>
    <t>Allows VMs to be powered on for forensic inspection without IP conflicts or lateral infection.</t>
  </si>
  <si>
    <t>VCF-SEC-REQD-CFG-001</t>
  </si>
  <si>
    <t>Distributed IDS/IPS</t>
  </si>
  <si>
    <t>Enable signature-based Intrusion Detection/Prevention on the workload domain cluster.</t>
  </si>
  <si>
    <t>Inspects east-west traffic for known vulnerabilities and exploits at the vNIC level.</t>
  </si>
  <si>
    <t>VCF-SEC-REQD-CFG-002</t>
  </si>
  <si>
    <t>Micro-segmentation</t>
  </si>
  <si>
    <t>Enforce default-deny distributed firewall rules for all tenant application tiers.</t>
  </si>
  <si>
    <t>Limits the blast radius of a compromised VM by restricting lateral movement.</t>
  </si>
  <si>
    <t>VCF-SEC-REQD-CFG-003</t>
  </si>
  <si>
    <t>Malware Prevention</t>
  </si>
  <si>
    <t>Deploy NSX Distributed Malware Prevention appliances per ESXi host in the target cluster.</t>
  </si>
  <si>
    <t>Provides guest-introspection and real-time file scanning without traditional in-guest antivirus agents.</t>
  </si>
  <si>
    <t>VCF-VKS-REQD-CFG-001</t>
  </si>
  <si>
    <t>VKS</t>
  </si>
  <si>
    <t>vSphere Supervisor Enablement</t>
  </si>
  <si>
    <t>Enable Workload Management (vSphere Supervisor) on the VI workload domain cluster.</t>
  </si>
  <si>
    <t>Transforms the ESXi cluster into a native Kubernetes control plane for modern applications.</t>
  </si>
  <si>
    <t>DEC-VKS-001; DEC-VKS-002; DEC-VKS-003</t>
  </si>
  <si>
    <t>Required after parent decision DEC-VKS-001, DEC-VKS-002, DEC-VKS-003 activates this domain or solution.</t>
  </si>
  <si>
    <t>VCF-VKS-REQD-CFG-002</t>
  </si>
  <si>
    <t>Supervisor Load Balancer</t>
  </si>
  <si>
    <t>Deploy NSX Advanced Load Balancer (Avi) for Supervisor control plane HA.</t>
  </si>
  <si>
    <t>Provides enterprise-grade ingress routing and L4/L7 load balancing for Kubernetes workloads.</t>
  </si>
  <si>
    <t>DEC-VKS-001; DEC-NET-004; DEC-VKS-002; DEC-VKS-003</t>
  </si>
  <si>
    <t>Required after parent decision DEC-VKS-001, DEC-NET-004, DEC-VKS-002, DEC-VKS-003 activates this domain or solution.</t>
  </si>
  <si>
    <t>VCF-VKS-REQD-CFG-003</t>
  </si>
  <si>
    <t>Control Plane IP Pool</t>
  </si>
  <si>
    <t>Configure a dedicated IP pool for the Supervisor control plane nodes.</t>
  </si>
  <si>
    <t>Ensures IP addresses are statically reserved and highly available for the K8s API server endpoints.</t>
  </si>
  <si>
    <t>VCF-VKS-REQD-CFG-004</t>
  </si>
  <si>
    <t>Workload Ingress IP Pool</t>
  </si>
  <si>
    <t>Configure a dedicated IP pool for Kubernetes workload services and ingress.</t>
  </si>
  <si>
    <t>Allocates routable IP space for developer-deployed LoadBalancer services.</t>
  </si>
  <si>
    <t>VCF-VKS-REQD-CFG-005</t>
  </si>
  <si>
    <t>Supervisor Storage Policy</t>
  </si>
  <si>
    <t>Assign a vSAN storage policy specifically for Supervisor control plane VMs and ephemeral disks.</t>
  </si>
  <si>
    <t>Ensures Kubernetes control plane nodes receive strict RAID-1 mirroring for maximum resilience.</t>
  </si>
  <si>
    <t>DEC-VKS-001; DEC-VKS-002; DEC-VKS-003; DEC-STG-001; DEC-PROT-002</t>
  </si>
  <si>
    <t>Required after parent decision DEC-VKS-001, DEC-VKS-002, DEC-VKS-003, DEC-STG-001, DEC-PROT-002 activates this domain or solution.</t>
  </si>
  <si>
    <t>VCF-VKS-REQD-CFG-006</t>
  </si>
  <si>
    <t>Tanzu Kubernetes Grid</t>
  </si>
  <si>
    <t>Deploy Tanzu Kubernetes Grid (TKG) guest clusters via the Supervisor API.</t>
  </si>
  <si>
    <t>Enables multi-tenant conformant Kubernetes clusters isolated from the underlying vSphere control plane.</t>
  </si>
  <si>
    <t>VCF-VKS-REQD-CFG-007</t>
  </si>
  <si>
    <t>Namespace Quotas</t>
  </si>
  <si>
    <t>Apply CPU Memory and Storage quotas to vSphere Namespaces.</t>
  </si>
  <si>
    <t>Prevents individual Kubernetes tenants from exhausting the resources of the underlying vSphere cluster.</t>
  </si>
  <si>
    <t>VCF-VKS-REQD-CFG-008</t>
  </si>
  <si>
    <t>Content Library Sync</t>
  </si>
  <si>
    <t>Create a subscribed content library to host TKG node operating system images.</t>
  </si>
  <si>
    <t>Ensures the Supervisor can dynamically pull updated photon or Ubuntu images during cluster provisioning.</t>
  </si>
  <si>
    <t>VCF-VKS-REQD-CFG-009</t>
  </si>
  <si>
    <t>VKS Network Overlay</t>
  </si>
  <si>
    <t>Use NSX for the VKS networking overlay.</t>
  </si>
  <si>
    <t>Provides deep integration for distributed firewalling and automated ingress directly to K8s pods.</t>
  </si>
  <si>
    <t>VCF-VKS-REQD-CFG-010</t>
  </si>
  <si>
    <t>Supervisor Zonal Deployment</t>
  </si>
  <si>
    <t>hldVksTopology=ZONAL</t>
  </si>
  <si>
    <t>Deploy the vSphere Supervisor across three vSphere Zones for maximum HA.</t>
  </si>
  <si>
    <t>Allows the Kubernetes control plane to survive an entire rack or site failure without service disruption.</t>
  </si>
  <si>
    <t>Activated by hldVksTopology=ZONAL; governed by DEC-VKS-001, DEC-VKS-002, DEC-VKS-003.</t>
  </si>
  <si>
    <t>VCF-VSAN-REQD-CFG-001</t>
  </si>
  <si>
    <t>VSAN</t>
  </si>
  <si>
    <t>Raw Storage Capacity</t>
  </si>
  <si>
    <t>Provide sufficient raw capacity to meet the initial needs of the workload domain cluster.</t>
  </si>
  <si>
    <t>Ensures that sufficient resources are present to create the workload domain cluster and host management VMs.</t>
  </si>
  <si>
    <t>DEC-STG-001; DEC-AVAIL-002; DEC-STG-002; DEC-PROT-002</t>
  </si>
  <si>
    <t>BL-STG-001</t>
  </si>
  <si>
    <t>Required after parent decision DEC-STG-001, DEC-AVAIL-002, DEC-STG-002, DEC-PROT-002 activates this domain or solution.</t>
  </si>
  <si>
    <t>VCF-VSAN-REQD-CFG-002</t>
  </si>
  <si>
    <t>Host Node Minimums</t>
  </si>
  <si>
    <t>Provide at least the required minimum number of hosts according to the cluster type.</t>
  </si>
  <si>
    <t>Satisfies the minimum requirements for vSAN storage availability and fault tolerance.</t>
  </si>
  <si>
    <t>DEC-STG-001; DEC-STG-002</t>
  </si>
  <si>
    <t>Required after parent decision DEC-STG-001, DEC-STG-002 activates this domain or solution.</t>
  </si>
  <si>
    <t>VCF-VSAN-REQD-CFG-003</t>
  </si>
  <si>
    <t>vSAN ESA Architecture</t>
  </si>
  <si>
    <t>hldStorageProto=VSAN_ESA</t>
  </si>
  <si>
    <t>Use vSAN Express Storage Architecture (ESA) for high-performance clusters equipped with NVMe drives.</t>
  </si>
  <si>
    <t>Delivers maximum NVMe throughput required for memory tiering and high-I/O payloads.</t>
  </si>
  <si>
    <t>Activated by hldStorageProto=VSAN_ESA; governed by DEC-STG-001, DEC-STG-002.</t>
  </si>
  <si>
    <t>VCF-VSAN-REQD-CFG-004</t>
  </si>
  <si>
    <t>Default Storage Policy</t>
  </si>
  <si>
    <t>Assign the default vSAN storage policy with RAID-1 or RAID-5/6 failure tolerance.</t>
  </si>
  <si>
    <t>Ensures data resilience for management components in the event of a single disk or host failure.</t>
  </si>
  <si>
    <t>DEC-STG-001; DEC-STG-002; DEC-PROT-002</t>
  </si>
  <si>
    <t>Required after parent decision DEC-STG-001, DEC-STG-002, DEC-PROT-002 activates this domain or solution.</t>
  </si>
  <si>
    <t>VCF-VSAN-REQD-CFG-005</t>
  </si>
  <si>
    <t>Data-at-Rest Encryption</t>
  </si>
  <si>
    <t>hldEncryptionScope!=NONE</t>
  </si>
  <si>
    <t>Enable vSAN Data-at-Rest Encryption for clusters hosting sensitive or compliance-bound data.</t>
  </si>
  <si>
    <t>Provides cryptographic protection against physical drive theft or unauthorized hardware retirement.</t>
  </si>
  <si>
    <t>DEC-STG-001; DEC-STG-002; DEC-STG-005</t>
  </si>
  <si>
    <t>Activated by hldEncryptionScope!=NONE; governed by DEC-STG-001, DEC-STG-002, DEC-STG-005.</t>
  </si>
  <si>
    <t>VCF-VSAN-REQD-CFG-006</t>
  </si>
  <si>
    <t>Stretched Cluster Policy</t>
  </si>
  <si>
    <t>hldSiteTopology=STRETCHED</t>
  </si>
  <si>
    <t>Add the following setting to the default vSAN storage policy: Site disaster tolerance = Site mirroring.</t>
  </si>
  <si>
    <t>Provides the necessary protection for VMs in each availability zone with the ability to recover from a site outage.</t>
  </si>
  <si>
    <t>DEC-STG-001; DEC-STG-002; DEC-AVAIL-001; DEC-PROT-002</t>
  </si>
  <si>
    <t>Activated by hldSiteTopology=STRETCHED; governed by DEC-STG-001, DEC-STG-002, DEC-AVAIL-001, DEC-PROT-002.</t>
  </si>
  <si>
    <t>VCF-VSAN-REQD-CFG-007</t>
  </si>
  <si>
    <t>Stretched Fault Domains</t>
  </si>
  <si>
    <t>Configure two fault domains for vSAN stretched clusters (one for each availability zone).</t>
  </si>
  <si>
    <t>Instructs the vSAN object manager to mirror data components physically across the inter-site WAN link.</t>
  </si>
  <si>
    <t>VCF-VSAN-REQD-CFG-008</t>
  </si>
  <si>
    <t>vSAN Witness Appliance</t>
  </si>
  <si>
    <t>Deploy the vSAN Witness Appliance in a third separate physical site.</t>
  </si>
  <si>
    <t>Prevents split-brain scenarios during a complete failure of either primary availability zone.</t>
  </si>
  <si>
    <t>VCF-VSAN-REQD-CFG-009</t>
  </si>
  <si>
    <t>Slack Space Reservation</t>
  </si>
  <si>
    <t>Maintain at least 20% slack space across all vSAN datastores.</t>
  </si>
  <si>
    <t>Provides sufficient overhead for snapshot processing policy reconfiguration and drive evacuations.</t>
  </si>
  <si>
    <t>VCF-VSAN-REQD-CFG-010</t>
  </si>
  <si>
    <t>Network Redundancy</t>
  </si>
  <si>
    <t>Provision two distinct physical uplinks for vSAN traffic on the Distributed Switch.</t>
  </si>
  <si>
    <t>Ensures storage connectivity remains uninterrupted during top-of-rack switch maintenance.</t>
  </si>
  <si>
    <t>DEC-STG-001; DEC-STG-002; DEC-NET-006</t>
  </si>
  <si>
    <t>Required after parent decision DEC-STG-001, DEC-STG-002, DEC-NET-006 activates this domain or solution.</t>
  </si>
  <si>
    <t>VCF-VSAN-REQD-CFG-011</t>
  </si>
  <si>
    <t>Minimum vSAN Nodes</t>
  </si>
  <si>
    <t>A minimum valid vSAN HCI cluster is three nodes, all contributing to storage.</t>
  </si>
  <si>
    <t>Satisfies quorum and minimum storage availability limits.</t>
  </si>
  <si>
    <t>VCF-VSAN-REQD-CFG-012</t>
  </si>
  <si>
    <t>Raw Capacity Initial Needs</t>
  </si>
  <si>
    <t>Provide sufficient raw capacity to meet the initial needs of the workload domain vSphere cluster.</t>
  </si>
  <si>
    <t>Ensures enough space to bootstrap the workloads without immediate expansion.</t>
  </si>
  <si>
    <t>VCF-VSAN-REQD-CFG-013</t>
  </si>
  <si>
    <t>vLCM Image Management</t>
  </si>
  <si>
    <t>Use vSphere Lifecycle Management (vLCM) image-based management for vSAN clusters.</t>
  </si>
  <si>
    <t>Ensures consistent lifecycle tracking of firmware and drivers.</t>
  </si>
  <si>
    <t>DEC-STG-001; DEC-LCM-001; DEC-STG-002</t>
  </si>
  <si>
    <t>Required after parent decision DEC-STG-001, DEC-LCM-001, DEC-STG-002 activates this domain or solution.</t>
  </si>
  <si>
    <t>VCF-VSAN-REQD-CFG-014</t>
  </si>
  <si>
    <t>Hardware Compatibility List</t>
  </si>
  <si>
    <t>Validate that hardware components used for vSAN deployments are on the vSAN HCL.</t>
  </si>
  <si>
    <t>Prevents performance issues and ensures supportability by Broadcom.</t>
  </si>
  <si>
    <t>DEC-STG-001; DEC-STG-002; DEC-LCM-001</t>
  </si>
  <si>
    <t>Inherited BL-STG-001 control; retained without presenting it as a questionnaire branch.</t>
  </si>
  <si>
    <t>VCF-LIC-REQD-CFG-001</t>
  </si>
  <si>
    <t>LIC</t>
  </si>
  <si>
    <t>VCF Licensing Model</t>
  </si>
  <si>
    <t>Select and document the VCF licensing edition/subscription model (e.g., VCF Standard/Advanced/Enterprise, or per-core subscription) covering the management domain and all workload domains.</t>
  </si>
  <si>
    <t>Licensing edition determines which features are available (e.g., NSX Advanced Load Balancer, VKS, Live Recovery); design assumptions can't be finalized until this is confirmed.</t>
  </si>
  <si>
    <t>DEC-COST-001</t>
  </si>
  <si>
    <t>BL-GOV-001</t>
  </si>
  <si>
    <t>Required after parent decision DEC-COST-001 activates this domain or solution.</t>
  </si>
  <si>
    <t>VCF-LIC-RCMD-CFG-002</t>
  </si>
  <si>
    <t>License Compliance Tracking</t>
  </si>
  <si>
    <t>Establish a process or tool for tracking license consumption against entitlement across the VCF fleet.</t>
  </si>
  <si>
    <t>Prevents entitlement overage and supports renewal/true-up planning.</t>
  </si>
  <si>
    <t>Inherited BL-GOV-001 control; retained without presenting it as a questionnaire branch.</t>
  </si>
  <si>
    <t>VCF-FLEET-REQD-CFG-001</t>
  </si>
  <si>
    <t>FLEET</t>
  </si>
  <si>
    <t>VCF Fleet Boundary Definition</t>
  </si>
  <si>
    <t>Document the criteria used to determine single vs. multiple VCF Fleets: physical location/latency, environment or compliance separation, scale limits, business organization, and availability requirements.</t>
  </si>
  <si>
    <t>VCF Fleets are fully independent from a management and operational perspective with no shared components; getting the boundary wrong is costly to unwind later.</t>
  </si>
  <si>
    <t>DEC-FLEET-001; DEC-FLEET-002</t>
  </si>
  <si>
    <t>Required after parent decision DEC-FLEET-001, DEC-FLEET-002 activates this domain or solution.</t>
  </si>
  <si>
    <t>VCF-FLEET-REQD-CFG-002</t>
  </si>
  <si>
    <t>Fleet Management Placement</t>
  </si>
  <si>
    <t>Document placement of Fleet Management components, co-located with the initial management domain per current VCF architecture.</t>
  </si>
  <si>
    <t>VCF Operations, VCF Automation, and Fleet Management reside in the initial cluster and must be within suitable latency and bandwidth to all managed resources.</t>
  </si>
  <si>
    <t>VCF-FLEET-RCMD-CFG-003</t>
  </si>
  <si>
    <t>Multi-Instance Consumption Layer</t>
  </si>
  <si>
    <t>If multiple VCF Instances are deployed, document whether a single consumption layer (VCF Operations/Automation) spans all instances.</t>
  </si>
  <si>
    <t>Determines the operational model and support boundary for multi-instance environments.</t>
  </si>
  <si>
    <t>VCF-COST-RCMD-CFG-001</t>
  </si>
  <si>
    <t>COST</t>
  </si>
  <si>
    <t>Capacity Planning Cadence</t>
  </si>
  <si>
    <t>Establish a recurring capacity review cadence (e.g., quarterly) using VCF Operations capacity/cost dashboards.</t>
  </si>
  <si>
    <t>Prevents unplanned resource exhaustion and supports proactive host/cluster expansion planning.</t>
  </si>
  <si>
    <t>DEC-COST-001; DEC-AVAIL-002</t>
  </si>
  <si>
    <t>VCF-COST-RCMD-CFG-002</t>
  </si>
  <si>
    <t>Cost Visibility / Chargeback</t>
  </si>
  <si>
    <t>Determine whether cost/chargeback reporting is required per business unit or workload domain.</t>
  </si>
  <si>
    <t>Supports financial accountability and showback/chargeback models where the organization requires them.</t>
  </si>
  <si>
    <t>VCF-NET-REQD-CFG-009</t>
  </si>
  <si>
    <t>DNS Design</t>
  </si>
  <si>
    <t>Document DNS architecture (internal/external resolution, forward/reverse zones) for all VCF management and workload domain components.</t>
  </si>
  <si>
    <t>All VCF components require reliable, consistent DNS resolution; a documented design prevents ad hoc, inconsistent configuration across domains.</t>
  </si>
  <si>
    <t>DEC-NET-001; DEC-NET-003</t>
  </si>
  <si>
    <t>VCF-NET-REQD-CFG-010</t>
  </si>
  <si>
    <t>NTP / Time Source Design</t>
  </si>
  <si>
    <t>Document the authoritative time source(s) and NTP distribution used by all VCF management and workload domain components.</t>
  </si>
  <si>
    <t>Certificate validation, SSO, logging correlation, and vSAN health all depend on synchronized time; inconsistent time sources are a common source of hard-to-diagnose failures.</t>
  </si>
  <si>
    <t>Decision ID</t>
  </si>
  <si>
    <t>Requirement ID</t>
  </si>
  <si>
    <t>Requirement Bucket</t>
  </si>
  <si>
    <t>Requirement Title</t>
  </si>
  <si>
    <t>DEC-AI-001</t>
  </si>
  <si>
    <t>DEC-AI-002</t>
  </si>
  <si>
    <t>DEC-NET-004</t>
  </si>
  <si>
    <t>DEC-AUTO-001</t>
  </si>
  <si>
    <t>DEC-AUTO-002</t>
  </si>
  <si>
    <t>DEC-NET-003</t>
  </si>
  <si>
    <t>DEC-PROT-001</t>
  </si>
  <si>
    <t>DEC-PROT-002</t>
  </si>
  <si>
    <t>DEC-AVAIL-001</t>
  </si>
  <si>
    <t>DEC-VKS-002</t>
  </si>
  <si>
    <t>DEC-OPS-002</t>
  </si>
  <si>
    <t>DEC-NET-007</t>
  </si>
  <si>
    <t>DEC-NET-008</t>
  </si>
  <si>
    <t>DEC-NET-002</t>
  </si>
  <si>
    <t>DEC-NET-005</t>
  </si>
  <si>
    <t>DEC-FLEET-002</t>
  </si>
  <si>
    <t>DEC-OPS-003</t>
  </si>
  <si>
    <t>DEC-SEC-001</t>
  </si>
  <si>
    <t>DEC-VKS-001</t>
  </si>
  <si>
    <t>DEC-VKS-003</t>
  </si>
  <si>
    <t>DEC-STG-001</t>
  </si>
  <si>
    <t>DEC-STG-002</t>
  </si>
  <si>
    <t>DEC-STG-005</t>
  </si>
  <si>
    <t>DEC-FLEET-001</t>
  </si>
  <si>
    <t>Decision</t>
  </si>
  <si>
    <t>Discovery Question</t>
  </si>
  <si>
    <t>Options</t>
  </si>
  <si>
    <t>Context Key</t>
  </si>
  <si>
    <t>Priority</t>
  </si>
  <si>
    <t>Architectural Impact</t>
  </si>
  <si>
    <t>Source URL</t>
  </si>
  <si>
    <t>Mapped Requirement Count</t>
  </si>
  <si>
    <t>ARCHITECTURE</t>
  </si>
  <si>
    <t>Deployment pathway</t>
  </si>
  <si>
    <t>Is this a new deployment, an import/conversion, or an in-place upgrade?</t>
  </si>
  <si>
    <t>GREENFIELD | IMPORT | CONVERT | UPGRADE</t>
  </si>
  <si>
    <t>archMode</t>
  </si>
  <si>
    <t>BROWNFIELD</t>
  </si>
  <si>
    <t>P0</t>
  </si>
  <si>
    <t>Determines migration, management-services and readiness requirements.</t>
  </si>
  <si>
    <t>https://techdocs.broadcom.com/us/en/vmware-cis/vcf/vcf-9-0-and-later/9-1.html</t>
  </si>
  <si>
    <t>ACTIVE</t>
  </si>
  <si>
    <t>Platform architecture model</t>
  </si>
  <si>
    <t>Will management and workloads use consolidated, standard, or disaggregated infrastructure?</t>
  </si>
  <si>
    <t>CONSOLIDATED | STANDARD | DISAGGREGATED</t>
  </si>
  <si>
    <t>hldArchitectureModel</t>
  </si>
  <si>
    <t>STANDARD</t>
  </si>
  <si>
    <t>Controls management-domain isolation, workload-domain topology and storage attachment.</t>
  </si>
  <si>
    <t>Fleet boundary</t>
  </si>
  <si>
    <t>Which VCF instances share one fleet-level operations and governance boundary?</t>
  </si>
  <si>
    <t>SINGLE_FLEET | MULTIPLE_FLEETS</t>
  </si>
  <si>
    <t>hldFleetBoundary</t>
  </si>
  <si>
    <t>SINGLE_FLEET</t>
  </si>
  <si>
    <t>Defines fleet operations, identity, licensing and lifecycle ownership.</t>
  </si>
  <si>
    <t>https://blogs.vmware.com/cloud-foundation/2026/05/05/scale-simplify-and-secure-your-private-cloud-operations-with-vcf-9-1/</t>
  </si>
  <si>
    <t>VCF instance strategy</t>
  </si>
  <si>
    <t>Will the design use one VCF instance or multiple instances by region, regulation, scale or recovery role?</t>
  </si>
  <si>
    <t>SINGLE_INSTANCE | MULTI_INSTANCE</t>
  </si>
  <si>
    <t>hldInstanceStrategy</t>
  </si>
  <si>
    <t>SINGLE_INSTANCE</t>
  </si>
  <si>
    <t>Controls management planes, federation, WAN dependencies and blast radius.</t>
  </si>
  <si>
    <t>COMPUTE</t>
  </si>
  <si>
    <t>Workload-domain boundary</t>
  </si>
  <si>
    <t>How should clusters be grouped into workload domains?</t>
  </si>
  <si>
    <t>PREFIX | CLUSTER | VCENTER | POOL | MANUAL</t>
  </si>
  <si>
    <t>fleetWldMapping</t>
  </si>
  <si>
    <t>ONE_PER_CLUSTER</t>
  </si>
  <si>
    <t>Defines lifecycle, vCenter, security and operational boundaries.</t>
  </si>
  <si>
    <t>RESILIENCE</t>
  </si>
  <si>
    <t>Site topology</t>
  </si>
  <si>
    <t>What site topology is required?</t>
  </si>
  <si>
    <t>SINGLE | STRETCHED | MULTI</t>
  </si>
  <si>
    <t>hldSiteTopology</t>
  </si>
  <si>
    <t>SINGLE</t>
  </si>
  <si>
    <t>Controls witness, federation, replication and site-failure behavior.</t>
  </si>
  <si>
    <t>Availability objective</t>
  </si>
  <si>
    <t>What availability target applies to control planes and workloads?</t>
  </si>
  <si>
    <t>STANDARD | HIGH_AVAILABILITY | CONTINUOUS</t>
  </si>
  <si>
    <t>hldAvailabilityObjective</t>
  </si>
  <si>
    <t>HIGH_AVAILABILITY</t>
  </si>
  <si>
    <t>Controls HA deployment, maintenance capacity and continuous-availability designs.</t>
  </si>
  <si>
    <t>https://blogs.vmware.com/cloud-foundation/2026/06/30/security-patching-in-vcf-9/</t>
  </si>
  <si>
    <t>NETWORK</t>
  </si>
  <si>
    <t>Networking consumption model</t>
  </si>
  <si>
    <t>Will tenants consume centrally managed segments or self-service VPC networking?</t>
  </si>
  <si>
    <t>SEGMENT | VPC</t>
  </si>
  <si>
    <t>networkingModel</t>
  </si>
  <si>
    <t>Changes gateway, tenant isolation and self-service behavior.</t>
  </si>
  <si>
    <t>https://blogs.vmware.com/cloud-foundation/2026/05/15/vcf-networking-9-1-exploring-network-services-for-virtual-private-clouds/</t>
  </si>
  <si>
    <t>Transit routing model</t>
  </si>
  <si>
    <t>Should VPC connectivity be centralized or distributed?</t>
  </si>
  <si>
    <t>CTGW | DTGW | SEGMENT_T0</t>
  </si>
  <si>
    <t>networkTransitType</t>
  </si>
  <si>
    <t>CTGW</t>
  </si>
  <si>
    <t>Determines whether Edge VMs, VNAs, Tier-0 gateways and BGP are required.</t>
  </si>
  <si>
    <t>Physical underlay topology</t>
  </si>
  <si>
    <t>Is the physical fabric shared Layer 2, stretched Layer 2, or routed Layer 3?</t>
  </si>
  <si>
    <t>L2_SHARED | L2_STRETCHED | L3_ROUTED</t>
  </si>
  <si>
    <t>networkPhysicalTopology</t>
  </si>
  <si>
    <t>L2_SHARED</t>
  </si>
  <si>
    <t>Constrains distributed routing, VLAN reachability, rack design and MTU.</t>
  </si>
  <si>
    <t>Required network services</t>
  </si>
  <si>
    <t>Which stateful services are required: NAT, load balancing, VPN, firewall or threat prevention?</t>
  </si>
  <si>
    <t>ROUTING_ONLY | NAT_LB | VPN | SECURITY_SERVICES</t>
  </si>
  <si>
    <t>hldNetworkServices</t>
  </si>
  <si>
    <t>NAT_LB</t>
  </si>
  <si>
    <t>Controls gateway implementation, scale and licensing.</t>
  </si>
  <si>
    <t>Gateway appliance placement</t>
  </si>
  <si>
    <t>When appliances are required, should they use shared compute or a dedicated edge cluster?</t>
  </si>
  <si>
    <t>COLLAPSED | DEDICATED</t>
  </si>
  <si>
    <t>hldEdgeStrategy</t>
  </si>
  <si>
    <t>COLLAPSED_EDGE</t>
  </si>
  <si>
    <t>Controls cost, failure isolation and North-South capacity.</t>
  </si>
  <si>
    <t>Host uplink profile</t>
  </si>
  <si>
    <t>Will traffic share two uplinks or use four or more physically separated uplinks?</t>
  </si>
  <si>
    <t>2 | 4</t>
  </si>
  <si>
    <t>hldNicProfile</t>
  </si>
  <si>
    <t>2</t>
  </si>
  <si>
    <t>P1</t>
  </si>
  <si>
    <t>Controls redundancy, bandwidth and switch-port requirements.</t>
  </si>
  <si>
    <t>VPC connectivity policy</t>
  </si>
  <si>
    <t>Should VPCs be isolated, grouped in communities, or connected to shared services?</t>
  </si>
  <si>
    <t>ISOLATED | COMMUNITY | SHARED_SERVICES</t>
  </si>
  <si>
    <t>hldVpcConnectivityPolicy</t>
  </si>
  <si>
    <t>ISOLATED</t>
  </si>
  <si>
    <t>Defines east-west reachability and segmentation intent.</t>
  </si>
  <si>
    <t>https://blogs.vmware.com/cloud-foundation/2026/05/15/vcf-networking-9-1-simpler-vpc-connectivity-control/</t>
  </si>
  <si>
    <t>VPC network span</t>
  </si>
  <si>
    <t>Which clusters may host each VPC subnet?</t>
  </si>
  <si>
    <t>ALL_CLUSTERS | SELECTED_CLUSTERS</t>
  </si>
  <si>
    <t>hldVpcSpan</t>
  </si>
  <si>
    <t>SELECTED_CLUSTERS</t>
  </si>
  <si>
    <t>Aligns virtual network visibility with workload placement boundaries.</t>
  </si>
  <si>
    <t>https://blogs.vmware.com/cloud-foundation/2026/06/09/vcf-9-1-networking-precision-workload-placement-with-vpc-network-span/</t>
  </si>
  <si>
    <t>STORAGE</t>
  </si>
  <si>
    <t>Primary storage topology</t>
  </si>
  <si>
    <t>Will storage be hyperconverged, a disaggregated vSAN storage cluster, or external?</t>
  </si>
  <si>
    <t>HCI | DISAGGREGATED | EXTERNAL</t>
  </si>
  <si>
    <t>hldStorageTopology</t>
  </si>
  <si>
    <t>HCI</t>
  </si>
  <si>
    <t>Controls host roles, network demand, scaling and failure domains.</t>
  </si>
  <si>
    <t>https://blogs.vmware.com/cloud-foundation/2026/05/12/vsan-storage-clusters-in-vcf-9-1/</t>
  </si>
  <si>
    <t>vSAN architecture</t>
  </si>
  <si>
    <t>When vSAN is selected, is ESA or OSA required?</t>
  </si>
  <si>
    <t>VSAN_ESA | VSAN_OSA</t>
  </si>
  <si>
    <t>hldStorageProto</t>
  </si>
  <si>
    <t>VSAN_ESA</t>
  </si>
  <si>
    <t>Controls hardware eligibility, performance and policy assumptions.</t>
  </si>
  <si>
    <t>DEC-STG-003</t>
  </si>
  <si>
    <t>Remote datastore model</t>
  </si>
  <si>
    <t>Will compute mount local-only, shared or mixed OSA/ESA remote vSAN datastores?</t>
  </si>
  <si>
    <t>LOCAL_ONLY | SHARED | MIXED_OSA_ESA</t>
  </si>
  <si>
    <t>hldRemoteDatastoreModel</t>
  </si>
  <si>
    <t>LOCAL_ONLY</t>
  </si>
  <si>
    <t>Controls client/server clusters, migration and storage-network encryption.</t>
  </si>
  <si>
    <t>DEC-STG-004</t>
  </si>
  <si>
    <t>Storage efficiency services</t>
  </si>
  <si>
    <t>Should compression and global deduplication be included in capacity assumptions?</t>
  </si>
  <si>
    <t>COMPRESSION | DEDUPE | BOTH | NONE</t>
  </si>
  <si>
    <t>hldStorageEfficiency</t>
  </si>
  <si>
    <t>COMPRESSION</t>
  </si>
  <si>
    <t>Changes effective capacity, CPU overhead and qualification requirements.</t>
  </si>
  <si>
    <t>https://blogs.vmware.com/cloud-foundation/2026/05/07/vsan-compression-and-global-deduplication-in-vcf-9-1/</t>
  </si>
  <si>
    <t>Encryption scope</t>
  </si>
  <si>
    <t>Is encryption required at rest, in transit, both, or not by platform policy?</t>
  </si>
  <si>
    <t>NONE | AT_REST | IN_TRANSIT | BOTH</t>
  </si>
  <si>
    <t>hldEncryptionScope</t>
  </si>
  <si>
    <t>AT_REST</t>
  </si>
  <si>
    <t>Controls KMS, certificates, remote storage and compliance requirements.</t>
  </si>
  <si>
    <t>https://blogs.vmware.com/cloud-foundation/2026/05/05/platform-security-vcf-9-1/</t>
  </si>
  <si>
    <t>Protection model</t>
  </si>
  <si>
    <t>Which protection pattern is required?</t>
  </si>
  <si>
    <t>BACKUP | LOCAL_RECOVERY | REPLICATION | CYBER_VAULT</t>
  </si>
  <si>
    <t>hldProtectionModel</t>
  </si>
  <si>
    <t>BACKUP</t>
  </si>
  <si>
    <t>Controls snapshots, replication, recovery isolation and target capacity.</t>
  </si>
  <si>
    <t>https://blogs.vmware.com/cloud-foundation/2026/05/14/vmware-vsan-protection-and-recovery-enhancements-for-vcf-9-1/</t>
  </si>
  <si>
    <t>Recovery objectives</t>
  </si>
  <si>
    <t>What RPO, RTO and retention objectives must the platform support?</t>
  </si>
  <si>
    <t>ARCHITECT_DEFINED</t>
  </si>
  <si>
    <t>hldRecoveryObjectives</t>
  </si>
  <si>
    <t>UNRESOLVED</t>
  </si>
  <si>
    <t>Drives protection frequency, bandwidth, capacity and orchestration.</t>
  </si>
  <si>
    <t>SECURITY</t>
  </si>
  <si>
    <t>Identity Broker topology</t>
  </si>
  <si>
    <t>Should Identity Broker be embedded, appliance-based, or three-node HA?</t>
  </si>
  <si>
    <t>EMBEDDED | APPLIANCE | THREE_NODE_HA</t>
  </si>
  <si>
    <t>hldIdentityMode</t>
  </si>
  <si>
    <t>THREE_NODE_HA</t>
  </si>
  <si>
    <t>Controls identity placement, availability and scale.</t>
  </si>
  <si>
    <t>Certificate authority model</t>
  </si>
  <si>
    <t>Which certificate authority model will govern the fleet?</t>
  </si>
  <si>
    <t>VMCA | MICROSOFT_CA | OPENSSL | ENTERPRISE_PKI</t>
  </si>
  <si>
    <t>hldCaModel</t>
  </si>
  <si>
    <t>ENTERPRISE_PKI</t>
  </si>
  <si>
    <t>Controls fleet-level CA configuration and certificate operations.</t>
  </si>
  <si>
    <t>DEC-ID-003</t>
  </si>
  <si>
    <t>Credential vault integration</t>
  </si>
  <si>
    <t>Will passwords remain platform-managed or integrate with an enterprise vault?</t>
  </si>
  <si>
    <t>PLATFORM | ENTERPRISE_VAULT | HYBRID</t>
  </si>
  <si>
    <t>hldVaultModel</t>
  </si>
  <si>
    <t>PLATFORM</t>
  </si>
  <si>
    <t>Controls rotation, custody, APIs and operational ownership.</t>
  </si>
  <si>
    <t>LIFECYCLE</t>
  </si>
  <si>
    <t>Lifecycle strategy</t>
  </si>
  <si>
    <t>Will operations use standard maintenance, rolling evacuation, or live patch where eligible?</t>
  </si>
  <si>
    <t>STANDARD | ROLLING | LIVE_PATCH</t>
  </si>
  <si>
    <t>hldLifecycleStrategy</t>
  </si>
  <si>
    <t>ROLLING</t>
  </si>
  <si>
    <t>Controls spare capacity, TPM dependencies and maintenance procedures.</t>
  </si>
  <si>
    <t>OPERATIONS</t>
  </si>
  <si>
    <t>Operations deployment topology</t>
  </si>
  <si>
    <t>What placement and HA model is required for VCF Operations?</t>
  </si>
  <si>
    <t>STANDARD | HA | CONTINUOUS</t>
  </si>
  <si>
    <t>hldOpsTopology</t>
  </si>
  <si>
    <t>HA</t>
  </si>
  <si>
    <t>Controls sizing, placement and load-balancing requirements.</t>
  </si>
  <si>
    <t>Logging and telemetry model</t>
  </si>
  <si>
    <t>Which logs, flow data, retention and remote collectors are required?</t>
  </si>
  <si>
    <t>CORE | CENTRALIZED | DISTRIBUTED</t>
  </si>
  <si>
    <t>hldTelemetryModel</t>
  </si>
  <si>
    <t>CENTRALIZED</t>
  </si>
  <si>
    <t>Controls collectors, cloud proxies, load balancers and retention.</t>
  </si>
  <si>
    <t>Operational governance</t>
  </si>
  <si>
    <t>Will fleet tags, compliance and cost/showback be centrally governed?</t>
  </si>
  <si>
    <t>CENTRALIZED | DELEGATED | HYBRID</t>
  </si>
  <si>
    <t>hldGovernanceModel</t>
  </si>
  <si>
    <t>Controls tag ownership, compliance policy and business reporting.</t>
  </si>
  <si>
    <t>AUTOMATION</t>
  </si>
  <si>
    <t>Automation adoption</t>
  </si>
  <si>
    <t>Will VCF Automation be deployed?</t>
  </si>
  <si>
    <t>true | false</t>
  </si>
  <si>
    <t>derivedAuto</t>
  </si>
  <si>
    <t>false</t>
  </si>
  <si>
    <t>Activates automation placement, sizing and integration requirements.</t>
  </si>
  <si>
    <t>https://blogs.vmware.com/cloud-foundation/2026/05/28/vcf-automation-infrastructure-policies/</t>
  </si>
  <si>
    <t>Placement governance</t>
  </si>
  <si>
    <t>Which infrastructure policies govern placement, licensing and data locality?</t>
  </si>
  <si>
    <t>hldPlacementGovernance</t>
  </si>
  <si>
    <t>Controls cloud zones, host pinning and regulatory placement.</t>
  </si>
  <si>
    <t>KUBERNETES</t>
  </si>
  <si>
    <t>VKS adoption</t>
  </si>
  <si>
    <t>Will the fleet provide vSphere Kubernetes Service?</t>
  </si>
  <si>
    <t>hldIncVKS</t>
  </si>
  <si>
    <t>Activates Supervisor, cluster service and Kubernetes requirements.</t>
  </si>
  <si>
    <t>https://blogs.vmware.com/cloud-foundation/2026/06/02/vcf-9-1-brings-multi-network-support-to-vmware-vsphere-kubernetes-service/</t>
  </si>
  <si>
    <t>Supervisor topology</t>
  </si>
  <si>
    <t>Should Supervisor be single-zone or zonal?</t>
  </si>
  <si>
    <t>SINGLE_ZONE | ZONAL</t>
  </si>
  <si>
    <t>hldVksTopology</t>
  </si>
  <si>
    <t>SINGLE_ZONE</t>
  </si>
  <si>
    <t>Controls control-plane placement, fault domains and address pools.</t>
  </si>
  <si>
    <t>Kubernetes networking</t>
  </si>
  <si>
    <t>Will VKS use VDS, NSX VPC, overlay-only, or multiple node/pod networks?</t>
  </si>
  <si>
    <t>VDS | NSX_VPC | MULTI_NETWORK</t>
  </si>
  <si>
    <t>hldVksNetworking</t>
  </si>
  <si>
    <t>NSX_VPC</t>
  </si>
  <si>
    <t>Controls load balancing, address pools, storage isolation and secondary NICs.</t>
  </si>
  <si>
    <t>Private AI adoption</t>
  </si>
  <si>
    <t>Will the design include VCF Private AI services?</t>
  </si>
  <si>
    <t>hldIncAI</t>
  </si>
  <si>
    <t>Activates GPU, licensing, orchestration and AI data requirements.</t>
  </si>
  <si>
    <t>AI data and fabric architecture</t>
  </si>
  <si>
    <t>What training/inference, retention, checkpoint and east-west fabric profile is required?</t>
  </si>
  <si>
    <t>hldAiDataProfile</t>
  </si>
  <si>
    <t>Drives GPU count, storage capacity and 25/40/100 GbE recommendations.</t>
  </si>
  <si>
    <t>Advanced security services</t>
  </si>
  <si>
    <t>Which micro-segmentation, IDS/IPS and malware-prevention services are required?</t>
  </si>
  <si>
    <t>BASELINE | MICROSEGMENTATION | IDS_IPS | FULL</t>
  </si>
  <si>
    <t>hldSecurityServices</t>
  </si>
  <si>
    <t>Controls vDefend components, Edge sizing and licensing.</t>
  </si>
  <si>
    <t>MOBILITY</t>
  </si>
  <si>
    <t>Workload mobility</t>
  </si>
  <si>
    <t>Will HCX or another mobility service be used for migration or network extension?</t>
  </si>
  <si>
    <t>NONE | HCX</t>
  </si>
  <si>
    <t>derivedHcx</t>
  </si>
  <si>
    <t>NONE</t>
  </si>
  <si>
    <t>Activates manager, compute profile, service mesh and extension requirements.</t>
  </si>
  <si>
    <t>GOVERNANCE</t>
  </si>
  <si>
    <t>Licensing and cost model</t>
  </si>
  <si>
    <t>What licensing, chargeback/showback and capacity-planning model is required?</t>
  </si>
  <si>
    <t>CENTRAL | BUSINESS_UNIT | TENANT</t>
  </si>
  <si>
    <t>hldCostModel</t>
  </si>
  <si>
    <t>CENTRAL</t>
  </si>
  <si>
    <t>Controls license tracking, cost visibility and capacity cadence.</t>
  </si>
  <si>
    <t>Distributed edge pattern</t>
  </si>
  <si>
    <t>Which validated edge operating pattern fits each remote site profile?</t>
  </si>
  <si>
    <t>PATTERN_1..PATTERN_10</t>
  </si>
  <si>
    <t>activeEdgePattern</t>
  </si>
  <si>
    <t>Controls remote management, autonomy, connectivity and footprint.</t>
  </si>
  <si>
    <t>Bundle ID</t>
  </si>
  <si>
    <t>Bundle Name</t>
  </si>
  <si>
    <t>Applies When</t>
  </si>
  <si>
    <t>VCF architecture foundation</t>
  </si>
  <si>
    <t>VCF platform selected</t>
  </si>
  <si>
    <t>Management-domain, naming and workload-domain fundamentals.</t>
  </si>
  <si>
    <t>MANAGEMENT</t>
  </si>
  <si>
    <t>Management services foundation</t>
  </si>
  <si>
    <t>VCF instance in scope</t>
  </si>
  <si>
    <t>SDDC Manager and mandatory management-service placement, network, time and backup controls.</t>
  </si>
  <si>
    <t>VCENTER</t>
  </si>
  <si>
    <t>vCenter foundation</t>
  </si>
  <si>
    <t>Management or workload domain in scope</t>
  </si>
  <si>
    <t>vCenter deployment, backup and operational fundamentals.</t>
  </si>
  <si>
    <t>Cluster foundation</t>
  </si>
  <si>
    <t>vSphere cluster in scope</t>
  </si>
  <si>
    <t>Minimum cluster, HA, compatibility and lifecycle controls.</t>
  </si>
  <si>
    <t>Network foundation</t>
  </si>
  <si>
    <t>DNS, NTP, MTU, switching and traffic-separation fundamentals.</t>
  </si>
  <si>
    <t>NSX foundation</t>
  </si>
  <si>
    <t>NSX networking in scope</t>
  </si>
  <si>
    <t>Manager, transport and gateway fundamentals selected by networking decisions.</t>
  </si>
  <si>
    <t>Storage foundation</t>
  </si>
  <si>
    <t>Storage service in scope</t>
  </si>
  <si>
    <t>Capacity, policy, redundancy, lifecycle and hardware-compatibility controls.</t>
  </si>
  <si>
    <t>Operations foundation</t>
  </si>
  <si>
    <t>Fleet operations in scope</t>
  </si>
  <si>
    <t>Operations placement, telemetry, capacity and governance fundamentals.</t>
  </si>
  <si>
    <t>Security and identity foundation</t>
  </si>
  <si>
    <t>VCF fleet in scope</t>
  </si>
  <si>
    <t>Identity, certificate, credential and platform-security fundamentals.</t>
  </si>
  <si>
    <t>Protection foundation</t>
  </si>
  <si>
    <t>Protected platform component or workload in scope</t>
  </si>
  <si>
    <t>Backup, retention, replication and recovery fundamentals.</t>
  </si>
  <si>
    <t>Licensing and financial governance</t>
  </si>
  <si>
    <t>Licensing, compliance, cost visibility and capacity-planning fundamentals.</t>
  </si>
  <si>
    <t>SOLUTIONS</t>
  </si>
  <si>
    <t>Optional solution foundation</t>
  </si>
  <si>
    <t>Optional solution selected</t>
  </si>
  <si>
    <t>Shared placement, sizing, identity, certificate and lifecycle controls for add-on solutions.</t>
  </si>
  <si>
    <t>Distributed edge foundation</t>
  </si>
  <si>
    <t>Distributed edge profile selected</t>
  </si>
  <si>
    <t>Remote-site management, availability and connectivity fundamentals.</t>
  </si>
  <si>
    <t>Metric</t>
  </si>
  <si>
    <t>Meaning</t>
  </si>
  <si>
    <t>Source Design IDs</t>
  </si>
  <si>
    <t>Existing requirements retained</t>
  </si>
  <si>
    <t>Parent Decisions</t>
  </si>
  <si>
    <t>Architectural branch points</t>
  </si>
  <si>
    <t>Baseline Bundles</t>
  </si>
  <si>
    <t>Inherited controls grouped for readability</t>
  </si>
  <si>
    <t>Mapped Requirements</t>
  </si>
  <si>
    <t>Requirements linked to a parent decision and bundle</t>
  </si>
  <si>
    <t>Decision-Led Requirements</t>
  </si>
  <si>
    <t>Requirements controlled by evaluable context</t>
  </si>
  <si>
    <t>Inherited Parent Scope</t>
  </si>
  <si>
    <t>Requirements activated after a parent choice</t>
  </si>
  <si>
    <t>Universal Baseline</t>
  </si>
  <si>
    <t>Controls shown as inherited rather than questionnaire choices</t>
  </si>
  <si>
    <t>Mapping Exceptions</t>
  </si>
  <si>
    <t>Rows requiring manual remediation</t>
  </si>
  <si>
    <t>Product_Key</t>
  </si>
  <si>
    <t>Release_Name</t>
  </si>
  <si>
    <t>Build_Number</t>
  </si>
  <si>
    <t>Release_Date</t>
  </si>
  <si>
    <t>Build_Type</t>
  </si>
  <si>
    <t>Source_Article_ID</t>
  </si>
  <si>
    <t>Source_URL</t>
  </si>
  <si>
    <t>Last_Verified</t>
  </si>
  <si>
    <t>Active</t>
  </si>
  <si>
    <t>VMware ESXi</t>
  </si>
  <si>
    <t>9.1.0.0200</t>
  </si>
  <si>
    <t>25557999</t>
  </si>
  <si>
    <t>2026-07-13</t>
  </si>
  <si>
    <t>General release</t>
  </si>
  <si>
    <t>316595</t>
  </si>
  <si>
    <t>https://knowledge.broadcom.com/external/article/316595/build-numbers-and-versions-of-vmware-esx.html</t>
  </si>
  <si>
    <t>2026-08-08</t>
  </si>
  <si>
    <t>TRUE</t>
  </si>
  <si>
    <t>9.1.0.0100</t>
  </si>
  <si>
    <t>25433460</t>
  </si>
  <si>
    <t>2026-06-05</t>
  </si>
  <si>
    <t>VMware ESX 9.1</t>
  </si>
  <si>
    <t>9.1</t>
  </si>
  <si>
    <t>25370933</t>
  </si>
  <si>
    <t>2026-05-12</t>
  </si>
  <si>
    <t>9.0.2.0</t>
  </si>
  <si>
    <t>25148076</t>
  </si>
  <si>
    <t>2026-01-20</t>
  </si>
  <si>
    <t>9.0.1.0</t>
  </si>
  <si>
    <t>24957456</t>
  </si>
  <si>
    <t>2025-09-29</t>
  </si>
  <si>
    <t>9.0.0.0100</t>
  </si>
  <si>
    <t>24813472</t>
  </si>
  <si>
    <t>2025-07-15</t>
  </si>
  <si>
    <t>VMware ESX 9.0.0</t>
  </si>
  <si>
    <t>9.0.0</t>
  </si>
  <si>
    <t>24755229</t>
  </si>
  <si>
    <t>2025-06-17</t>
  </si>
  <si>
    <t>ESXi 8.0 Update 3k</t>
  </si>
  <si>
    <t>8.0.3k</t>
  </si>
  <si>
    <t>25595708</t>
  </si>
  <si>
    <t>2026-07-29</t>
  </si>
  <si>
    <t>Patch</t>
  </si>
  <si>
    <t>ESXi 8.0 Update 3j</t>
  </si>
  <si>
    <t>8.0.3j</t>
  </si>
  <si>
    <t>25429389</t>
  </si>
  <si>
    <t>ESXi 8.0 Update 3i</t>
  </si>
  <si>
    <t>8.0.3i</t>
  </si>
  <si>
    <t>25205845</t>
  </si>
  <si>
    <t>ESXi 8.0 Update 3h</t>
  </si>
  <si>
    <t>8.0.3h</t>
  </si>
  <si>
    <t>25067014</t>
  </si>
  <si>
    <t>ESXi 8.0 Update 3g</t>
  </si>
  <si>
    <t>8.0.3g</t>
  </si>
  <si>
    <t>24859861</t>
  </si>
  <si>
    <t>ESXi 8.0 Update 3f</t>
  </si>
  <si>
    <t>8.0.3f</t>
  </si>
  <si>
    <t>24784735</t>
  </si>
  <si>
    <t>Express patch</t>
  </si>
  <si>
    <t>ESXi 8.0 Update 3e</t>
  </si>
  <si>
    <t>8.0.3e</t>
  </si>
  <si>
    <t>24674464</t>
  </si>
  <si>
    <t>ESXi 8.0 Update 3d</t>
  </si>
  <si>
    <t>8.0.3d</t>
  </si>
  <si>
    <t>24585383</t>
  </si>
  <si>
    <t>ESXi 8.0 Update 3c</t>
  </si>
  <si>
    <t>8.0.3c</t>
  </si>
  <si>
    <t>24414501</t>
  </si>
  <si>
    <t>ESXi 8.0 Update 3b</t>
  </si>
  <si>
    <t>8.0.3b</t>
  </si>
  <si>
    <t>24280767</t>
  </si>
  <si>
    <t>ESXi 8.0 Update 3</t>
  </si>
  <si>
    <t>8.0.3</t>
  </si>
  <si>
    <t>24022510</t>
  </si>
  <si>
    <t>ESXi 8.0 Update 2e</t>
  </si>
  <si>
    <t>8.0.2e</t>
  </si>
  <si>
    <t>24789317</t>
  </si>
  <si>
    <t>ESXi 8.0 Update 2d</t>
  </si>
  <si>
    <t>8.0.2d</t>
  </si>
  <si>
    <t>24585300</t>
  </si>
  <si>
    <t>ESXi 8.0 Update 2c</t>
  </si>
  <si>
    <t>8.0.2c</t>
  </si>
  <si>
    <t>23825572</t>
  </si>
  <si>
    <t>ESXi 8.0 Update 2b</t>
  </si>
  <si>
    <t>8.0.2b</t>
  </si>
  <si>
    <t>23305546</t>
  </si>
  <si>
    <t>ESXi 8.0 Update 2</t>
  </si>
  <si>
    <t>8.0.2</t>
  </si>
  <si>
    <t>22380479</t>
  </si>
  <si>
    <t>ESXi 8.0 Update 1d</t>
  </si>
  <si>
    <t>8.0.1d</t>
  </si>
  <si>
    <t>23299997</t>
  </si>
  <si>
    <t>ESXi 8.0 Update 1c</t>
  </si>
  <si>
    <t>8.0.1c</t>
  </si>
  <si>
    <t>22088125</t>
  </si>
  <si>
    <t>ESXi 8.0 Update 1a</t>
  </si>
  <si>
    <t>8.0.1a</t>
  </si>
  <si>
    <t>21813344</t>
  </si>
  <si>
    <t>ESXi 8.0 Update 1</t>
  </si>
  <si>
    <t>8.0.1</t>
  </si>
  <si>
    <t>21495797</t>
  </si>
  <si>
    <t>ESXi 8.0g</t>
  </si>
  <si>
    <t>8.0.0g</t>
  </si>
  <si>
    <t>25191479</t>
  </si>
  <si>
    <t>ESXi 8.0f</t>
  </si>
  <si>
    <t>8.0.0f</t>
  </si>
  <si>
    <t>24814147</t>
  </si>
  <si>
    <t>ESXi 8.0e</t>
  </si>
  <si>
    <t>8.0.0e</t>
  </si>
  <si>
    <t>24569005</t>
  </si>
  <si>
    <t>ESXi 8.0d</t>
  </si>
  <si>
    <t>8.0.0d</t>
  </si>
  <si>
    <t>24118393</t>
  </si>
  <si>
    <t>ESXi 8.0c</t>
  </si>
  <si>
    <t>8.0.0c</t>
  </si>
  <si>
    <t>21493926</t>
  </si>
  <si>
    <t>ESXi 8.0b</t>
  </si>
  <si>
    <t>8.0.0b</t>
  </si>
  <si>
    <t>21203435</t>
  </si>
  <si>
    <t>ESXi 8.0a</t>
  </si>
  <si>
    <t>8.0.0a</t>
  </si>
  <si>
    <t>20842819</t>
  </si>
  <si>
    <t>ESXi 8.0 GA</t>
  </si>
  <si>
    <t>8.0.0</t>
  </si>
  <si>
    <t>20513097</t>
  </si>
  <si>
    <t>ESXi 7.0 Update 3w</t>
  </si>
  <si>
    <t>7.0.3w</t>
  </si>
  <si>
    <t>24784741</t>
  </si>
  <si>
    <t>ESXi 7.0 Update 3v</t>
  </si>
  <si>
    <t>7.0.3v</t>
  </si>
  <si>
    <t>24723872</t>
  </si>
  <si>
    <t>ESXi 7.0 Update 3s</t>
  </si>
  <si>
    <t>7.0.3s</t>
  </si>
  <si>
    <t>24585291</t>
  </si>
  <si>
    <t>ESXi 7.0 Update 3r</t>
  </si>
  <si>
    <t>7.0.3r</t>
  </si>
  <si>
    <t>24411414</t>
  </si>
  <si>
    <t>ESXi 7.0 Update 3q</t>
  </si>
  <si>
    <t>7.0.3q</t>
  </si>
  <si>
    <t>23794027</t>
  </si>
  <si>
    <t>ESXi 7.0 Update 3p</t>
  </si>
  <si>
    <t>7.0.3p</t>
  </si>
  <si>
    <t>23307199</t>
  </si>
  <si>
    <t>ESXi 7.0 Update 3o</t>
  </si>
  <si>
    <t>7.0.3o</t>
  </si>
  <si>
    <t>22348816</t>
  </si>
  <si>
    <t>ESXi 7.0 Update 3n</t>
  </si>
  <si>
    <t>7.0.3n</t>
  </si>
  <si>
    <t>21930508</t>
  </si>
  <si>
    <t>ESXi 7.0 Update 3m</t>
  </si>
  <si>
    <t>7.0.3m</t>
  </si>
  <si>
    <t>21686933</t>
  </si>
  <si>
    <t>ESXi 7.0 Update 3l</t>
  </si>
  <si>
    <t>7.0.3l</t>
  </si>
  <si>
    <t>21424296</t>
  </si>
  <si>
    <t>ESXi 7.0 Update 3k</t>
  </si>
  <si>
    <t>7.0.3k</t>
  </si>
  <si>
    <t>21313628</t>
  </si>
  <si>
    <t>ESXi 7.0 Update 3j</t>
  </si>
  <si>
    <t>7.0.3j</t>
  </si>
  <si>
    <t>21053776</t>
  </si>
  <si>
    <t>ESXi 7.0 Update 3i</t>
  </si>
  <si>
    <t>7.0.3i</t>
  </si>
  <si>
    <t>20842708</t>
  </si>
  <si>
    <t>ESXi 7.0 Update 3g</t>
  </si>
  <si>
    <t>7.0.3g</t>
  </si>
  <si>
    <t>20328353</t>
  </si>
  <si>
    <t>ESXi 7.0 Update 3f</t>
  </si>
  <si>
    <t>7.0.3f</t>
  </si>
  <si>
    <t>20036589</t>
  </si>
  <si>
    <t>ESXi 7.0 Update 3e</t>
  </si>
  <si>
    <t>7.0.3e</t>
  </si>
  <si>
    <t>19898904</t>
  </si>
  <si>
    <t>ESXi 7.0 Update 3d</t>
  </si>
  <si>
    <t>7.0.3d</t>
  </si>
  <si>
    <t>19482537</t>
  </si>
  <si>
    <t>ESXi 7.0 Update 3c</t>
  </si>
  <si>
    <t>7.0.3c</t>
  </si>
  <si>
    <t>19193900</t>
  </si>
  <si>
    <t>VMware vCenter Server</t>
  </si>
  <si>
    <t>vCenter Server 9.1.0.0300</t>
  </si>
  <si>
    <t>9.1.0.0300</t>
  </si>
  <si>
    <t>25629530</t>
  </si>
  <si>
    <t>326316</t>
  </si>
  <si>
    <t>https://knowledge.broadcom.com/external/article/326316/build-numbers-and-versions-of-vmware-vce.html</t>
  </si>
  <si>
    <t>vCenter Server 9.1.0.0200</t>
  </si>
  <si>
    <t>25573614</t>
  </si>
  <si>
    <t>vCenter Server 9.1.0.0100</t>
  </si>
  <si>
    <t>25417926</t>
  </si>
  <si>
    <t>vCenter Server 9.1</t>
  </si>
  <si>
    <t>25370922</t>
  </si>
  <si>
    <t>vCenter Server 9.0.2.0100</t>
  </si>
  <si>
    <t>9.0.2.0100</t>
  </si>
  <si>
    <t>25629525</t>
  </si>
  <si>
    <t>vCenter Server 9.0.2.0</t>
  </si>
  <si>
    <t>25148086</t>
  </si>
  <si>
    <t>vCenter Server 9.0.1.0</t>
  </si>
  <si>
    <t>24957454</t>
  </si>
  <si>
    <t>vCenter Server 9.0.0.0</t>
  </si>
  <si>
    <t>9.0.0.0</t>
  </si>
  <si>
    <t>24755230</t>
  </si>
  <si>
    <t>vCenter Server 8.0 Update 3k</t>
  </si>
  <si>
    <t>25600417</t>
  </si>
  <si>
    <t>vCenter Server 8.0 Update 3j</t>
  </si>
  <si>
    <t>25413364</t>
  </si>
  <si>
    <t>vCenter Server 8.0 Update 3i</t>
  </si>
  <si>
    <t>25197330</t>
  </si>
  <si>
    <t>vCenter Server 8.0 Update 3h</t>
  </si>
  <si>
    <t>25092719</t>
  </si>
  <si>
    <t>vCenter Server 8.0 Update 3g</t>
  </si>
  <si>
    <t>24853646</t>
  </si>
  <si>
    <t>vCenter Server 8.0 Update 3e</t>
  </si>
  <si>
    <t>24674346</t>
  </si>
  <si>
    <t>vCenter Server 8.0 Update 3d</t>
  </si>
  <si>
    <t>24322831</t>
  </si>
  <si>
    <t>vCenter Server 8.0 Update 3c</t>
  </si>
  <si>
    <t>24305161</t>
  </si>
  <si>
    <t>vCenter Server 8.0 Update 3b</t>
  </si>
  <si>
    <t>24262322</t>
  </si>
  <si>
    <t>vCenter Server 8.0 Update 3a</t>
  </si>
  <si>
    <t>8.0.3a</t>
  </si>
  <si>
    <t>24091160</t>
  </si>
  <si>
    <t>vCenter Server 8.0 Update 3</t>
  </si>
  <si>
    <t>24022515</t>
  </si>
  <si>
    <t>vCenter Server 8.0 Update 2e</t>
  </si>
  <si>
    <t>24321653</t>
  </si>
  <si>
    <t>vCenter Server 8.0 Update 2d</t>
  </si>
  <si>
    <t>23929136</t>
  </si>
  <si>
    <t>vCenter Server 8.0 Update 2c</t>
  </si>
  <si>
    <t>23504390</t>
  </si>
  <si>
    <t>vCenter Server 8.0 Update 2b</t>
  </si>
  <si>
    <t>23319993</t>
  </si>
  <si>
    <t>vCenter Server 8.0 Update 2a</t>
  </si>
  <si>
    <t>8.0.2a</t>
  </si>
  <si>
    <t>22617221</t>
  </si>
  <si>
    <t>vCenter Server 8.0 Update 2</t>
  </si>
  <si>
    <t>22385739</t>
  </si>
  <si>
    <t>vCenter Server 8.0 Update 1e</t>
  </si>
  <si>
    <t>8.0.1e</t>
  </si>
  <si>
    <t>24005165</t>
  </si>
  <si>
    <t>vCenter Server 8.0 Update 1d</t>
  </si>
  <si>
    <t>22368047</t>
  </si>
  <si>
    <t>vCenter Server 8.0 Update 1c</t>
  </si>
  <si>
    <t>22088981</t>
  </si>
  <si>
    <t>vCenter Server 8.0 Update 1b</t>
  </si>
  <si>
    <t>8.0.1b</t>
  </si>
  <si>
    <t>21860503</t>
  </si>
  <si>
    <t>vCenter Server 8.0 Update 1a</t>
  </si>
  <si>
    <t>21815093</t>
  </si>
  <si>
    <t>vCenter Server 8.0 Update 1</t>
  </si>
  <si>
    <t>21560480</t>
  </si>
  <si>
    <t>vCenter Server 8.0c</t>
  </si>
  <si>
    <t>21457384</t>
  </si>
  <si>
    <t>vCenter Server 8.0b</t>
  </si>
  <si>
    <t>21216066</t>
  </si>
  <si>
    <t>vCenter Server 8.0a</t>
  </si>
  <si>
    <t>20920323</t>
  </si>
  <si>
    <t>vCenter Server 8.0 GA</t>
  </si>
  <si>
    <t>20519528</t>
  </si>
  <si>
    <t>vCenter Server 7.0 Update 3w</t>
  </si>
  <si>
    <t>24927011</t>
  </si>
  <si>
    <t>vCenter Server 7.0 Update 3v</t>
  </si>
  <si>
    <t>24730281</t>
  </si>
  <si>
    <t>vCenter Server 7.0 Update 3u</t>
  </si>
  <si>
    <t>7.0.3u</t>
  </si>
  <si>
    <t>24614210</t>
  </si>
  <si>
    <t>vCenter Server 7.0 Update 3t</t>
  </si>
  <si>
    <t>7.0.3t</t>
  </si>
  <si>
    <t>24322018</t>
  </si>
  <si>
    <t>vCenter Server 7.0 Update 3s</t>
  </si>
  <si>
    <t>24201990</t>
  </si>
  <si>
    <t>vCenter Server 7.0 Update 3r</t>
  </si>
  <si>
    <t>24026615</t>
  </si>
  <si>
    <t>vCenter Server 7.0 Update 3q</t>
  </si>
  <si>
    <t>23788036</t>
  </si>
  <si>
    <t>vCenter Server 7.0 Update 3p</t>
  </si>
  <si>
    <t>22837322</t>
  </si>
  <si>
    <t>vCenter Server 7.0 Update 3o</t>
  </si>
  <si>
    <t>22357613</t>
  </si>
  <si>
    <t>vCenter Server 7.0 Update 3n</t>
  </si>
  <si>
    <t>21958406</t>
  </si>
  <si>
    <t>vCenter Server 7.0 Update 3m</t>
  </si>
  <si>
    <t>21784236</t>
  </si>
  <si>
    <t>vCenter Server 7.0 Update 3l</t>
  </si>
  <si>
    <t>21477706</t>
  </si>
  <si>
    <t>vCenter Server 7.0 Update 3k</t>
  </si>
  <si>
    <t>21290409</t>
  </si>
  <si>
    <t>vCenter Server 7.0 Update 3j</t>
  </si>
  <si>
    <t>20990077</t>
  </si>
  <si>
    <t>vCenter Server 7.0 Update 3i</t>
  </si>
  <si>
    <t>20845200</t>
  </si>
  <si>
    <t>vCenter Server 7.0 Update 3h</t>
  </si>
  <si>
    <t>7.0.3h</t>
  </si>
  <si>
    <t>20395099</t>
  </si>
  <si>
    <t>vCenter Server 7.0 Update 3g</t>
  </si>
  <si>
    <t>20150588</t>
  </si>
  <si>
    <t>vCenter Server 7.0 Update 3f</t>
  </si>
  <si>
    <t>20051473</t>
  </si>
  <si>
    <t>vCenter Server 7.0 Update 3e</t>
  </si>
  <si>
    <t>19717403</t>
  </si>
  <si>
    <t>vCenter Server 7.0 Update 3d</t>
  </si>
  <si>
    <t>19480866</t>
  </si>
  <si>
    <t>vCenter Server 7.0 Update 3c</t>
  </si>
  <si>
    <t>19234570</t>
  </si>
  <si>
    <t>vCenter Server 7.0 Update 3a</t>
  </si>
  <si>
    <t>7.0.3a</t>
  </si>
  <si>
    <t>18778458</t>
  </si>
  <si>
    <t>vCenter Server 7.0 Update 3</t>
  </si>
  <si>
    <t>7.0.3</t>
  </si>
  <si>
    <t>18700403</t>
  </si>
  <si>
    <t>Aria Operations 8.18.7</t>
  </si>
  <si>
    <t>8.18.7</t>
  </si>
  <si>
    <t>25423534</t>
  </si>
  <si>
    <t>Published build variant 1</t>
  </si>
  <si>
    <t>324371</t>
  </si>
  <si>
    <t>https://knowledge.broadcom.com/external/article/324371/build-numbers-and-versions-of-vmware-ari.html</t>
  </si>
  <si>
    <t>25423537</t>
  </si>
  <si>
    <t>Published build variant 2</t>
  </si>
  <si>
    <t>25423554</t>
  </si>
  <si>
    <t>Published build variant 3</t>
  </si>
  <si>
    <t>Aria Operations 8.18.6</t>
  </si>
  <si>
    <t>8.18.6</t>
  </si>
  <si>
    <t>25211474</t>
  </si>
  <si>
    <t>25211476</t>
  </si>
  <si>
    <t>25211477</t>
  </si>
  <si>
    <t>Aria Operations 8.18.5</t>
  </si>
  <si>
    <t>8.18.5</t>
  </si>
  <si>
    <t>24967113</t>
  </si>
  <si>
    <t>24967114</t>
  </si>
  <si>
    <t>24967118</t>
  </si>
  <si>
    <t>Aria Operations 8.18.4</t>
  </si>
  <si>
    <t>8.18.4</t>
  </si>
  <si>
    <t>24871725</t>
  </si>
  <si>
    <t>24871726</t>
  </si>
  <si>
    <t>24871724</t>
  </si>
  <si>
    <t>Aria Operations 8.18.3</t>
  </si>
  <si>
    <t>8.18.3</t>
  </si>
  <si>
    <t>24521408</t>
  </si>
  <si>
    <t>24521398</t>
  </si>
  <si>
    <t>24521385</t>
  </si>
  <si>
    <t>Aria Operations 8.18.2</t>
  </si>
  <si>
    <t>8.18.2</t>
  </si>
  <si>
    <t>24394060</t>
  </si>
  <si>
    <t>24394056</t>
  </si>
  <si>
    <t>24394055</t>
  </si>
  <si>
    <t>Aria Operations 8.18.1</t>
  </si>
  <si>
    <t>8.18.1</t>
  </si>
  <si>
    <t>24267784</t>
  </si>
  <si>
    <t>24267781</t>
  </si>
  <si>
    <t>24267782</t>
  </si>
  <si>
    <t>Aria Operations 8.18</t>
  </si>
  <si>
    <t>8.18</t>
  </si>
  <si>
    <t>24025145</t>
  </si>
  <si>
    <t>24025141</t>
  </si>
  <si>
    <t>24025142</t>
  </si>
  <si>
    <t>Aria Operations 8.17.2</t>
  </si>
  <si>
    <t>8.17.2</t>
  </si>
  <si>
    <t>24026432</t>
  </si>
  <si>
    <t>24026428</t>
  </si>
  <si>
    <t>24026429</t>
  </si>
  <si>
    <t>Aria Operations 8.17.1</t>
  </si>
  <si>
    <t>8.17.1</t>
  </si>
  <si>
    <t>23642243</t>
  </si>
  <si>
    <t>23642532</t>
  </si>
  <si>
    <t>23642533</t>
  </si>
  <si>
    <t>Aria Operations 8.16.1</t>
  </si>
  <si>
    <t>8.16.1</t>
  </si>
  <si>
    <t>23365475</t>
  </si>
  <si>
    <t>23365473</t>
  </si>
  <si>
    <t>23362241</t>
  </si>
  <si>
    <t>Aria Operations 8.16</t>
  </si>
  <si>
    <t>8.16</t>
  </si>
  <si>
    <t>23251571</t>
  </si>
  <si>
    <t>23251565</t>
  </si>
  <si>
    <t>23251566</t>
  </si>
  <si>
    <t>Aria Operations 8.14.1</t>
  </si>
  <si>
    <t>8.14.1</t>
  </si>
  <si>
    <t>22798986</t>
  </si>
  <si>
    <t>22798982</t>
  </si>
  <si>
    <t>22798983</t>
  </si>
  <si>
    <t>Aria Operations 8.14</t>
  </si>
  <si>
    <t>8.14</t>
  </si>
  <si>
    <t>22610776</t>
  </si>
  <si>
    <t>22611353</t>
  </si>
  <si>
    <t>22611354</t>
  </si>
  <si>
    <t>Aria Operations 8.12.1</t>
  </si>
  <si>
    <t>8.12.1</t>
  </si>
  <si>
    <t>21952151</t>
  </si>
  <si>
    <t>21952629</t>
  </si>
  <si>
    <t>21952631</t>
  </si>
  <si>
    <t>Aria Operations 8.12</t>
  </si>
  <si>
    <t>8.12</t>
  </si>
  <si>
    <t>21594884</t>
  </si>
  <si>
    <t>21594883</t>
  </si>
  <si>
    <t>21594387</t>
  </si>
  <si>
    <t>Aria Automation 8.18.1</t>
  </si>
  <si>
    <t>24282368</t>
  </si>
  <si>
    <t>2024-10-09</t>
  </si>
  <si>
    <t>318130</t>
  </si>
  <si>
    <t>https://knowledge.broadcom.com/external/article/318130/build-numbers-and-versions-for-vmware-ar.html</t>
  </si>
  <si>
    <t>Aria Automation 8.18.0</t>
  </si>
  <si>
    <t>8.18.0</t>
  </si>
  <si>
    <t>24024333</t>
  </si>
  <si>
    <t>Aria Automation 8.17.0</t>
  </si>
  <si>
    <t>8.17.0</t>
  </si>
  <si>
    <t>23831516</t>
  </si>
  <si>
    <t>Aria Automation 8.16.2</t>
  </si>
  <si>
    <t>8.16.2</t>
  </si>
  <si>
    <t>23467282</t>
  </si>
  <si>
    <t>Aria Automation 8.16.1</t>
  </si>
  <si>
    <t>23319891</t>
  </si>
  <si>
    <t>Aria Automation 8.16.0</t>
  </si>
  <si>
    <t>8.16.0</t>
  </si>
  <si>
    <t>23103949</t>
  </si>
  <si>
    <t>Aria Automation 8.14.1</t>
  </si>
  <si>
    <t>22830382</t>
  </si>
  <si>
    <t>Aria Automation 8.14</t>
  </si>
  <si>
    <t>22618990</t>
  </si>
  <si>
    <t>Aria Automation 8.13.1</t>
  </si>
  <si>
    <t>8.13.1</t>
  </si>
  <si>
    <t>22360938</t>
  </si>
  <si>
    <t>Aria Automation 8.13</t>
  </si>
  <si>
    <t>8.13</t>
  </si>
  <si>
    <t>22178981</t>
  </si>
  <si>
    <t>Aria Automation 8.12.2</t>
  </si>
  <si>
    <t>8.12.2</t>
  </si>
  <si>
    <t>21949837</t>
  </si>
  <si>
    <t>Aria Automation 8.12.1</t>
  </si>
  <si>
    <t>21768489</t>
  </si>
  <si>
    <t>Aria Automation 8.12</t>
  </si>
  <si>
    <t>21622235</t>
  </si>
  <si>
    <t>Availability</t>
  </si>
  <si>
    <t>migrated from 'Cloud Proxy - Simple'; Size was Simple ‚Üí Small; Availability=Simple; Required cleared (was Yes on Simple)</t>
  </si>
  <si>
    <t>migrated from 'VCF Automation - Simple'; Size was Simple ‚Üí Small; Availability=Simple</t>
  </si>
  <si>
    <t>Required cleared (non-default HA size)</t>
  </si>
  <si>
    <t>migrated from 'VCF Operations - Simple'; Size was Simple ‚Üí Small; Availability=Simple; Required cleared (was Yes on Simple)</t>
  </si>
  <si>
    <t>migrated from 'Management Domain NSX Managers (Simple)'; Size was Simple ‚Üí Small; Availability=Simple; aligned to HA NSX component name '(Local / Global)'; Required cleared (was Yes on Simple)</t>
  </si>
  <si>
    <t>migrated from 'Management Domain vCenter - Simple'; Size was Simple ‚Üí Small; Availability=Simple; Required cleared (was Yes on Simple)</t>
  </si>
  <si>
    <t>migrated from 'Identity Broker - Simple'; Size was Simple ‚Üí Small; Availability=Simple; Required cleared (was Yes on Simple)</t>
  </si>
  <si>
    <t>migrated from 'License Server - Simple'; Size was Simple ‚Üí Small; Availability=Simple; Required cleared (was Yes on Simple)</t>
  </si>
  <si>
    <t>Size was 'Optional' ‚Üí Base (Required=No)</t>
  </si>
  <si>
    <t>migrated from 'Protection Blueprint Requirements - Simple'; Size was Simple ‚Üí Small; Availability=Simple; Required cleared (was Yes on Simple)</t>
  </si>
  <si>
    <t>Size was 'Required' ‚Üí Medium (Required flag remains No)</t>
  </si>
  <si>
    <t>migrated from 'Real-time Metrics - Simple'; Size was Simple ‚Üí Small; Availability=Simple</t>
  </si>
  <si>
    <t>migrated from 'SDDC Manager - Simple'; Size was Simple ‚Üí Small; Availability=Simple; Required cleared (was Yes on Simple)</t>
  </si>
  <si>
    <t>migrated from 'VCF Operations for networks - Simple'; Size was Simple ‚Üí Small; Availability=Simple</t>
  </si>
  <si>
    <t>migrated from 'VCF Operations for networks collector - Simple'; Size was Simple ‚Üí Small; Availability=Simple</t>
  </si>
  <si>
    <t>migrated from 'VCF services runtime control nodes - Simple'; Size was Simple ‚Üí Small; Availability=Simple; Required cleared (was Yes on Simple)</t>
  </si>
  <si>
    <t>migrated from 'VCF services runtime worker nodes - Simple'; Size was Simple ‚Üí Small; Availability=Simple; Required cleared (was Yes on Simple)</t>
  </si>
  <si>
    <t>Design_IDs</t>
  </si>
  <si>
    <t>Funnel_CFG_IDs</t>
  </si>
  <si>
    <t>Doc_Ref</t>
  </si>
  <si>
    <t>Considerations</t>
  </si>
  <si>
    <t>DES-AVI-VALIDATE; DES-PNP; DES-OPTIONAL-DAYN</t>
  </si>
  <si>
    <t>VCF-AVI-REQD-CFG-001;VCF-AUTO-REQD-CFG-006</t>
  </si>
  <si>
    <t>DES-AVI-VALIDATE</t>
  </si>
  <si>
    <t>DES-AVI-VALIDATE: Avi controller sizing: use P&amp;P / Avi docs; cluster is typically 3 controllers when enabled. | DES-PNP: Confirm absolute vCPU/RAM/Disk from Planning &amp; Preparation workbook Management Domain Sizing tab. | DES-OPTIONAL-DAYN: Optional/day-N component ‚Äî enable only when design needs it; may add MS worker capacity.</t>
  </si>
  <si>
    <t>https://techdocs.broadcom.com/us/en/vmware-cis/vcf/vcf-9-0-and-later/9-1/design/vmware-cloud-foundation-concepts/vcf-fleet-sizing-models-9-x.html</t>
  </si>
  <si>
    <t>DES-SSP-VALIDATE; DES-OPTIONAL-DAYN; DES-PNP</t>
  </si>
  <si>
    <t>DES-SSP-VALIDATE</t>
  </si>
  <si>
    <t>DES-SSP-VALIDATE: SSP node counts/sizes change by release ‚Äî validate against current Broadcom SSP sizing before SoW. | DES-OPTIONAL-DAYN: Optional/day-N component ‚Äî enable only when design needs it; may add MS worker capacity. | DES-PNP: Confirm absolute vCPU/RAM/Disk from Planning &amp; Preparation workbook Management Domain Sizing tab.</t>
  </si>
  <si>
    <t>VCF-OPS-REQD-COM-003; DES-PNP; DES-PROXY-HA</t>
  </si>
  <si>
    <t>VCF-OPS-REQD-COM-003</t>
  </si>
  <si>
    <t>VCF-OPS-REQD-COM-003: Deploy cloud proxy in default mgmt cluster to offload local metric/log collection. | DES-PNP: Confirm absolute vCPU/RAM/Disk from Planning &amp; Preparation workbook Management Domain Sizing tab. | DES-PROXY-HA: Cloud Proxy: 1√ó Standard in HA Fleet models (still single appliance unless scaled).</t>
  </si>
  <si>
    <t>https://techdocs.broadcom.com/us/en/vmware-cis/vcf/vcf-9-0-and-later/9-1/design/vmware-cloud-foundation-concepts/vcf-operations.html</t>
  </si>
  <si>
    <t>VCF-OPS-REQD-COM-003; DES-PNP; DES-PROXY-SIMPLE</t>
  </si>
  <si>
    <t>VCF-OPS-REQD-COM-003: Deploy cloud proxy in default mgmt cluster to offload local metric/log collection. | DES-PNP: Confirm absolute vCPU/RAM/Disk from Planning &amp; Preparation workbook Management Domain Sizing tab. | DES-PROXY-SIMPLE: Cloud Proxy: 1√ó Small in Simple Fleet model.</t>
  </si>
  <si>
    <t>VCF-AUTO-REQD-HA-001; DES-PNP</t>
  </si>
  <si>
    <t>VCF-AUTO-REQD-CFG-001;VCF-AUTO-REQD-CFG-002;VCF-AUTO-REQD-CFG-003;VCF-AUTO-REQD-CFG-006;VCF-AUTO-REQD-CFG-009;VCF-AUTO-REQD-CFG-010</t>
  </si>
  <si>
    <t>VCF-AUTO-REQD-HA-001</t>
  </si>
  <si>
    <t>VCF-AUTO-REQD-HA-001: HA Automation: three-node cluster (Medium/Large node sizes); optional external LB. | DES-PNP: Confirm absolute vCPU/RAM/Disk from Planning &amp; Preparation workbook Management Domain Sizing tab.</t>
  </si>
  <si>
    <t>https://techdocs.broadcom.com/us/en/vmware-cis/vcf/vcf-9-0-and-later/9-1/design/design-library/vcf-automation-deployment-models-9-x/vcf-automation-high-availability-deployment-model.html</t>
  </si>
  <si>
    <t>VCF-AUTO-REQD-SIM-001; VCF-AUTO-REQD-SIM-002; DES-PNP</t>
  </si>
  <si>
    <t>VCF-AUTO-REQD-CFG-001;VCF-AUTO-REQD-CFG-003;VCF-AUTO-REQD-CFG-004;VCF-AUTO-REQD-CFG-010</t>
  </si>
  <si>
    <t>VCF-AUTO-REQD-SIM-001</t>
  </si>
  <si>
    <t>VCF-AUTO-REQD-SIM-001: Simple Automation: single node (defaults to small appliance); know scale/perf limits before production. | VCF-AUTO-REQD-SIM-002: Protect Automation Simple node with vSphere HA. | DES-PNP: Confirm absolute vCPU/RAM/Disk from Planning &amp; Preparation workbook Management Domain Sizing tab.</t>
  </si>
  <si>
    <t>https://techdocs.broadcom.com/us/en/vmware-cis/vcf/vcf-9-0-and-later/9-1/design/design-library/vcf-automation-deployment-models-9-x/vcf-automation-simple-deployment-model.html</t>
  </si>
  <si>
    <t>VCF-OPS-REQD-COM-001; DES-PNP; DES-FLEET-HA</t>
  </si>
  <si>
    <t>VCF-OPS-REQD-CFG-001;VCF-OPS-REQD-CFG-002;VCF-OPS-REQD-CFG-003;VCF-OPS-REQD-CFG-004;VCF-OPS-REQD-CFG-005;VCF-OPS-REQD-CFG-006;VCF-OPS-REQD-CFG-007;VCF-OPS-REQD-CFG-008</t>
  </si>
  <si>
    <t>VCF-OPS-REQD-COM-001</t>
  </si>
  <si>
    <t>VCF-OPS-REQD-COM-001: Fleet management components run on VCF management services in default mgmt cluster. | DES-PNP: Confirm absolute vCPU/RAM/Disk from Planning &amp; Preparation workbook Management Domain Sizing tab. | DES-FLEET-HA: Fleet HA footprint: typically 3-node clustered appliances (Ops/NSX/Automation) + sized MS workers.</t>
  </si>
  <si>
    <t>VCF-OPS-REQD-COM-001; DES-PNP; VCF-OPS-REQD-SIM-001; DES-FLEET-SIMPLE</t>
  </si>
  <si>
    <t>VCF-OPS-REQD-CFG-001;VCF-OPS-REQD-CFG-002;VCF-OPS-REQD-CFG-003;VCF-OPS-REQD-CFG-004</t>
  </si>
  <si>
    <t>VCF-OPS-REQD-COM-001: Fleet management components run on VCF management services in default mgmt cluster. | DES-PNP: Confirm absolute vCPU/RAM/Disk from Planning &amp; Preparation workbook Management Domain Sizing tab. | VCF-OPS-REQD-SIM-001: Simple Ops: single analytics node in default mgmt cluster; no app-level HA; size to object scale. | DES-FLEET-SIMPLE: Fleet Simple footprint: prefer single-node appliances where model allows (lab/PoC/minimal).</t>
  </si>
  <si>
    <t>https://techdocs.broadcom.com/us/en/vmware-cis/vcf/vcf-9-0-and-later/9-1/design/design-blueprints-for/infrastructure-modernization/vcf-fleet-in-a-single-site-with-minimal-footprint-blueprint/management-domain-design-selections/operations-layer/simple-vcf-operations-model.html</t>
  </si>
  <si>
    <t>DES-PNP; DES-FLEET-HA; DES-OPTIONAL-DAYN</t>
  </si>
  <si>
    <t>DES-PNP</t>
  </si>
  <si>
    <t>DES-PNP: Confirm absolute vCPU/RAM/Disk from Planning &amp; Preparation workbook Management Domain Sizing tab. | DES-FLEET-HA: Fleet HA footprint: typically 3-node clustered appliances (Ops/NSX/Automation) + sized MS workers. | DES-OPTIONAL-DAYN: Optional/day-N component ‚Äî enable only when design needs it; may add MS worker capacity.</t>
  </si>
  <si>
    <t>DES-NSX-HA; DES-FLEET-HA; DES-PNP</t>
  </si>
  <si>
    <t>VCF-NSX-LM-REQD-CFG-001;VCF-NSX-LM-REQD-CFG-002;VCF-NSX-LM-REQD-CFG-004;VCF-NSX-LM-REQD-CFG-005</t>
  </si>
  <si>
    <t>DES-NSX-HA</t>
  </si>
  <si>
    <t>DES-NSX-HA: HA NSX: 3 managers (Medium or Large per scale); needs host count for anti-affinity + VIP. | DES-FLEET-HA: Fleet HA footprint: typically 3-node clustered appliances (Ops/NSX/Automation) + sized MS workers. | DES-PNP: Confirm absolute vCPU/RAM/Disk from Planning &amp; Preparation workbook Management Domain Sizing tab.</t>
  </si>
  <si>
    <t>DES-NSX-SIMPLE; DES-FLEET-SIMPLE; DES-PNP</t>
  </si>
  <si>
    <t>VCF-NSX-LM-REQD-CFG-001;VCF-NSX-LM-REQD-CFG-005</t>
  </si>
  <si>
    <t>DES-NSX-SIMPLE</t>
  </si>
  <si>
    <t>DES-NSX-SIMPLE: Simple NSX: 1√ó Medium manager (not a 3-node cluster). | DES-FLEET-SIMPLE: Fleet Simple footprint: prefer single-node appliances where model allows (lab/PoC/minimal). | DES-PNP: Confirm absolute vCPU/RAM/Disk from Planning &amp; Preparation workbook Management Domain Sizing tab.</t>
  </si>
  <si>
    <t>DES-VC-HA; DES-FLEET-HA; DES-PNP</t>
  </si>
  <si>
    <t>VCF-VC-REQD-CFG-001;VCF-VC-REQD-CFG-003;VCF-VC-REQD-CFG-005</t>
  </si>
  <si>
    <t>DES-VC-HA</t>
  </si>
  <si>
    <t>DES-VC-HA: vCenter Medium/Large per Fleet sizing; single VC appliance (availability via vSphere HA, not a 3-node VC cluster). | DES-FLEET-HA: Fleet HA footprint: typically 3-node clustered appliances (Ops/NSX/Automation) + sized MS workers. | DES-PNP: Confirm absolute vCPU/RAM/Disk from Planning &amp; Preparation workbook Management Domain Sizing tab.</t>
  </si>
  <si>
    <t>DES-VC-SIMPLE; DES-FLEET-SIMPLE; DES-PNP</t>
  </si>
  <si>
    <t>DES-VC-SIMPLE</t>
  </si>
  <si>
    <t>DES-VC-SIMPLE: Simple vCenter: Small appliance class per Fleet Simple model. | DES-FLEET-SIMPLE: Fleet Simple footprint: prefer single-node appliances where model allows (lab/PoC/minimal). | DES-PNP: Confirm absolute vCPU/RAM/Disk from Planning &amp; Preparation workbook Management Domain Sizing tab.</t>
  </si>
  <si>
    <t>DES-MS-HOSTED; VCF-MS-REQD-COM-001; VCF-MS-REQD-HA-001</t>
  </si>
  <si>
    <t>VCF-MS-REQD-COM-001</t>
  </si>
  <si>
    <t>DES-MS-HOSTED: Runs as a workload on the VCF services runtime; inherits Simple vs HA from the runtime model (SIM-001 / HA-001 on control+worker rows). | VCF-MS-REQD-COM-001: Allocate IP range for all planned control + worker nodes (day-N scale-out consumes more). | VCF-MS-REQD-HA-001: HA MS: deploy 3 control-plane nodes + workers for chosen size (Medium/Large); higher resource cost.</t>
  </si>
  <si>
    <t>https://techdocs.broadcom.com/us/en/vmware-cis/vcf/vcf-9-0-and-later/9-1/design/vmware-cloud-foundation-concepts/vcf-management-services-models.html</t>
  </si>
  <si>
    <t>DES-MS-HOSTED; VCF-MS-REQD-COM-001; VCF-MS-REQD-SIM-001</t>
  </si>
  <si>
    <t>DES-MS-HOSTED: Runs as a workload on the VCF services runtime; inherits Simple vs HA from the runtime model (SIM-001 / HA-001 on control+worker rows). | VCF-MS-REQD-COM-001: Allocate IP range for all planned control + worker nodes (day-N scale-out consumes more). | VCF-MS-REQD-SIM-001: Simple MS: deploy 1 control-plane + 3 workers in default mgmt cluster; CP loss ‚áí redeploy/restore.</t>
  </si>
  <si>
    <t>DES-LICENSE; DES-PNP</t>
  </si>
  <si>
    <t>VCF-LIC-REQD-CFG-001;VCF-LIC-RCMD-CFG-002</t>
  </si>
  <si>
    <t>DES-LICENSE</t>
  </si>
  <si>
    <t>DES-LICENSE: License Server: 1√ó Default in both Simple and HA Fleet models. | DES-PNP: Confirm absolute vCPU/RAM/Disk from Planning &amp; Preparation workbook Management Domain Sizing tab.</t>
  </si>
  <si>
    <t>DES-MS-HOSTED; VCF-MS-REQD-COM-001; VCF-MS-REQD-HA-001; DES-OPTIONAL-DAYN</t>
  </si>
  <si>
    <t>DES-MS-HOSTED: Runs as a workload on the VCF services runtime; inherits Simple vs HA from the runtime model (SIM-001 / HA-001 on control+worker rows). | VCF-MS-REQD-COM-001: Allocate IP range for all planned control + worker nodes (day-N scale-out consumes more). | VCF-MS-REQD-HA-001: HA MS: deploy 3 control-plane nodes + workers for chosen size (Medium/Large); higher resource cost. | DES-OPTIONAL-DAYN: Optional/day-N component ‚Äî enable only when design needs it; may add MS worker capacity.</t>
  </si>
  <si>
    <t>DES-PNP; DES-FLEET-HA</t>
  </si>
  <si>
    <t>DES-PNP: Confirm absolute vCPU/RAM/Disk from Planning &amp; Preparation workbook Management Domain Sizing tab. | DES-FLEET-HA: Fleet HA footprint: typically 3-node clustered appliances (Ops/NSX/Automation) + sized MS workers.</t>
  </si>
  <si>
    <t>DES-PNP; DES-FLEET-SIMPLE</t>
  </si>
  <si>
    <t>DES-PNP: Confirm absolute vCPU/RAM/Disk from Planning &amp; Preparation workbook Management Domain Sizing tab. | DES-FLEET-SIMPLE: Fleet Simple footprint: prefer single-node appliances where model allows (lab/PoC/minimal).</t>
  </si>
  <si>
    <t>DES-MS-HOSTED; VCF-MS-REQD-COM-001; VCF-MS-REQD-SIM-001; DES-OPTIONAL-DAYN</t>
  </si>
  <si>
    <t>DES-MS-HOSTED: Runs as a workload on the VCF services runtime; inherits Simple vs HA from the runtime model (SIM-001 / HA-001 on control+worker rows). | VCF-MS-REQD-COM-001: Allocate IP range for all planned control + worker nodes (day-N scale-out consumes more). | VCF-MS-REQD-SIM-001: Simple MS: deploy 1 control-plane + 3 workers in default mgmt cluster; CP loss ‚áí redeploy/restore. | DES-OPTIONAL-DAYN: Optional/day-N component ‚Äî enable only when design needs it; may add MS worker capacity.</t>
  </si>
  <si>
    <t>DES-SDDC; DES-PNP</t>
  </si>
  <si>
    <t>VCF-SDDCMGR-REQD-CFG-001;VCF-SDDCMGR-REQD-CFG-005</t>
  </si>
  <si>
    <t>DES-SDDC</t>
  </si>
  <si>
    <t>DES-SDDC: SDDC Manager: 1√ó Default in both Simple and HA Fleet models. | DES-PNP: Confirm absolute vCPU/RAM/Disk from Planning &amp; Preparation workbook Management Domain Sizing tab.</t>
  </si>
  <si>
    <t>DES-PNP; DES-FLEET-SIMPLE; DES-OPTIONAL-DAYN</t>
  </si>
  <si>
    <t>DES-PNP: Confirm absolute vCPU/RAM/Disk from Planning &amp; Preparation workbook Management Domain Sizing tab. | DES-FLEET-SIMPLE: Fleet Simple footprint: prefer single-node appliances where model allows (lab/PoC/minimal). | DES-OPTIONAL-DAYN: Optional/day-N component ‚Äî enable only when design needs it; may add MS worker capacity.</t>
  </si>
  <si>
    <t>VCF-MS-REQD-COM-001; VCF-MS-REQD-COM-002; VCF-MS-REQD-COM-003; VCF-MS-REQD-HA-001</t>
  </si>
  <si>
    <t>VCF-CLS-REQD-CFG-001;VCF-CLS-REQD-CFG-002</t>
  </si>
  <si>
    <t>VCF-MS-REQD-COM-001: Allocate IP range for all planned control + worker nodes (day-N scale-out consumes more). | VCF-MS-REQD-COM-002: CAPV anti-affinity: MS nodes on different ESX hosts (DRS rules not required). | VCF-MS-REQD-COM-003: Protect MS nodes with vSphere HA (restart on host failure). | VCF-MS-REQD-HA-001: HA MS: deploy 3 control-plane nodes + workers for chosen size (Medium/Large); higher resource cost.</t>
  </si>
  <si>
    <t>https://techdocs.broadcom.com/us/en/vmware-cis/vcf/vcf-9-0-and-later/9-1/design/design-library/vcf-management-services-availabilty-detailed-design/vcf-management-services-high-availability-deployment-model.html</t>
  </si>
  <si>
    <t>VCF-MS-REQD-COM-001; VCF-MS-REQD-COM-002; VCF-MS-REQD-COM-003; VCF-MS-REQD-SIM-001</t>
  </si>
  <si>
    <t>VCF-MS-REQD-COM-001: Allocate IP range for all planned control + worker nodes (day-N scale-out consumes more). | VCF-MS-REQD-COM-002: CAPV anti-affinity: MS nodes on different ESX hosts (DRS rules not required). | VCF-MS-REQD-COM-003: Protect MS nodes with vSphere HA (restart on host failure). | VCF-MS-REQD-SIM-001: Simple MS: deploy 1 control-plane + 3 workers in default mgmt cluster; CP loss ‚áí redeploy/restore.</t>
  </si>
  <si>
    <t>https://techdocs.broadcom.com/us/en/vmware-cis/vcf/vcf-9-0-and-later/9-1/design/design-library/vcf-management-services-availabilty-detailed-design/vcf-management-services-simple-deployment-model.html</t>
  </si>
  <si>
    <t>VCF-NSX-LM-REQD-CFG-003;VCF-NSX-LM-REQD-CFG-004;VCF-NSX-LM-REQD-CFG-005</t>
  </si>
  <si>
    <t>VCF-VC-REQD-CFG-002;VCF-VC-REQD-CFG-005</t>
  </si>
  <si>
    <t>MS IP Range</t>
  </si>
  <si>
    <t>Allocate a sufficient IP range for the required number of control plane and worker nodes for your chosen MS deployment type.</t>
  </si>
  <si>
    <t>Required for initial deployment; day-N services may auto-scale workers.</t>
  </si>
  <si>
    <t>DEC-AVAIL-002; DEC-FLEET-001</t>
  </si>
  <si>
    <t>NEW_TECHDOCS</t>
  </si>
  <si>
    <t>Imported from Broadcom MS detailed design common requirements.</t>
  </si>
  <si>
    <t>VCF-MS-REQD-COM-002</t>
  </si>
  <si>
    <t>MS CAPV Anti-Affinity</t>
  </si>
  <si>
    <t>Use Kubernetes Cluster API Provider vSphere (CAPV) node anti-affinity so MS nodes run on different ESX hosts.</t>
  </si>
  <si>
    <t>Prevents MS nodes co-locating on one host and risking cluster HA.</t>
  </si>
  <si>
    <t>TechDocs MS common requirement.</t>
  </si>
  <si>
    <t>VCF-MS-REQD-COM-003</t>
  </si>
  <si>
    <t>MS vSphere HA Protection</t>
  </si>
  <si>
    <t>Protect VCF management services nodes by using vSphere HA.</t>
  </si>
  <si>
    <t>Restarts MS nodes on host failure without manual intervention.</t>
  </si>
  <si>
    <t>VCF-MS-REQD-SIM-001</t>
  </si>
  <si>
    <t>Simple MS Topology</t>
  </si>
  <si>
    <t>availabilityModel=SIMPLE</t>
  </si>
  <si>
    <t>Deploy VCF management services with a single control plane node and three worker nodes in the default management vSphere cluster.</t>
  </si>
  <si>
    <t>Supports simple/PoC footprint; scale-out to HA model is supported.</t>
  </si>
  <si>
    <t>VCF-MS-REQD-HA-001</t>
  </si>
  <si>
    <t>HA MS Topology</t>
  </si>
  <si>
    <t>availabilityModel=HA</t>
  </si>
  <si>
    <t>Deploy VCF management services in high availability mode with three (3) control plane nodes and the corresponding number of worker nodes in the default management vSphere cluster.</t>
  </si>
  <si>
    <t>Supports HA objective; requires additional resources.</t>
  </si>
  <si>
    <t>Simple Automation Topology</t>
  </si>
  <si>
    <t>Deploy VCF Automation as a single node in the default management domain vSphere cluster.</t>
  </si>
  <si>
    <t>Supports simple deployment; can scale out to HA.</t>
  </si>
  <si>
    <t>DEC-AUTO-001; DEC-AVAIL-002</t>
  </si>
  <si>
    <t>Complements CFG-002 which currently ALWAYS forces 3-node HA.</t>
  </si>
  <si>
    <t>VCF-AUTO-REQD-SIM-002</t>
  </si>
  <si>
    <t>Simple Automation vSphere HA</t>
  </si>
  <si>
    <t>Protect the VCF Automation node using vSphere HA.</t>
  </si>
  <si>
    <t>Host-failure recovery without app-level clustering.</t>
  </si>
  <si>
    <t>TechDocs VCF-AUTO-REQD-SIM-002.</t>
  </si>
  <si>
    <t>HA Automation Topology (TechDocs)</t>
  </si>
  <si>
    <t>Pairs with existing VCF-AUTO-REQD-CFG-002; prefer gating both on availabilityModel=HA.</t>
  </si>
  <si>
    <t>VCF-OPS-REQD-SIM-001</t>
  </si>
  <si>
    <t>Simple Operations Topology</t>
  </si>
  <si>
    <t>Deploy VCF Operations as a single node in the default management vSphere cluster.</t>
  </si>
  <si>
    <t>Simple footprint; no application-level HA.</t>
  </si>
  <si>
    <t>Missing Simple Ops path in Funnel.</t>
  </si>
  <si>
    <t>Ops Fleet Mgmt on MS</t>
  </si>
  <si>
    <t>Deploy the fleet management component in the VCF management services in the default management cluster.</t>
  </si>
  <si>
    <t>Provides lifecycle management for a VCF fleet.</t>
  </si>
  <si>
    <t>DEC-OPS-001; DEC-FLEET-001</t>
  </si>
  <si>
    <t>TechDocs Ops common requirement.</t>
  </si>
  <si>
    <t>Cloud Proxy in Mgmt Cluster</t>
  </si>
  <si>
    <t>Deploy a single cloud proxy appliance in the default management vSphere cluster.</t>
  </si>
  <si>
    <t>Offloads metric/log collection from analytics nodes.</t>
  </si>
  <si>
    <t>VCF-NSX-LM-REQD-CFG-006</t>
  </si>
  <si>
    <t>Simple NSX Manager (1-node)</t>
  </si>
  <si>
    <t>Deploy a single NSX Manager appliance (Medium) for the management domain when using the Simple deployment model.</t>
  </si>
  <si>
    <t>NEW_SIZING_BRIDGE</t>
  </si>
  <si>
    <t>Counterpart to CFG-002 which ALWAYS requires 3-node HA.</t>
  </si>
  <si>
    <t>TechDocs_or_DES_IDs</t>
  </si>
  <si>
    <t>Bridge_Note</t>
  </si>
  <si>
    <t>DES-AVI-VALIDATE;DES-PNP;DES-OPTIONAL-DAYN</t>
  </si>
  <si>
    <t>Avi controllers in mgmt domain.</t>
  </si>
  <si>
    <t>Optional WLD Avi footprint.</t>
  </si>
  <si>
    <t>No Funnel bridge yet ‚Äî keep DES-PNP / Fleet fallback; extend bridge as needed.</t>
  </si>
  <si>
    <t>DES-SSP-VALIDATE;DES-OPTIONAL-DAYN;DES-PNP</t>
  </si>
  <si>
    <t>VCF-OPS-REQD-COM-003;DES-PNP;DES-PROXY-HA</t>
  </si>
  <si>
    <t>PAT-009 is edge/latency-triggered; keep COM-003 as TechDocs deploy rule.</t>
  </si>
  <si>
    <t>VCF-OPS-REQD-COM-003;DES-PNP;DES-PROXY-SIMPLE</t>
  </si>
  <si>
    <t>VCF-AUTO-REQD-HA-001;DES-PNP</t>
  </si>
  <si>
    <t>CFG-002 is HA-only ‚Äî change Trigger from ALWAYS ‚Üí availabilityModel=HA. CFG-009 Large is production HA bias.</t>
  </si>
  <si>
    <t>VCF-AUTO-REQD-SIM-001;VCF-AUTO-REQD-SIM-002;DES-PNP</t>
  </si>
  <si>
    <t>VCF-OPS-REQD-COM-001;DES-PNP;DES-FLEET-HA</t>
  </si>
  <si>
    <t>Add Ops SIM TechDocs ID; map HA to existing OPS CFG sizing/placement IDs.</t>
  </si>
  <si>
    <t>VCF-OPS-REQD-COM-001;DES-PNP;VCF-OPS-REQD-SIM-001;DES-FLEET-SIMPLE</t>
  </si>
  <si>
    <t>DES-PNP;DES-FLEET-HA;DES-OPTIONAL-DAYN</t>
  </si>
  <si>
    <t>DES-NSX-HA;DES-FLEET-HA;DES-PNP</t>
  </si>
  <si>
    <t>CFG-002 says ALWAYS 3-node ‚Äî gate with availabilityModel=HA. Add/adjust Simple (1-node) requirement.</t>
  </si>
  <si>
    <t>DES-NSX-SIMPLE;DES-FLEET-SIMPLE;DES-PNP</t>
  </si>
  <si>
    <t>DES-VC-HA;DES-FLEET-HA;DES-PNP</t>
  </si>
  <si>
    <t>vCenter stays 1 appliance; CFG-003 = vSphere HA not VCHA. Size via CFG-005.</t>
  </si>
  <si>
    <t>DES-VC-SIMPLE;DES-FLEET-SIMPLE;DES-PNP</t>
  </si>
  <si>
    <t>DES-MS-HOSTED;VCF-MS-REQD-COM-001;VCF-MS-REQD-HA-001</t>
  </si>
  <si>
    <t>Hosted on MS runtime; Auto CFG-004 covers integration.</t>
  </si>
  <si>
    <t>DES-MS-HOSTED;VCF-MS-REQD-COM-001;VCF-MS-REQD-SIM-001</t>
  </si>
  <si>
    <t>DES-LICENSE;DES-PNP</t>
  </si>
  <si>
    <t>Map to LIC bundle IDs if present.</t>
  </si>
  <si>
    <t>DES-MS-HOSTED;VCF-MS-REQD-COM-001;VCF-MS-REQD-HA-001;DES-OPTIONAL-DAYN</t>
  </si>
  <si>
    <t>DES-PNP;DES-FLEET-HA</t>
  </si>
  <si>
    <t>DES-PNP;DES-FLEET-SIMPLE</t>
  </si>
  <si>
    <t>DES-MS-HOSTED;VCF-MS-REQD-COM-001;VCF-MS-REQD-SIM-001;DES-OPTIONAL-DAYN</t>
  </si>
  <si>
    <t>DES-SDDC;DES-PNP</t>
  </si>
  <si>
    <t>CFG-005: do not alter default SDDC Manager size ‚Äî matches Base footprint.</t>
  </si>
  <si>
    <t>DES-PNP;DES-FLEET-SIMPLE;DES-OPTIONAL-DAYN</t>
  </si>
  <si>
    <t>VCF-MS-REQD-COM-001;VCF-MS-REQD-COM-002;VCF-MS-REQD-COM-003;VCF-MS-REQD-HA-001</t>
  </si>
  <si>
    <t>No MS runtime IDs in Funnel today ‚Äî add TechDocs SIM/HA rows. Host count still via VCF-CLS-REQD-CFG-001.</t>
  </si>
  <si>
    <t>VCF-MS-REQD-COM-001;VCF-MS-REQD-COM-002;VCF-MS-REQD-COM-003;VCF-MS-REQD-SIM-001</t>
  </si>
  <si>
    <t>Same MS TechDocs IDs as control plane (paired topology).</t>
  </si>
  <si>
    <t>VI NSX cluster IDs assume dedicated WLD; still HA-oriented.</t>
  </si>
  <si>
    <t>Only when VI WLD exists (DEC-ARCH-002).</t>
  </si>
  <si>
    <t>availabilityModel=HA; productionSizing=true</t>
  </si>
  <si>
    <t>TechDocs VCF-MS-REQD-SIM-001 ‚Äö√Ñ√Æ missing from Funnel; gates Simple sizing rows.</t>
  </si>
  <si>
    <t>TechDocs VCF-MS-REQD-HA-001 ‚Äö√Ñ√Æ missing from Funnel; gates HA sizing rows.</t>
  </si>
  <si>
    <t>Deploy VCF Automation as a three node cluster.</t>
  </si>
  <si>
    <t>Supports high availability objectives.</t>
  </si>
  <si>
    <t>https://techdocs.broadcom.com/us/en/vmware-cis/vcf/vcf-9-0-and-later/9-1/design/design-library/vcf-operations-design/vcf-operations-ha-model.html</t>
  </si>
  <si>
    <t>Matches Fleet Simple sizing (1‚àö√≥ Medium NSX); not a 3-node cluster.</t>
  </si>
  <si>
    <t>VCF-OPS-REQD-COM-002</t>
  </si>
  <si>
    <t>Fleet Mgmt Inherits MS Protection</t>
  </si>
  <si>
    <t>Protect through the fleet management VCF management services configuration.</t>
  </si>
  <si>
    <t>Ensures availability of fleet management by inheriting MS protection without manual intervention during ESX host failure.</t>
  </si>
  <si>
    <t>Imported from Broadcom TechDocs design requirement tables.</t>
  </si>
  <si>
    <t>VCF-OPS-REQD-COM-004</t>
  </si>
  <si>
    <t>Cloud Proxy vSphere HA</t>
  </si>
  <si>
    <t>Protect cloud proxy appliance by using vSphere HA.</t>
  </si>
  <si>
    <t>Ensures availability of cloud proxy without manual intervention during ESX host failure.</t>
  </si>
  <si>
    <t>VCF-OPS-REQD-HA-001</t>
  </si>
  <si>
    <t>HA Operations 3-Node Cluster</t>
  </si>
  <si>
    <t>Deploy VCF Operations as a cluster of three nodes in the default management vSphere cluster.</t>
  </si>
  <si>
    <t>Supports HA objectives; provides capacity within monitoring scale limits; supports scale-out with additional data nodes.</t>
  </si>
  <si>
    <t>VCF-OPS-REQD-HA-002</t>
  </si>
  <si>
    <t>HA Unified Ops Collector</t>
  </si>
  <si>
    <t>Deploy a single Unified VCF Operations collector node in the default management vSphere cluster.</t>
  </si>
  <si>
    <t>Removes collection load from the Ops analytics cluster for local-instance applications.</t>
  </si>
  <si>
    <t>VCF-OPS-REQD-HA-003</t>
  </si>
  <si>
    <t>Ops Cluster DRS Anti-Affinity</t>
  </si>
  <si>
    <t>Apply a vSphere DRS anti-affinity rule to the VCF Operations cluster nodes.</t>
  </si>
  <si>
    <t>Prevents Ops cluster nodes from running on the same ESX host.</t>
  </si>
  <si>
    <t>Implies &gt;=4 hosts in default management cluster for HA Ops + maintenance mode.</t>
  </si>
  <si>
    <t>VCF-OPS-REQD-HA-004</t>
  </si>
  <si>
    <t>Ops Cluster Certificate SANs</t>
  </si>
  <si>
    <t>The certificate for VCF Operations must include the FQDNs for all cluster nodes in the SAN attribute (collector FQDNs not required).</t>
  </si>
  <si>
    <t>Ensures encrypted UI/API and cross-component communication.</t>
  </si>
  <si>
    <t>DEC-OPS-001; DEC-ID-002</t>
  </si>
  <si>
    <t>VCF-OPS-REQD-HA-005</t>
  </si>
  <si>
    <t>Ops External LB Certificate SAN</t>
  </si>
  <si>
    <t>availabilityModel=HA; opsExternalLB=true</t>
  </si>
  <si>
    <t>If using an optional external load balancer, the Ops certificate must also include the load balancer FQDN in the SAN attribute.</t>
  </si>
  <si>
    <t>Keeps UI/API encryption intact when fronting HA Ops with an external LB.</t>
  </si>
  <si>
    <t>DEC-OPS-001; DEC-ID-002; DEC-NET-004</t>
  </si>
  <si>
    <t>VCF-OPS-RCMD-HA-001</t>
  </si>
  <si>
    <t>Ops External Load Balancer</t>
  </si>
  <si>
    <t>Deploy VCF Operations with an external load balancer to load balance connections across cluster nodes.</t>
  </si>
  <si>
    <t>Required for distributed UI access across HA Ops members.</t>
  </si>
  <si>
    <t>DEC-OPS-001; DEC-NET-004</t>
  </si>
  <si>
    <t>VCF-OPS-RCMD-HA-002</t>
  </si>
  <si>
    <t>Per-Instance Collector Group</t>
  </si>
  <si>
    <t>Create a collector group in VCF Operations for each VCF Instance and assign the default collector appliance.</t>
  </si>
  <si>
    <t>Increases availability of metric collection across collectors in the group.</t>
  </si>
  <si>
    <t>VCF-OPS-RCMD-HA-003</t>
  </si>
  <si>
    <t>Additional Ops Collector Node</t>
  </si>
  <si>
    <t>Deploy an additional VCF Operations collector node in the default management vSphere cluster.</t>
  </si>
  <si>
    <t>Extends collector availability by balancing load when added to a collector group.</t>
  </si>
  <si>
    <t>Affects Placement payload when collector HA is in scope.</t>
  </si>
  <si>
    <t>VCF-OPS-RCMD-HA-004</t>
  </si>
  <si>
    <t>Collector DRS Anti-Affinity</t>
  </si>
  <si>
    <t>Apply a vSphere DRS anti-affinity rule to the VCF Operations collector nodes.</t>
  </si>
  <si>
    <t>Prevents collectors co-locating on one ESX host.</t>
  </si>
  <si>
    <t>VCF-OPS-RCMD-HA-005</t>
  </si>
  <si>
    <t>Adapter Uses Collector Group</t>
  </si>
  <si>
    <t>Reconfigure the default VMware Cloud Foundation Adapter in VCF Operations to use a local-instance collector group.</t>
  </si>
  <si>
    <t>Increases availability of metric collection.</t>
  </si>
  <si>
    <t>VCF-OPS-RECD-COM-001</t>
  </si>
  <si>
    <t>Cloud Proxy Data Persistence</t>
  </si>
  <si>
    <t>Enable data persistence on each cloud proxy appliance.</t>
  </si>
  <si>
    <t>Stores data during connectivity issues.</t>
  </si>
  <si>
    <t>VCF-OPS-RECD-COM-006</t>
  </si>
  <si>
    <t>Deploy Real-time Metrics</t>
  </si>
  <si>
    <t>Deploy real-time metrics in each VCF Instance.</t>
  </si>
  <si>
    <t>Enables real-time data in the observability workbench for selected inventory objects.</t>
  </si>
  <si>
    <t>Ties to VCF Sizing Real-time Metrics rows / MS worker scale-out.</t>
  </si>
  <si>
    <t>VCF-AUTO-REQD-HA-003</t>
  </si>
  <si>
    <t>HA Automation vSphere HA</t>
  </si>
  <si>
    <t>Protect all VCF Automation nodes using vSphere HA.</t>
  </si>
  <si>
    <t>Ensures availability without manual intervention during ESX host failure.</t>
  </si>
  <si>
    <t>DES-FLEET-PNP</t>
  </si>
  <si>
    <t>Confirm Footprint via P&amp;P Workbook</t>
  </si>
  <si>
    <t>Confirm absolute vCPU/RAM/Disk from the Planning and Preparation workbook Management Domain Sizing tab for the chosen Fleet Simple/HA model.</t>
  </si>
  <si>
    <t>TechDocs Fleet sizing models list topology; numeric footprints come from the workbook.</t>
  </si>
  <si>
    <t>Promoted from sizing bridge DES-PNP so Design ID tab can own Source URLs.</t>
  </si>
  <si>
    <t>DES-MS-HOSTED</t>
  </si>
  <si>
    <t>MS-Hosted Component Inherits Topology</t>
  </si>
  <si>
    <t>Treat Identity Broker, Real-time Metrics, Log Management, and Software Depot as workloads hosted on VCF services runtime; inherit Simple vs HA from MS topology (SIM-001 / HA-001).</t>
  </si>
  <si>
    <t>Avoids duplicating CP/worker topology rules onto every hosted service row.</t>
  </si>
  <si>
    <t>DEC-FLEET-001; DEC-AVAIL-002</t>
  </si>
  <si>
    <t>Source Match</t>
  </si>
  <si>
    <t>https://techdocs.broadcom.com/us/en/vmware-cis/vcf/vcf-9-0-and-later/9-1/design/design-library/private-ai-platform-detailed-design.html</t>
  </si>
  <si>
    <t>prefix:VCF-PAI-</t>
  </si>
  <si>
    <t>https://techdocs.broadcom.com/us/en/vmware-cis/vcf/vcf-9-0-and-later/9-1/design/design-library/vcf-automation-deployment-models-9-x.html</t>
  </si>
  <si>
    <t>prefix:VCF-AUTO-</t>
  </si>
  <si>
    <t>https://techdocs.broadcom.com/us/en/vmware-cis/vcf/vcf-9-0-and-later/9-1/design/design-library/external-services-design.html</t>
  </si>
  <si>
    <t>title-hint</t>
  </si>
  <si>
    <t>https://techdocs.broadcom.com/us/en/vmware-cis/vcf/vcf-9-0-and-later/9-1/design/design-library/workload-domain-deployment-models/management-domain-deployment-model.html</t>
  </si>
  <si>
    <t>exact-id</t>
  </si>
  <si>
    <t>https://techdocs.broadcom.com/us/en/vmware-cis/vcf/vcf-9-0-and-later/9-1/design/design-library/workload-domain-deployment-models/workload-domain-deployment-model.html</t>
  </si>
  <si>
    <t>https://techdocs.broadcom.com/us/en/vmware-cis/vcf/vcf-9-0-and-later/9-1/design/design-library/workload-domain-deployment-models.html</t>
  </si>
  <si>
    <t>prefix:VCF-WLD-</t>
  </si>
  <si>
    <t>prefix:VCF-SDDCMGR-</t>
  </si>
  <si>
    <t>https://techdocs.broadcom.com/us/en/vmware-cis/vcf/vcf-9-0-and-later/9-1/design/design-blueprints-for/security-modernization/vcf-backup-and-restore.html</t>
  </si>
  <si>
    <t>https://techdocs.broadcom.com/us/en/vmware-cis/vcf/vcf-9-0-and-later/9-1/design/design-library/vsphere-detailed-design/vcenter-design.html</t>
  </si>
  <si>
    <t>prefix:VCF-VC-</t>
  </si>
  <si>
    <t>https://techdocs.broadcom.com/us/en/vmware-cis/vcf/vcf-9-0-and-later/9-1/design/design-library/cluster-models.html</t>
  </si>
  <si>
    <t>prefix:VCF-CLS-</t>
  </si>
  <si>
    <t>https://techdocs.broadcom.com/us/en/vmware-cis/vcf/vcf-9-0-and-later/9-1/design/design-library/network-designs.html</t>
  </si>
  <si>
    <t>prefix:VCF-NET-</t>
  </si>
  <si>
    <t>https://techdocs.broadcom.com/us/en/vmware-cis/vcf/vcf-9-0-and-later/9-1/workload-mobility/getting-started-with-vmware-hcx-vcf-9-0/introduction-to-hcx-site-manager-deployments/hcx-connector-and-hcx-cloud-sites.html</t>
  </si>
  <si>
    <t>prefix:VCF-HCX-</t>
  </si>
  <si>
    <t>https://techdocs.broadcom.com/us/en/vmware-cis/vcf/vcf-9-0-and-later/9-1/design/design-library/single-sign-on-models.html</t>
  </si>
  <si>
    <t>prefix:VCF-BKP-</t>
  </si>
  <si>
    <t>https://techdocs.broadcom.com/us/en/vmware-cis/vcf/vcf-9-0-and-later/9-1/design/design-blueprints-for/security-modernization/vcf-disaster-recovery.html</t>
  </si>
  <si>
    <t>prefix:VCF-VLR-</t>
  </si>
  <si>
    <t>https://techdocs.broadcom.com/us/en/vmware-cis/vcf/vcf-9-0-and-later/9-1/design/design-library/vcf-edge-options-and-patterns-9-x/design-options-with-vcf-edge-full-stack/vcf-edge-centrally-managed-edge-compute-clusters.html</t>
  </si>
  <si>
    <t>https://techdocs.broadcom.com/us/en/vmware-cis/vcf/vcf-9-0-and-later/9-1/design/design-library/vcf-edge-options-and-patterns-9-x/design-options-with-vcf-edge-full-stack/vcf-edge-segregated-deployment-across-multi-region-domains.html</t>
  </si>
  <si>
    <t>https://techdocs.broadcom.com/us/en/vmware-cis/vcf/vcf-9-0-and-later/9-1/design/design-library/vcf-edge-options-and-patterns-9-x/design-options-with-vcf-edge-full-stack/vcf-edge-locally-managed-edge.html</t>
  </si>
  <si>
    <t>https://techdocs.broadcom.com/us/en/vmware-cis/vcf/vcf-9-0-and-later/9-1/design/design-library/vcf-edge-options-and-patterns-9-x/design-options-with-vcf-edge-full-stack/vcf-edge-pattern-multi-region-fleet-distributed-edge.html</t>
  </si>
  <si>
    <t>https://techdocs.broadcom.com/us/en/vmware-cis/vcf/vcf-9-0-and-later/9-1/design/design-library/vcf-edge-options-and-patterns-9-x/design-options-with-vcf-edge-full-stack/vcf-edge-dark-site.html</t>
  </si>
  <si>
    <t>https://techdocs.broadcom.com/us/en/vmware-cis/vcf/vcf-9-0-and-later/9-1/design/design-library/vcf-edge-options-and-patterns-9-x/design-options-with-vcf-edge-full-stack/vcf-edge-pattern-supervisor-multiple-domains.html</t>
  </si>
  <si>
    <t>https://techdocs.broadcom.com/us/en/vmware-cis/vcf/vcf-9-0-and-later/9-1/design/design-library/vcf-edge-options-and-patterns-9-x/design-options-with-vcf-edge-full-stack/vcf-edge-supervisor-zonal-separation.html</t>
  </si>
  <si>
    <t>https://techdocs.broadcom.com/us/en/vmware-cis/vcf/vcf-9-0-and-later/9-1/design/design-library/vcf-edge-options-and-patterns-9-x/design-options-with-vcf-edge-full-stack/vcf-edge-single-host-vsphere-supervisor.html</t>
  </si>
  <si>
    <t>https://techdocs.broadcom.com/us/en/vmware-cis/vcf/vcf-9-0-and-later/9-1/design/design-library/vcf-edge-options-and-patterns-9-x/design-options-with-vcf-edge-full-stack/vcf-edge-existing-vcf-operations-far-edge-expansion.html</t>
  </si>
  <si>
    <t>https://techdocs.broadcom.com/us/en/vmware-cis/vcf/vcf-9-0-and-later/9-1/design/design-library/vcf-edge-options-and-patterns-9-x/design-options-with-vcf-edge-full-stack/vcf-edge-colocated-vcenter-with-esx-host.html</t>
  </si>
  <si>
    <t>https://techdocs.broadcom.com/us/en/vmware-cis/vcf/vcf-9-0-and-later/9-1/design/design-library/network-designs/vsphere-cluster-network-models.html</t>
  </si>
  <si>
    <t>prefix:VCF-VDS-</t>
  </si>
  <si>
    <t>https://techdocs.broadcom.com/us/en/vmware-cis/vcf/vcf-9-0-and-later/9-1/design/design-library/workload-connectivity-designs.html</t>
  </si>
  <si>
    <t>prefix:VCF-VPC-</t>
  </si>
  <si>
    <t>https://techdocs.broadcom.com/us/en/vmware-cis/vcf/vcf-9-0-and-later/9-1/design/design-library/cluster-models/layer-3-multi-rack-cluster.html</t>
  </si>
  <si>
    <t>https://techdocs.broadcom.com/us/en/vmware-cis/vcf/vcf-9-0-and-later/9-1/design/design-library/vcf-load-balancing-detailed-design.html</t>
  </si>
  <si>
    <t>prefix:VCF-AVI-</t>
  </si>
  <si>
    <t>https://techdocs.broadcom.com/us/en/vmware-cis/vcf/vcf-9-0-and-later/9-1/design/design-library/nsx-management-and-control-plane-detailed-design.html</t>
  </si>
  <si>
    <t>prefix:VCF-NSX-LM-</t>
  </si>
  <si>
    <t>https://techdocs.broadcom.com/us/en/vmware-cis/vcf/vcf-9-0-and-later/9-1/design/design-library/nsx-management-and-control-plane-detailed-design/high-availability-nsx-manager-model.html</t>
  </si>
  <si>
    <t>https://techdocs.broadcom.com/us/en/vmware-cis/vcf/vcf-9-0-and-later/9-1/design/design-library/design-library-nsx-edge-cluster.html</t>
  </si>
  <si>
    <t>prefix:VCF-NSX-EDGE-</t>
  </si>
  <si>
    <t>https://techdocs.broadcom.com/us/en/vmware-cis/vcf/vcf-9-0-and-later/9-1/design/design-library/nsx-management-and-control-plane-detailed-design/high-availability-nsx-global-manager-model.html</t>
  </si>
  <si>
    <t>prefix:VCF-NSX-FED-</t>
  </si>
  <si>
    <t>https://techdocs.broadcom.com/us/en/vmware-cis/vcf/vcf-9-0-and-later/9-1/design/design-library/vcf-operations-design.html</t>
  </si>
  <si>
    <t>prefix:VCF-OPS-</t>
  </si>
  <si>
    <t>https://techdocs.broadcom.com/us/en/vmware-cis/vcf/vcf-9-0-and-later/9-1/design/design-library/vcf-operations-design/vcf-operations-for-logs-deployment-models.html</t>
  </si>
  <si>
    <t>https://techdocs.broadcom.com/us/en/vmware-cis/vcf/vcf-9-0-and-later/9-1/design/design-library/vcf-operations-design/vcf-operations-for-networks-deployment-models.html</t>
  </si>
  <si>
    <t>prefix:VCF-OPS-NET-</t>
  </si>
  <si>
    <t>prefix:VCF-OPS-LOGS-</t>
  </si>
  <si>
    <t>https://techdocs.broadcom.com/us/en/vmware-cis/vcf/vcf-9-0-and-later/9-1/design/design-blueprints-for/security-modernization/vdefend-lateral-security.html</t>
  </si>
  <si>
    <t>prefix:VCF-VDEFEND-</t>
  </si>
  <si>
    <t>https://techdocs.broadcom.com/us/en/vmware-cis/vcf/vcf-9-0-and-later/9-1/design/design-blueprints-for/security-modernization/vcf-ransomware-recovery.html</t>
  </si>
  <si>
    <t>prefix:VCF-RR-</t>
  </si>
  <si>
    <t>https://techdocs.broadcom.com/us/en/vmware-cis/vcf/vcf-9-0-and-later/9-1/design/design-library/vcf-information-security-and-access-design-for-esxi.html</t>
  </si>
  <si>
    <t>prefix:VCF-SEC-</t>
  </si>
  <si>
    <t>https://techdocs.broadcom.com/us/en/vmware-cis/vcf/vcf-9-0-and-later/9-1/design/design-library/self-service-iaas-deployment-models/vsphere-supervisor-control-plane-models.html</t>
  </si>
  <si>
    <t>prefix:VCF-VKS-</t>
  </si>
  <si>
    <t>https://techdocs.broadcom.com/us/en/vmware-cis/vcf/vcf-9-0-and-later/9-1/design/design-library/storage-models-9-x.html</t>
  </si>
  <si>
    <t>prefix:VCF-VSAN-</t>
  </si>
  <si>
    <t>https://techdocs.broadcom.com/us/en/vmware-cis/vcf/vcf-9-0-and-later/9-1/design/design-library/license-server-detailed-design.html</t>
  </si>
  <si>
    <t>prefix:VCF-LIC-</t>
  </si>
  <si>
    <t>prefix:VCF-FLEET-</t>
  </si>
  <si>
    <t>prefix:VCF-COST-</t>
  </si>
  <si>
    <t>preexisting-techdocs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</si>
</sst>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</font>
    <font>
      <sz val="12"/>
      <color rgb="FF000000"/>
      <name val="&quot;Aptos Narrow&quot;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ptos Narrow"/>
    </font>
    <font>
      <b/>
      <sz val="10"/>
      <color rgb="FFFFFFFF"/>
      <name val="Arial"/>
      <family val="2"/>
    </font>
    <font>
      <sz val="12"/>
      <color theme="1"/>
      <name val="Arial"/>
      <family val="2"/>
    </font>
    <font>
      <b/>
      <sz val="28"/>
      <color theme="0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b/>
      <sz val="12"/>
      <color rgb="FF000000"/>
      <name val="Arial"/>
      <family val="2"/>
    </font>
    <font>
      <b/>
      <sz val="14"/>
      <color rgb="FFFFFFFF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b/>
      <sz val="24"/>
      <color theme="0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b/>
      <sz val="12"/>
      <color rgb="FF002439"/>
      <name val="Arial"/>
      <family val="2"/>
    </font>
    <font>
      <b/>
      <sz val="12"/>
      <color rgb="FFFFFFFF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12"/>
      <color theme="10"/>
      <name val="Arial"/>
      <family val="2"/>
    </font>
    <font>
      <b/>
      <sz val="18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Helvetica Neue"/>
      <family val="2"/>
    </font>
    <font>
      <sz val="12"/>
      <color rgb="FF9C0006"/>
      <name val="Arial"/>
      <family val="2"/>
    </font>
    <font>
      <b/>
      <sz val="12"/>
      <color rgb="FF000000"/>
      <name val="Helvetica Neue"/>
      <family val="2"/>
    </font>
    <font>
      <i/>
      <sz val="12"/>
      <color theme="1"/>
      <name val="Arial"/>
      <family val="2"/>
    </font>
    <font>
      <sz val="12"/>
      <color rgb="FF006100"/>
      <name val="Arial"/>
      <family val="2"/>
    </font>
    <font>
      <b/>
      <sz val="24"/>
      <color rgb="FFFFFFFF"/>
      <name val="Arial"/>
      <family val="2"/>
    </font>
    <font>
      <b/>
      <sz val="20"/>
      <color theme="0"/>
      <name val="Arial"/>
      <family val="2"/>
    </font>
    <font>
      <b/>
      <sz val="26"/>
      <color rgb="FFFFFFFF"/>
      <name val="Arial"/>
      <family val="2"/>
    </font>
    <font>
      <b/>
      <sz val="14"/>
      <color theme="0"/>
      <name val="Arial"/>
      <family val="2"/>
    </font>
    <font>
      <b/>
      <sz val="14"/>
      <color theme="10"/>
      <name val="Arial"/>
      <family val="2"/>
    </font>
    <font>
      <b/>
      <sz val="14"/>
      <color theme="0"/>
      <name val="Arial"/>
      <family val="2"/>
    </font>
    <font>
      <sz val="12"/>
      <color rgb="FF548135"/>
      <name val="Arial"/>
      <family val="2"/>
    </font>
    <font>
      <sz val="12"/>
      <color theme="1"/>
      <name val="Helvetica"/>
      <family val="2"/>
    </font>
    <font>
      <i/>
      <sz val="12"/>
      <color rgb="FF000000"/>
      <name val="Arial"/>
      <family val="2"/>
    </font>
    <font>
      <b/>
      <sz val="10"/>
      <color rgb="FF1D4ED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548135"/>
      </patternFill>
    </fill>
    <fill>
      <patternFill patternType="solid">
        <fgColor rgb="FF595959"/>
      </patternFill>
    </fill>
    <fill>
      <patternFill patternType="solid">
        <fgColor theme="4"/>
      </patternFill>
    </fill>
    <fill>
      <patternFill patternType="solid">
        <fgColor rgb="FF9BC2E6"/>
      </patternFill>
    </fill>
    <fill>
      <patternFill patternType="solid">
        <fgColor rgb="FF0E223A"/>
      </patternFill>
    </fill>
    <fill>
      <patternFill patternType="solid">
        <fgColor rgb="FF9CC2E5"/>
      </patternFill>
    </fill>
    <fill>
      <patternFill patternType="solid">
        <fgColor theme="0"/>
      </patternFill>
    </fill>
    <fill>
      <patternFill patternType="solid">
        <fgColor rgb="FF808080"/>
      </patternFill>
    </fill>
    <fill>
      <patternFill patternType="solid">
        <fgColor rgb="FFF2F8F9"/>
      </patternFill>
    </fill>
    <fill>
      <patternFill patternType="solid">
        <fgColor rgb="FFF2F7F9"/>
      </patternFill>
    </fill>
    <fill>
      <patternFill patternType="solid">
        <fgColor rgb="FFEFFDE3"/>
      </patternFill>
    </fill>
    <fill>
      <patternFill patternType="solid">
        <fgColor rgb="FFBFBFBF"/>
      </patternFill>
    </fill>
    <fill>
      <patternFill patternType="solid">
        <fgColor rgb="FFF8CBAD"/>
      </patternFill>
    </fill>
    <fill>
      <patternFill patternType="solid">
        <fgColor rgb="FF002439"/>
      </patternFill>
    </fill>
    <fill>
      <patternFill patternType="solid">
        <fgColor rgb="FFFFFF00"/>
      </patternFill>
    </fill>
    <fill>
      <patternFill patternType="solid">
        <fgColor rgb="FFFFBD29"/>
      </patternFill>
    </fill>
    <fill>
      <patternFill patternType="solid">
        <fgColor theme="8"/>
      </patternFill>
    </fill>
    <fill>
      <patternFill patternType="solid">
        <fgColor rgb="FFA8D08D"/>
      </patternFill>
    </fill>
    <fill>
      <patternFill patternType="solid">
        <fgColor rgb="FF7F7F7F"/>
      </patternFill>
    </fill>
    <fill>
      <patternFill patternType="solid">
        <fgColor rgb="FFE5F7FF"/>
      </patternFill>
    </fill>
    <fill>
      <patternFill patternType="solid">
        <fgColor rgb="FFFFF2CB"/>
      </patternFill>
    </fill>
    <fill>
      <patternFill patternType="solid">
        <fgColor rgb="FFA5A5A5"/>
      </patternFill>
    </fill>
    <fill>
      <patternFill patternType="solid">
        <fgColor rgb="FFE5F8FF"/>
      </patternFill>
    </fill>
    <fill>
      <patternFill patternType="solid">
        <fgColor rgb="FF454545"/>
      </patternFill>
    </fill>
    <fill>
      <patternFill patternType="solid">
        <fgColor rgb="FFFFC7CE"/>
      </patternFill>
    </fill>
    <fill>
      <patternFill patternType="solid">
        <fgColor rgb="FFA6A6A6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334155"/>
      </patternFill>
    </fill>
    <fill>
      <patternFill patternType="solid">
        <fgColor rgb="FF1D4ED8"/>
      </patternFill>
    </fill>
    <fill>
      <patternFill patternType="solid">
        <fgColor rgb="FF047857"/>
      </patternFill>
    </fill>
    <fill>
      <patternFill patternType="solid">
        <fgColor rgb="FF0F172A"/>
      </patternFill>
    </fill>
    <fill>
      <patternFill patternType="solid">
        <fgColor rgb="FF1F2937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70A8"/>
      </left>
      <right style="thin">
        <color rgb="FF0070A8"/>
      </right>
      <top style="thin">
        <color rgb="FF0070A8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70A8"/>
      </left>
      <right style="thin">
        <color rgb="FF0070A8"/>
      </right>
      <top style="thin">
        <color rgb="FF0070A8"/>
      </top>
      <bottom style="thin">
        <color rgb="FF0070A8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2" fillId="6" borderId="6" xfId="0" applyFont="1" applyFill="1" applyBorder="1" applyAlignment="1">
      <alignment horizontal="left" vertical="center" wrapText="1"/>
    </xf>
    <xf numFmtId="0" fontId="14" fillId="8" borderId="6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/>
    <xf numFmtId="0" fontId="12" fillId="6" borderId="15" xfId="0" applyFont="1" applyFill="1" applyBorder="1" applyAlignment="1">
      <alignment horizontal="left" vertical="center" wrapText="1"/>
    </xf>
    <xf numFmtId="0" fontId="12" fillId="9" borderId="18" xfId="0" applyFont="1" applyFill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2" fillId="6" borderId="23" xfId="0" applyFont="1" applyFill="1" applyBorder="1" applyAlignment="1">
      <alignment horizontal="left" vertical="center" wrapText="1"/>
    </xf>
    <xf numFmtId="1" fontId="6" fillId="0" borderId="6" xfId="0" applyNumberFormat="1" applyFont="1" applyBorder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/>
    </xf>
    <xf numFmtId="0" fontId="12" fillId="6" borderId="24" xfId="0" applyFont="1" applyFill="1" applyBorder="1" applyAlignment="1">
      <alignment horizontal="left" vertical="center" wrapText="1"/>
    </xf>
    <xf numFmtId="0" fontId="6" fillId="0" borderId="0" xfId="0" applyFont="1"/>
    <xf numFmtId="0" fontId="14" fillId="0" borderId="0" xfId="0" applyFont="1"/>
    <xf numFmtId="0" fontId="6" fillId="0" borderId="0" xfId="0" applyFont="1" applyAlignment="1">
      <alignment horizontal="left"/>
    </xf>
    <xf numFmtId="0" fontId="14" fillId="0" borderId="6" xfId="0" applyFont="1" applyBorder="1" applyAlignment="1">
      <alignment horizontal="left" vertical="center"/>
    </xf>
    <xf numFmtId="0" fontId="6" fillId="11" borderId="6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12" borderId="6" xfId="0" applyFont="1" applyFill="1" applyBorder="1" applyAlignment="1">
      <alignment horizontal="left" vertical="center" wrapText="1"/>
    </xf>
    <xf numFmtId="0" fontId="6" fillId="12" borderId="6" xfId="0" applyFont="1" applyFill="1" applyBorder="1" applyAlignment="1">
      <alignment horizontal="left" vertical="center"/>
    </xf>
    <xf numFmtId="0" fontId="6" fillId="12" borderId="27" xfId="0" applyFont="1" applyFill="1" applyBorder="1" applyAlignment="1">
      <alignment horizontal="left" vertical="center"/>
    </xf>
    <xf numFmtId="0" fontId="6" fillId="13" borderId="6" xfId="0" applyFont="1" applyFill="1" applyBorder="1" applyAlignment="1">
      <alignment horizontal="left" vertical="center"/>
    </xf>
    <xf numFmtId="0" fontId="6" fillId="14" borderId="6" xfId="0" applyFont="1" applyFill="1" applyBorder="1" applyAlignment="1">
      <alignment horizontal="left" vertical="center"/>
    </xf>
    <xf numFmtId="0" fontId="6" fillId="11" borderId="6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/>
    </xf>
    <xf numFmtId="0" fontId="17" fillId="12" borderId="28" xfId="0" applyFont="1" applyFill="1" applyBorder="1" applyAlignment="1">
      <alignment horizontal="left" vertical="center"/>
    </xf>
    <xf numFmtId="0" fontId="17" fillId="15" borderId="6" xfId="0" applyFont="1" applyFill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7" fillId="12" borderId="29" xfId="0" applyFont="1" applyFill="1" applyBorder="1" applyAlignment="1">
      <alignment horizontal="left" vertical="center"/>
    </xf>
    <xf numFmtId="0" fontId="6" fillId="12" borderId="30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8" fillId="0" borderId="0" xfId="0" applyFont="1"/>
    <xf numFmtId="0" fontId="9" fillId="7" borderId="31" xfId="0" applyFont="1" applyFill="1" applyBorder="1" applyAlignment="1">
      <alignment horizontal="left" vertical="center"/>
    </xf>
    <xf numFmtId="0" fontId="9" fillId="7" borderId="32" xfId="0" applyFont="1" applyFill="1" applyBorder="1" applyAlignment="1">
      <alignment horizontal="left" vertical="center"/>
    </xf>
    <xf numFmtId="0" fontId="9" fillId="16" borderId="31" xfId="0" applyFont="1" applyFill="1" applyBorder="1" applyAlignment="1">
      <alignment horizontal="left" vertical="center"/>
    </xf>
    <xf numFmtId="0" fontId="9" fillId="16" borderId="32" xfId="0" applyFont="1" applyFill="1" applyBorder="1" applyAlignment="1">
      <alignment horizontal="left" vertical="center"/>
    </xf>
    <xf numFmtId="0" fontId="6" fillId="9" borderId="18" xfId="0" applyFont="1" applyFill="1" applyBorder="1" applyAlignment="1">
      <alignment horizontal="left" vertical="center"/>
    </xf>
    <xf numFmtId="0" fontId="9" fillId="10" borderId="6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14" fillId="17" borderId="6" xfId="0" applyFont="1" applyFill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12" fillId="0" borderId="6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 wrapText="1"/>
    </xf>
    <xf numFmtId="0" fontId="17" fillId="18" borderId="6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23" fillId="7" borderId="31" xfId="0" applyFont="1" applyFill="1" applyBorder="1" applyAlignment="1">
      <alignment horizontal="left" vertical="center"/>
    </xf>
    <xf numFmtId="0" fontId="23" fillId="7" borderId="32" xfId="0" applyFont="1" applyFill="1" applyBorder="1" applyAlignment="1">
      <alignment horizontal="left" vertical="center"/>
    </xf>
    <xf numFmtId="0" fontId="23" fillId="10" borderId="23" xfId="0" applyFont="1" applyFill="1" applyBorder="1" applyAlignment="1">
      <alignment horizontal="left" vertical="center" wrapText="1"/>
    </xf>
    <xf numFmtId="0" fontId="23" fillId="10" borderId="29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/>
    </xf>
    <xf numFmtId="0" fontId="6" fillId="9" borderId="18" xfId="0" applyFont="1" applyFill="1" applyBorder="1"/>
    <xf numFmtId="0" fontId="17" fillId="0" borderId="0" xfId="0" applyFont="1" applyAlignment="1">
      <alignment horizontal="left" vertical="center"/>
    </xf>
    <xf numFmtId="0" fontId="6" fillId="0" borderId="6" xfId="0" applyFont="1" applyBorder="1" applyAlignment="1">
      <alignment horizontal="left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0" borderId="0" xfId="0" applyFont="1"/>
    <xf numFmtId="0" fontId="7" fillId="19" borderId="32" xfId="0" applyFont="1" applyFill="1" applyBorder="1" applyAlignment="1">
      <alignment horizontal="left" vertical="center"/>
    </xf>
    <xf numFmtId="0" fontId="11" fillId="16" borderId="6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11" fillId="5" borderId="31" xfId="0" applyFont="1" applyFill="1" applyBorder="1" applyAlignment="1">
      <alignment horizontal="left" vertical="center"/>
    </xf>
    <xf numFmtId="0" fontId="11" fillId="5" borderId="32" xfId="0" applyFont="1" applyFill="1" applyBorder="1" applyAlignment="1">
      <alignment horizontal="left" vertical="center"/>
    </xf>
    <xf numFmtId="0" fontId="14" fillId="20" borderId="6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22" borderId="6" xfId="0" applyFont="1" applyFill="1" applyBorder="1" applyAlignment="1">
      <alignment horizontal="left" vertical="center" wrapText="1"/>
    </xf>
    <xf numFmtId="0" fontId="6" fillId="23" borderId="6" xfId="0" applyFont="1" applyFill="1" applyBorder="1" applyAlignment="1">
      <alignment horizontal="left" vertical="center"/>
    </xf>
    <xf numFmtId="0" fontId="9" fillId="16" borderId="6" xfId="0" applyFont="1" applyFill="1" applyBorder="1" applyAlignment="1">
      <alignment horizontal="left" vertical="center"/>
    </xf>
    <xf numFmtId="0" fontId="6" fillId="11" borderId="6" xfId="0" applyFont="1" applyFill="1" applyBorder="1" applyAlignment="1">
      <alignment horizontal="left"/>
    </xf>
    <xf numFmtId="0" fontId="24" fillId="0" borderId="6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0" fillId="0" borderId="0" xfId="0" applyFont="1"/>
    <xf numFmtId="0" fontId="14" fillId="25" borderId="6" xfId="0" applyFont="1" applyFill="1" applyBorder="1" applyAlignment="1">
      <alignment horizontal="left" vertical="center" wrapText="1"/>
    </xf>
    <xf numFmtId="0" fontId="14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/>
    <xf numFmtId="0" fontId="14" fillId="0" borderId="4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6" fillId="0" borderId="6" xfId="0" applyFont="1" applyBorder="1" applyAlignment="1">
      <alignment horizontal="left" vertical="center"/>
    </xf>
    <xf numFmtId="0" fontId="14" fillId="9" borderId="18" xfId="0" applyFont="1" applyFill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/>
    </xf>
    <xf numFmtId="0" fontId="11" fillId="16" borderId="31" xfId="0" applyFont="1" applyFill="1" applyBorder="1" applyAlignment="1">
      <alignment horizontal="left" vertical="center"/>
    </xf>
    <xf numFmtId="0" fontId="11" fillId="16" borderId="28" xfId="0" applyFont="1" applyFill="1" applyBorder="1" applyAlignment="1">
      <alignment horizontal="left" vertical="center"/>
    </xf>
    <xf numFmtId="0" fontId="26" fillId="0" borderId="0" xfId="0" applyFont="1"/>
    <xf numFmtId="0" fontId="28" fillId="7" borderId="6" xfId="0" applyFont="1" applyFill="1" applyBorder="1" applyAlignment="1">
      <alignment horizontal="left" vertical="center" wrapText="1"/>
    </xf>
    <xf numFmtId="0" fontId="6" fillId="7" borderId="18" xfId="0" applyFont="1" applyFill="1" applyBorder="1"/>
    <xf numFmtId="0" fontId="12" fillId="22" borderId="6" xfId="0" applyFont="1" applyFill="1" applyBorder="1" applyAlignment="1">
      <alignment horizontal="left" vertical="center" wrapText="1"/>
    </xf>
    <xf numFmtId="0" fontId="12" fillId="22" borderId="28" xfId="0" applyFont="1" applyFill="1" applyBorder="1" applyAlignment="1">
      <alignment horizontal="left" vertical="center" wrapText="1"/>
    </xf>
    <xf numFmtId="0" fontId="29" fillId="11" borderId="6" xfId="0" applyFont="1" applyFill="1" applyBorder="1" applyAlignment="1">
      <alignment horizontal="left" vertical="center"/>
    </xf>
    <xf numFmtId="0" fontId="12" fillId="0" borderId="19" xfId="0" applyFont="1" applyBorder="1" applyAlignment="1">
      <alignment horizontal="left"/>
    </xf>
    <xf numFmtId="0" fontId="17" fillId="0" borderId="22" xfId="0" applyFont="1" applyBorder="1" applyAlignment="1">
      <alignment horizontal="left"/>
    </xf>
    <xf numFmtId="0" fontId="6" fillId="0" borderId="36" xfId="0" applyFont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/>
    </xf>
    <xf numFmtId="0" fontId="6" fillId="11" borderId="31" xfId="0" applyFont="1" applyFill="1" applyBorder="1" applyAlignment="1">
      <alignment horizontal="left" vertical="center"/>
    </xf>
    <xf numFmtId="0" fontId="9" fillId="16" borderId="28" xfId="0" applyFont="1" applyFill="1" applyBorder="1" applyAlignment="1">
      <alignment horizontal="left" vertical="center"/>
    </xf>
    <xf numFmtId="0" fontId="6" fillId="11" borderId="18" xfId="0" applyFont="1" applyFill="1" applyBorder="1" applyAlignment="1">
      <alignment horizontal="left" vertical="center"/>
    </xf>
    <xf numFmtId="0" fontId="30" fillId="0" borderId="6" xfId="0" applyFont="1" applyBorder="1" applyAlignment="1">
      <alignment horizontal="left" vertical="center"/>
    </xf>
    <xf numFmtId="0" fontId="17" fillId="11" borderId="6" xfId="0" applyFont="1" applyFill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6" xfId="0" applyFont="1" applyBorder="1" applyAlignment="1">
      <alignment horizontal="left"/>
    </xf>
    <xf numFmtId="0" fontId="14" fillId="0" borderId="19" xfId="0" applyFont="1" applyBorder="1" applyAlignment="1">
      <alignment horizontal="left" vertical="center"/>
    </xf>
    <xf numFmtId="0" fontId="6" fillId="0" borderId="5" xfId="0" applyFont="1" applyBorder="1"/>
    <xf numFmtId="0" fontId="30" fillId="0" borderId="0" xfId="0" applyFont="1" applyAlignment="1">
      <alignment horizontal="left" vertical="center"/>
    </xf>
    <xf numFmtId="0" fontId="11" fillId="16" borderId="32" xfId="0" applyFont="1" applyFill="1" applyBorder="1" applyAlignment="1">
      <alignment horizontal="left" vertical="center"/>
    </xf>
    <xf numFmtId="0" fontId="14" fillId="9" borderId="18" xfId="0" applyFont="1" applyFill="1" applyBorder="1" applyAlignment="1">
      <alignment horizontal="left" vertical="center"/>
    </xf>
    <xf numFmtId="0" fontId="19" fillId="9" borderId="37" xfId="0" applyFont="1" applyFill="1" applyBorder="1" applyAlignment="1">
      <alignment horizontal="left" vertical="center"/>
    </xf>
    <xf numFmtId="0" fontId="9" fillId="9" borderId="18" xfId="0" applyFont="1" applyFill="1" applyBorder="1" applyAlignment="1">
      <alignment horizontal="left" vertical="center"/>
    </xf>
    <xf numFmtId="0" fontId="6" fillId="14" borderId="6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30" fillId="0" borderId="0" xfId="0" applyFont="1"/>
    <xf numFmtId="0" fontId="31" fillId="27" borderId="6" xfId="0" applyFont="1" applyFill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7" fillId="0" borderId="22" xfId="0" applyFont="1" applyBorder="1" applyAlignment="1">
      <alignment horizontal="left" vertical="center"/>
    </xf>
    <xf numFmtId="0" fontId="30" fillId="0" borderId="6" xfId="0" applyFont="1" applyBorder="1" applyAlignment="1">
      <alignment horizontal="left"/>
    </xf>
    <xf numFmtId="0" fontId="17" fillId="12" borderId="6" xfId="0" applyFont="1" applyFill="1" applyBorder="1" applyAlignment="1">
      <alignment horizontal="left" vertical="center"/>
    </xf>
    <xf numFmtId="0" fontId="17" fillId="0" borderId="0" xfId="0" applyFont="1"/>
    <xf numFmtId="0" fontId="17" fillId="0" borderId="22" xfId="0" applyFont="1" applyBorder="1"/>
    <xf numFmtId="0" fontId="32" fillId="0" borderId="19" xfId="0" applyFont="1" applyBorder="1" applyAlignment="1">
      <alignment horizontal="left" vertical="center"/>
    </xf>
    <xf numFmtId="0" fontId="33" fillId="0" borderId="6" xfId="0" applyFont="1" applyBorder="1" applyAlignment="1">
      <alignment horizontal="left" vertical="center"/>
    </xf>
    <xf numFmtId="0" fontId="34" fillId="29" borderId="6" xfId="0" applyFont="1" applyFill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14" fillId="9" borderId="6" xfId="0" applyFont="1" applyFill="1" applyBorder="1" applyAlignment="1">
      <alignment horizontal="left" vertical="center" wrapText="1"/>
    </xf>
    <xf numFmtId="0" fontId="35" fillId="7" borderId="18" xfId="0" applyFont="1" applyFill="1" applyBorder="1" applyAlignment="1">
      <alignment horizontal="left" vertical="center"/>
    </xf>
    <xf numFmtId="0" fontId="23" fillId="4" borderId="18" xfId="0" applyFont="1" applyFill="1" applyBorder="1" applyAlignment="1">
      <alignment horizontal="left" vertical="center"/>
    </xf>
    <xf numFmtId="0" fontId="9" fillId="7" borderId="18" xfId="0" applyFont="1" applyFill="1" applyBorder="1" applyAlignment="1">
      <alignment horizontal="left" vertical="center"/>
    </xf>
    <xf numFmtId="49" fontId="6" fillId="9" borderId="18" xfId="0" applyNumberFormat="1" applyFont="1" applyFill="1" applyBorder="1" applyAlignment="1">
      <alignment horizontal="left" vertical="center"/>
    </xf>
    <xf numFmtId="0" fontId="6" fillId="9" borderId="18" xfId="0" applyFont="1" applyFill="1" applyBorder="1" applyAlignment="1">
      <alignment horizontal="left" vertical="center" wrapText="1"/>
    </xf>
    <xf numFmtId="0" fontId="24" fillId="9" borderId="6" xfId="0" applyFont="1" applyFill="1" applyBorder="1" applyAlignment="1">
      <alignment horizontal="left" vertical="center" wrapText="1"/>
    </xf>
    <xf numFmtId="0" fontId="17" fillId="9" borderId="18" xfId="0" applyFont="1" applyFill="1" applyBorder="1" applyAlignment="1">
      <alignment horizontal="left" vertical="center"/>
    </xf>
    <xf numFmtId="0" fontId="17" fillId="9" borderId="18" xfId="0" applyFont="1" applyFill="1" applyBorder="1"/>
    <xf numFmtId="0" fontId="38" fillId="7" borderId="6" xfId="0" applyFont="1" applyFill="1" applyBorder="1" applyAlignment="1">
      <alignment horizontal="left" vertical="center"/>
    </xf>
    <xf numFmtId="0" fontId="39" fillId="7" borderId="18" xfId="0" applyFont="1" applyFill="1" applyBorder="1" applyAlignment="1">
      <alignment horizontal="left" vertical="center"/>
    </xf>
    <xf numFmtId="0" fontId="13" fillId="7" borderId="18" xfId="0" applyFont="1" applyFill="1" applyBorder="1" applyAlignment="1">
      <alignment horizontal="left" vertical="center" wrapText="1"/>
    </xf>
    <xf numFmtId="0" fontId="13" fillId="9" borderId="18" xfId="0" applyFont="1" applyFill="1" applyBorder="1" applyAlignment="1">
      <alignment horizontal="left" vertical="center" wrapText="1"/>
    </xf>
    <xf numFmtId="49" fontId="17" fillId="9" borderId="18" xfId="0" applyNumberFormat="1" applyFont="1" applyFill="1" applyBorder="1" applyAlignment="1">
      <alignment horizontal="left" vertical="center"/>
    </xf>
    <xf numFmtId="0" fontId="17" fillId="9" borderId="18" xfId="0" applyFont="1" applyFill="1" applyBorder="1" applyAlignment="1">
      <alignment horizontal="left" vertical="center" wrapText="1"/>
    </xf>
    <xf numFmtId="0" fontId="6" fillId="30" borderId="18" xfId="0" applyFont="1" applyFill="1" applyBorder="1" applyAlignment="1">
      <alignment horizontal="left" vertical="center"/>
    </xf>
    <xf numFmtId="0" fontId="15" fillId="9" borderId="18" xfId="0" applyFont="1" applyFill="1" applyBorder="1"/>
    <xf numFmtId="0" fontId="15" fillId="0" borderId="6" xfId="0" applyFont="1" applyBorder="1"/>
    <xf numFmtId="0" fontId="14" fillId="0" borderId="4" xfId="0" applyFont="1" applyBorder="1" applyAlignment="1">
      <alignment horizontal="left" vertical="center"/>
    </xf>
    <xf numFmtId="0" fontId="40" fillId="7" borderId="18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 wrapText="1"/>
    </xf>
    <xf numFmtId="0" fontId="41" fillId="0" borderId="0" xfId="0" applyFont="1" applyAlignment="1">
      <alignment horizontal="left" vertical="center"/>
    </xf>
    <xf numFmtId="0" fontId="9" fillId="4" borderId="18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31" borderId="0" xfId="0" applyFont="1" applyFill="1" applyAlignment="1">
      <alignment vertical="center" wrapText="1"/>
    </xf>
    <xf numFmtId="0" fontId="5" fillId="32" borderId="0" xfId="0" applyFont="1" applyFill="1" applyAlignment="1">
      <alignment vertical="center" wrapText="1"/>
    </xf>
    <xf numFmtId="0" fontId="5" fillId="33" borderId="0" xfId="0" applyFont="1" applyFill="1" applyAlignment="1">
      <alignment vertical="center" wrapText="1"/>
    </xf>
    <xf numFmtId="0" fontId="5" fillId="34" borderId="0" xfId="0" applyFont="1" applyFill="1" applyAlignment="1">
      <alignment vertical="center"/>
    </xf>
    <xf numFmtId="3" fontId="44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5" fillId="35" borderId="0" xfId="0" applyFont="1" applyFill="1" applyAlignment="1">
      <alignment vertical="center" wrapText="1"/>
    </xf>
    <xf numFmtId="49" fontId="0" fillId="0" borderId="0" xfId="0" applyNumberFormat="1" applyAlignment="1">
      <alignment horizontal="right" vertical="top"/>
    </xf>
    <xf numFmtId="0" fontId="0" fillId="0" borderId="0" xfId="0" applyAlignment="1">
      <alignment horizontal="center" vertical="top"/>
    </xf>
    <xf numFmtId="0" fontId="1" fillId="0" borderId="0" xfId="0" applyFont="1"/>
    <xf numFmtId="0" fontId="0" fillId="0" borderId="0" xfId="0"/>
    <xf numFmtId="0" fontId="7" fillId="3" borderId="1" xfId="0" applyFont="1" applyFill="1" applyBorder="1" applyAlignment="1">
      <alignment horizontal="left" vertical="center"/>
    </xf>
    <xf numFmtId="0" fontId="8" fillId="0" borderId="2" xfId="0" applyFont="1" applyBorder="1"/>
    <xf numFmtId="0" fontId="8" fillId="0" borderId="3" xfId="0" applyFont="1" applyBorder="1"/>
    <xf numFmtId="0" fontId="9" fillId="4" borderId="1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left" vertical="center"/>
    </xf>
    <xf numFmtId="0" fontId="8" fillId="0" borderId="5" xfId="0" applyFont="1" applyBorder="1"/>
    <xf numFmtId="0" fontId="13" fillId="7" borderId="4" xfId="0" applyFont="1" applyFill="1" applyBorder="1" applyAlignment="1">
      <alignment horizontal="left" vertical="center"/>
    </xf>
    <xf numFmtId="0" fontId="8" fillId="0" borderId="7" xfId="0" applyFont="1" applyBorder="1"/>
    <xf numFmtId="49" fontId="15" fillId="0" borderId="8" xfId="0" applyNumberFormat="1" applyFont="1" applyBorder="1" applyAlignment="1">
      <alignment horizontal="left" vertical="top" wrapText="1"/>
    </xf>
    <xf numFmtId="0" fontId="8" fillId="0" borderId="12" xfId="0" applyFont="1" applyBorder="1"/>
    <xf numFmtId="0" fontId="8" fillId="0" borderId="19" xfId="0" applyFont="1" applyBorder="1"/>
    <xf numFmtId="0" fontId="15" fillId="0" borderId="9" xfId="0" applyFont="1" applyBorder="1" applyAlignment="1">
      <alignment horizontal="left" vertical="top" wrapText="1"/>
    </xf>
    <xf numFmtId="0" fontId="8" fillId="0" borderId="10" xfId="0" applyFont="1" applyBorder="1"/>
    <xf numFmtId="0" fontId="8" fillId="0" borderId="11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20" xfId="0" applyFont="1" applyBorder="1"/>
    <xf numFmtId="0" fontId="8" fillId="0" borderId="21" xfId="0" applyFont="1" applyBorder="1"/>
    <xf numFmtId="0" fontId="8" fillId="0" borderId="22" xfId="0" applyFont="1" applyBorder="1"/>
    <xf numFmtId="0" fontId="12" fillId="9" borderId="16" xfId="0" applyFont="1" applyFill="1" applyBorder="1" applyAlignment="1">
      <alignment horizontal="left" vertical="center" wrapText="1"/>
    </xf>
    <xf numFmtId="0" fontId="8" fillId="0" borderId="17" xfId="0" applyFont="1" applyBorder="1"/>
    <xf numFmtId="0" fontId="12" fillId="6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2" fillId="6" borderId="25" xfId="0" applyFont="1" applyFill="1" applyBorder="1" applyAlignment="1">
      <alignment horizontal="left" vertical="center" wrapText="1"/>
    </xf>
    <xf numFmtId="0" fontId="8" fillId="0" borderId="26" xfId="0" applyFont="1" applyBorder="1"/>
    <xf numFmtId="0" fontId="17" fillId="0" borderId="4" xfId="0" applyFont="1" applyBorder="1" applyAlignment="1">
      <alignment horizontal="left" vertical="center"/>
    </xf>
    <xf numFmtId="0" fontId="9" fillId="10" borderId="4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0" fontId="19" fillId="16" borderId="1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0" fontId="9" fillId="16" borderId="4" xfId="0" applyFont="1" applyFill="1" applyBorder="1" applyAlignment="1">
      <alignment horizontal="left" vertical="center"/>
    </xf>
    <xf numFmtId="0" fontId="7" fillId="19" borderId="4" xfId="0" applyFont="1" applyFill="1" applyBorder="1" applyAlignment="1">
      <alignment horizontal="left" vertical="center"/>
    </xf>
    <xf numFmtId="0" fontId="7" fillId="3" borderId="25" xfId="0" applyFont="1" applyFill="1" applyBorder="1" applyAlignment="1">
      <alignment horizontal="left" vertical="center"/>
    </xf>
    <xf numFmtId="0" fontId="9" fillId="4" borderId="33" xfId="0" applyFont="1" applyFill="1" applyBorder="1" applyAlignment="1">
      <alignment horizontal="left" vertical="center"/>
    </xf>
    <xf numFmtId="0" fontId="8" fillId="0" borderId="34" xfId="0" applyFont="1" applyBorder="1"/>
    <xf numFmtId="0" fontId="8" fillId="0" borderId="35" xfId="0" applyFont="1" applyBorder="1"/>
    <xf numFmtId="0" fontId="11" fillId="16" borderId="4" xfId="0" applyFont="1" applyFill="1" applyBorder="1" applyAlignment="1">
      <alignment horizontal="left" vertical="center"/>
    </xf>
    <xf numFmtId="0" fontId="9" fillId="10" borderId="4" xfId="0" applyFont="1" applyFill="1" applyBorder="1" applyAlignment="1">
      <alignment horizontal="left" vertical="center" wrapText="1"/>
    </xf>
    <xf numFmtId="0" fontId="11" fillId="5" borderId="33" xfId="0" applyFont="1" applyFill="1" applyBorder="1" applyAlignment="1">
      <alignment horizontal="left" vertical="center"/>
    </xf>
    <xf numFmtId="0" fontId="11" fillId="16" borderId="38" xfId="0" applyFont="1" applyFill="1" applyBorder="1" applyAlignment="1">
      <alignment horizontal="left" vertical="center"/>
    </xf>
    <xf numFmtId="0" fontId="8" fillId="0" borderId="39" xfId="0" applyFont="1" applyBorder="1"/>
    <xf numFmtId="0" fontId="9" fillId="24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21" borderId="4" xfId="0" applyFont="1" applyFill="1" applyBorder="1" applyAlignment="1">
      <alignment horizontal="left" vertical="center"/>
    </xf>
    <xf numFmtId="0" fontId="14" fillId="22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9" fillId="24" borderId="4" xfId="0" applyFont="1" applyFill="1" applyBorder="1" applyAlignment="1">
      <alignment horizontal="left" vertical="center"/>
    </xf>
    <xf numFmtId="0" fontId="23" fillId="10" borderId="4" xfId="0" applyFont="1" applyFill="1" applyBorder="1" applyAlignment="1">
      <alignment horizontal="left" vertical="center"/>
    </xf>
    <xf numFmtId="0" fontId="27" fillId="7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left" vertical="center"/>
    </xf>
    <xf numFmtId="0" fontId="23" fillId="10" borderId="4" xfId="0" applyFont="1" applyFill="1" applyBorder="1" applyAlignment="1">
      <alignment horizontal="left" vertical="center" wrapText="1"/>
    </xf>
    <xf numFmtId="0" fontId="23" fillId="28" borderId="4" xfId="0" applyFont="1" applyFill="1" applyBorder="1" applyAlignment="1">
      <alignment horizontal="left" vertical="center" wrapText="1"/>
    </xf>
    <xf numFmtId="0" fontId="19" fillId="7" borderId="4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36" fillId="7" borderId="4" xfId="0" applyFont="1" applyFill="1" applyBorder="1" applyAlignment="1">
      <alignment horizontal="left" vertical="center"/>
    </xf>
    <xf numFmtId="0" fontId="37" fillId="7" borderId="4" xfId="0" applyFont="1" applyFill="1" applyBorder="1" applyAlignment="1">
      <alignment horizontal="left" vertical="center"/>
    </xf>
    <xf numFmtId="0" fontId="23" fillId="4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wrapText="1"/>
    </xf>
    <xf numFmtId="0" fontId="14" fillId="10" borderId="4" xfId="0" applyFont="1" applyFill="1" applyBorder="1" applyAlignment="1">
      <alignment horizontal="left" vertical="center" wrapText="1"/>
    </xf>
    <xf numFmtId="0" fontId="14" fillId="9" borderId="4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/>
    </xf>
    <xf numFmtId="0" fontId="6" fillId="14" borderId="4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425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F7CAAC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F7CAAC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F7CAAC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F7CAAC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F7CAAC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F7CAAC"/>
        </patternFill>
      </fill>
    </dxf>
    <dxf>
      <fill>
        <patternFill>
          <bgColor rgb="FFF7CAAC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F7CAAC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F7CAAC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F7CAAC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F7CAAC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F7CAAC"/>
        </patternFill>
      </fill>
    </dxf>
    <dxf>
      <font>
        <color theme="1"/>
      </font>
      <fill>
        <patternFill>
          <bgColor rgb="FF3F3F3F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ont>
        <color rgb="FF506069"/>
      </font>
      <fill>
        <patternFill>
          <bgColor rgb="FF506069"/>
        </patternFill>
      </fill>
    </dxf>
    <dxf>
      <fill>
        <patternFill>
          <bgColor rgb="FFF7CAA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7CAA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3F3F3F"/>
        </patternFill>
      </fill>
    </dxf>
    <dxf>
      <font>
        <color rgb="FF505E69"/>
      </font>
      <fill>
        <patternFill>
          <bgColor rgb="FF505E69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rgb="FF505E69"/>
      </font>
      <fill>
        <patternFill>
          <bgColor rgb="FF505E69"/>
        </patternFill>
      </fill>
    </dxf>
    <dxf>
      <font>
        <color theme="1"/>
      </font>
      <fill>
        <patternFill>
          <bgColor rgb="FF3F3F3F"/>
        </patternFill>
      </fill>
    </dxf>
    <dxf>
      <fill>
        <patternFill>
          <bgColor rgb="FFF7CAA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ill>
        <patternFill>
          <bgColor rgb="FFF7CAA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7CAA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3F3F3F"/>
        </patternFill>
      </fill>
    </dxf>
    <dxf>
      <fill>
        <patternFill>
          <bgColor rgb="FFF9CBAD"/>
        </patternFill>
      </fill>
    </dxf>
    <dxf>
      <font>
        <color rgb="FF4F5F69"/>
      </font>
      <fill>
        <patternFill>
          <bgColor rgb="FF4F5F69"/>
        </patternFill>
      </fill>
    </dxf>
    <dxf>
      <font>
        <color theme="1"/>
      </font>
      <fill>
        <patternFill>
          <bgColor rgb="FF3F3F3F"/>
        </patternFill>
      </fill>
    </dxf>
    <dxf>
      <fill>
        <patternFill>
          <bgColor rgb="FFF7CAA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ill>
        <patternFill>
          <bgColor rgb="FFEFFDE3"/>
        </patternFill>
      </fill>
    </dxf>
    <dxf>
      <fill>
        <patternFill>
          <bgColor rgb="FFF9CBAD"/>
        </patternFill>
      </fill>
    </dxf>
    <dxf>
      <font>
        <color rgb="FF506069"/>
      </font>
      <fill>
        <patternFill>
          <bgColor rgb="FF506069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F9CBAD"/>
        </patternFill>
      </fill>
    </dxf>
    <dxf>
      <font>
        <color theme="1"/>
      </font>
      <fill>
        <patternFill>
          <bgColor rgb="FFEFFE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rgb="FF0E223A"/>
      </font>
      <fill>
        <patternFill>
          <bgColor rgb="FFEFFEE3"/>
        </patternFill>
      </fill>
    </dxf>
    <dxf>
      <fill>
        <patternFill>
          <bgColor rgb="FFF9CBAD"/>
        </patternFill>
      </fill>
    </dxf>
    <dxf>
      <font>
        <color rgb="FF0E223A"/>
      </font>
      <fill>
        <patternFill>
          <bgColor rgb="FFEFFEE3"/>
        </patternFill>
      </fill>
    </dxf>
    <dxf>
      <fill>
        <patternFill>
          <bgColor rgb="FFF9CBAD"/>
        </patternFill>
      </fill>
    </dxf>
    <dxf>
      <font>
        <color rgb="FF0E223A"/>
      </font>
      <fill>
        <patternFill>
          <bgColor rgb="FFEFFEE3"/>
        </patternFill>
      </fill>
    </dxf>
    <dxf>
      <fill>
        <patternFill>
          <bgColor rgb="FFF9CBAD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ill>
        <patternFill>
          <bgColor rgb="FFF7CAA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9CBAD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rgb="FFF9CBAD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rgb="FFF9CBAD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rgb="FFF9CBAD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rgb="FFF9CBAD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rgb="FFF9CBAD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rgb="FFF9CBAD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EFFDE3"/>
        </patternFill>
      </fill>
    </dxf>
    <dxf>
      <font>
        <color theme="0"/>
      </font>
      <fill>
        <patternFill>
          <bgColor rgb="FF506069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rgb="FF505F69"/>
      </font>
      <fill>
        <patternFill>
          <bgColor rgb="FF505F69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E2EFD9"/>
        </patternFill>
      </fill>
    </dxf>
    <dxf>
      <fill>
        <patternFill>
          <bgColor rgb="FFE2EFD9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F8CBA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8CBA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3F3F3F"/>
        </patternFill>
      </fill>
    </dxf>
    <dxf>
      <fill>
        <patternFill>
          <bgColor rgb="FF3F3F3F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ont>
        <color rgb="FF505F69"/>
      </font>
      <fill>
        <patternFill>
          <bgColor rgb="FF505F69"/>
        </patternFill>
      </fill>
    </dxf>
    <dxf>
      <font>
        <color rgb="FF0E223A"/>
      </font>
      <fill>
        <patternFill>
          <bgColor rgb="FFEFFEE3"/>
        </patternFill>
      </fill>
    </dxf>
    <dxf>
      <fill>
        <patternFill>
          <bgColor rgb="FFF9CBAD"/>
        </patternFill>
      </fill>
    </dxf>
    <dxf>
      <font>
        <color rgb="FF0E223A"/>
      </font>
      <fill>
        <patternFill>
          <bgColor rgb="FFEFFEE3"/>
        </patternFill>
      </fill>
    </dxf>
    <dxf>
      <fill>
        <patternFill>
          <bgColor rgb="FFF9CBAD"/>
        </patternFill>
      </fill>
    </dxf>
    <dxf>
      <font>
        <color rgb="FF505F69"/>
      </font>
      <fill>
        <patternFill>
          <bgColor rgb="FF505F69"/>
        </patternFill>
      </fill>
    </dxf>
    <dxf>
      <font>
        <color rgb="FF0E223A"/>
      </font>
      <fill>
        <patternFill>
          <bgColor rgb="FFEFFEE3"/>
        </patternFill>
      </fill>
    </dxf>
    <dxf>
      <fill>
        <patternFill>
          <bgColor rgb="FFF9CBAD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EFFDE3"/>
        </patternFill>
      </fill>
    </dxf>
    <dxf>
      <fill>
        <patternFill>
          <bgColor rgb="FFF7CAAC"/>
        </patternFill>
      </fill>
    </dxf>
    <dxf>
      <font>
        <color theme="1"/>
      </font>
      <fill>
        <patternFill>
          <bgColor rgb="FFF9CBAD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ill>
        <patternFill>
          <bgColor rgb="FFF7CAAC"/>
        </patternFill>
      </fill>
    </dxf>
    <dxf>
      <font>
        <color theme="1"/>
      </font>
      <fill>
        <patternFill>
          <bgColor rgb="FFEFFDE3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ont>
        <color theme="1"/>
      </font>
      <fill>
        <patternFill>
          <bgColor rgb="FF3F3F3F"/>
        </patternFill>
      </fill>
    </dxf>
    <dxf>
      <fill>
        <patternFill>
          <bgColor rgb="FF3F3F3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14375" cy="647700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38100</xdr:colOff>
      <xdr:row>1</xdr:row>
      <xdr:rowOff>38100</xdr:rowOff>
    </xdr:from>
    <xdr:ext cx="6677025" cy="619125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4375" cy="647700"/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04850" cy="638175"/>
    <xdr:pic>
      <xdr:nvPicPr>
        <xdr:cNvPr id="2" name="/xl/media/image4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4375" cy="647700"/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4375" cy="647700"/>
    <xdr:pic>
      <xdr:nvPicPr>
        <xdr:cNvPr id="2" name="/xl/media/image6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4375" cy="647700"/>
    <xdr:pic>
      <xdr:nvPicPr>
        <xdr:cNvPr id="2" name="/xl/media/image7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4375" cy="647700"/>
    <xdr:pic>
      <xdr:nvPicPr>
        <xdr:cNvPr id="2" name="/xl/media/image8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4375" cy="647700"/>
    <xdr:pic>
      <xdr:nvPicPr>
        <xdr:cNvPr id="2" name="/xl/media/image9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cisionRequirementRelations" displayName="DecisionRequirementRelations" ref="A1:E304" totalsRowShown="0">
  <tableColumns count="5">
    <tableColumn id="1" xr3:uid="{00000000-0010-0000-0100-000001000000}" name="Decision ID"/>
    <tableColumn id="2" xr3:uid="{00000000-0010-0000-0100-000002000000}" name="Requirement ID"/>
    <tableColumn id="3" xr3:uid="{00000000-0010-0000-0100-000003000000}" name="Requirement Bucket"/>
    <tableColumn id="4" xr3:uid="{00000000-0010-0000-0100-000004000000}" name="Requirement Title"/>
    <tableColumn id="5" xr3:uid="{00000000-0010-0000-0100-000005000000}" name="Rule Classifi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signDecisionCatalog" displayName="DesignDecisionCatalog" ref="A1:L41" totalsRowShown="0">
  <tableColumns count="12">
    <tableColumn id="1" xr3:uid="{00000000-0010-0000-0200-000001000000}" name="Decision ID"/>
    <tableColumn id="2" xr3:uid="{00000000-0010-0000-0200-000002000000}" name="Domain"/>
    <tableColumn id="3" xr3:uid="{00000000-0010-0000-0200-000003000000}" name="Decision"/>
    <tableColumn id="4" xr3:uid="{00000000-0010-0000-0200-000004000000}" name="Discovery Question"/>
    <tableColumn id="5" xr3:uid="{00000000-0010-0000-0200-000005000000}" name="Options"/>
    <tableColumn id="6" xr3:uid="{00000000-0010-0000-0200-000006000000}" name="Context Key"/>
    <tableColumn id="7" xr3:uid="{00000000-0010-0000-0200-000007000000}" name="Default"/>
    <tableColumn id="8" xr3:uid="{00000000-0010-0000-0200-000008000000}" name="Priority"/>
    <tableColumn id="9" xr3:uid="{00000000-0010-0000-0200-000009000000}" name="Architectural Impact"/>
    <tableColumn id="10" xr3:uid="{00000000-0010-0000-0200-00000A000000}" name="Source URL"/>
    <tableColumn id="11" xr3:uid="{00000000-0010-0000-0200-00000B000000}" name="Status"/>
    <tableColumn id="12" xr3:uid="{00000000-0010-0000-0200-00000C000000}" name="Mapped Requirement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selineBundleCatalog" displayName="BaselineBundleCatalog" ref="A1:F14" totalsRowShown="0">
  <tableColumns count="6">
    <tableColumn id="1" xr3:uid="{00000000-0010-0000-0300-000001000000}" name="Bundle ID"/>
    <tableColumn id="2" xr3:uid="{00000000-0010-0000-0300-000002000000}" name="Domain"/>
    <tableColumn id="3" xr3:uid="{00000000-0010-0000-0300-000003000000}" name="Bundle Name"/>
    <tableColumn id="4" xr3:uid="{00000000-0010-0000-0300-000004000000}" name="Applies When"/>
    <tableColumn id="5" xr3:uid="{00000000-0010-0000-0300-000005000000}" name="Description"/>
    <tableColumn id="6" xr3:uid="{00000000-0010-0000-0300-000006000000}" name="Mapped Requirement Count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cisionFunnelSummary" displayName="DecisionFunnelSummary" ref="A1:C9" totalsRowShown="0">
  <tableColumns count="3">
    <tableColumn id="1" xr3:uid="{00000000-0010-0000-0400-000001000000}" name="Metric"/>
    <tableColumn id="2" xr3:uid="{00000000-0010-0000-0400-000002000000}" name="Value"/>
    <tableColumn id="3" xr3:uid="{00000000-0010-0000-0400-000003000000}" name="Meani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oductBuildCatalogTable" displayName="ProductBuildCatalogTable" ref="A1:K173" totalsRowShown="0">
  <tableColumns count="11">
    <tableColumn id="1" xr3:uid="{00000000-0010-0000-0500-000001000000}" name="Product_Key"/>
    <tableColumn id="2" xr3:uid="{00000000-0010-0000-0500-000002000000}" name="Product"/>
    <tableColumn id="3" xr3:uid="{00000000-0010-0000-0500-000003000000}" name="Release_Name"/>
    <tableColumn id="4" xr3:uid="{00000000-0010-0000-0500-000004000000}" name="Version"/>
    <tableColumn id="5" xr3:uid="{00000000-0010-0000-0500-000005000000}" name="Build_Number"/>
    <tableColumn id="6" xr3:uid="{00000000-0010-0000-0500-000006000000}" name="Release_Date"/>
    <tableColumn id="7" xr3:uid="{00000000-0010-0000-0500-000007000000}" name="Build_Type"/>
    <tableColumn id="8" xr3:uid="{00000000-0010-0000-0500-000008000000}" name="Source_Article_ID"/>
    <tableColumn id="9" xr3:uid="{00000000-0010-0000-0500-000009000000}" name="Source_URL"/>
    <tableColumn id="10" xr3:uid="{00000000-0010-0000-0500-00000A000000}" name="Last_Verified"/>
    <tableColumn id="11" xr3:uid="{00000000-0010-0000-0500-00000B000000}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istrator@vsphere.local" TargetMode="External"/><Relationship Id="rId2" Type="http://schemas.openxmlformats.org/officeDocument/2006/relationships/hyperlink" Target="mailto:administrator@vsphere.local" TargetMode="External"/><Relationship Id="rId1" Type="http://schemas.openxmlformats.org/officeDocument/2006/relationships/hyperlink" Target="mailto:administrator@vsphere.local" TargetMode="External"/><Relationship Id="rId4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workbookViewId="0"/>
  </sheetViews>
  <sheetFormatPr baseColWidth="10" defaultColWidth="12.6640625" defaultRowHeight="13"/>
  <cols>
    <col min="1" max="1" width="56.6640625" customWidth="1"/>
    <col min="2" max="2" width="14.1640625" customWidth="1"/>
    <col min="3" max="3" width="11.1640625" customWidth="1"/>
    <col min="4" max="4" width="36.6640625" customWidth="1"/>
    <col min="5" max="5" width="19.1640625" customWidth="1"/>
  </cols>
  <sheetData>
    <row r="1" spans="1:5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A2" s="1" t="s">
        <v>5</v>
      </c>
      <c r="B2" s="1" t="s">
        <v>6</v>
      </c>
      <c r="C2" s="3">
        <v>17.010000000000002</v>
      </c>
      <c r="D2" s="1" t="s">
        <v>7</v>
      </c>
      <c r="E2" s="1" t="s">
        <v>8</v>
      </c>
    </row>
    <row r="3" spans="1:5" ht="16">
      <c r="A3" s="1" t="s">
        <v>9</v>
      </c>
      <c r="B3" s="1" t="s">
        <v>10</v>
      </c>
      <c r="C3" s="3">
        <v>17.309999999999999</v>
      </c>
      <c r="D3" s="1" t="s">
        <v>11</v>
      </c>
      <c r="E3" s="1" t="s">
        <v>8</v>
      </c>
    </row>
    <row r="4" spans="1:5" ht="16">
      <c r="A4" s="1" t="s">
        <v>12</v>
      </c>
      <c r="B4" s="1" t="s">
        <v>13</v>
      </c>
      <c r="C4" s="3">
        <v>19.010000000000002</v>
      </c>
      <c r="D4" s="1" t="s">
        <v>14</v>
      </c>
      <c r="E4" s="1" t="s">
        <v>8</v>
      </c>
    </row>
    <row r="5" spans="1:5" ht="16">
      <c r="A5" s="1" t="s">
        <v>15</v>
      </c>
      <c r="B5" s="1" t="s">
        <v>10</v>
      </c>
      <c r="C5" s="1" t="s">
        <v>16</v>
      </c>
      <c r="D5" s="1" t="s">
        <v>17</v>
      </c>
      <c r="E5" s="1" t="s">
        <v>8</v>
      </c>
    </row>
    <row r="6" spans="1:5" ht="16">
      <c r="A6" s="1" t="s">
        <v>18</v>
      </c>
      <c r="B6" s="1" t="s">
        <v>19</v>
      </c>
      <c r="C6" s="1" t="s">
        <v>20</v>
      </c>
      <c r="D6" s="1" t="s">
        <v>21</v>
      </c>
      <c r="E6" s="1" t="s">
        <v>8</v>
      </c>
    </row>
    <row r="7" spans="1:5" ht="16">
      <c r="A7" s="1" t="s">
        <v>22</v>
      </c>
      <c r="B7" s="1" t="s">
        <v>23</v>
      </c>
      <c r="C7" s="1" t="s">
        <v>24</v>
      </c>
      <c r="D7" s="1" t="s">
        <v>25</v>
      </c>
      <c r="E7" s="1" t="s">
        <v>8</v>
      </c>
    </row>
    <row r="8" spans="1:5" ht="16">
      <c r="A8" s="1" t="s">
        <v>26</v>
      </c>
      <c r="B8" s="1" t="s">
        <v>27</v>
      </c>
      <c r="C8" s="3">
        <v>17.11</v>
      </c>
      <c r="D8" s="1" t="s">
        <v>28</v>
      </c>
      <c r="E8" s="1" t="s">
        <v>8</v>
      </c>
    </row>
    <row r="9" spans="1:5" ht="16">
      <c r="A9" s="1" t="s">
        <v>29</v>
      </c>
      <c r="B9" s="1" t="s">
        <v>30</v>
      </c>
      <c r="C9" s="1" t="s">
        <v>31</v>
      </c>
      <c r="D9" s="1" t="s">
        <v>32</v>
      </c>
      <c r="E9" s="1" t="s">
        <v>8</v>
      </c>
    </row>
    <row r="10" spans="1:5" ht="16">
      <c r="A10" s="174" t="s">
        <v>33</v>
      </c>
      <c r="B10" s="175"/>
      <c r="C10" s="1" t="s">
        <v>34</v>
      </c>
      <c r="D10" s="1" t="s">
        <v>35</v>
      </c>
      <c r="E10" s="1" t="s">
        <v>8</v>
      </c>
    </row>
    <row r="11" spans="1:5" ht="16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8</v>
      </c>
    </row>
    <row r="12" spans="1:5" ht="16">
      <c r="A12" s="174" t="s">
        <v>40</v>
      </c>
      <c r="B12" s="175"/>
      <c r="C12" s="1" t="s">
        <v>41</v>
      </c>
      <c r="D12" s="1" t="s">
        <v>39</v>
      </c>
      <c r="E12" s="1" t="s">
        <v>8</v>
      </c>
    </row>
    <row r="13" spans="1:5" ht="16">
      <c r="A13" s="1" t="s">
        <v>42</v>
      </c>
      <c r="B13" s="1" t="s">
        <v>43</v>
      </c>
      <c r="C13" s="1" t="s">
        <v>44</v>
      </c>
      <c r="D13" s="1" t="s">
        <v>45</v>
      </c>
      <c r="E13" s="1" t="s">
        <v>8</v>
      </c>
    </row>
    <row r="14" spans="1:5" ht="16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8</v>
      </c>
    </row>
    <row r="15" spans="1:5" ht="16">
      <c r="A15" s="1" t="s">
        <v>50</v>
      </c>
      <c r="B15" s="1" t="s">
        <v>47</v>
      </c>
      <c r="C15" s="1" t="s">
        <v>48</v>
      </c>
      <c r="D15" s="1" t="s">
        <v>49</v>
      </c>
      <c r="E15" s="1" t="s">
        <v>8</v>
      </c>
    </row>
    <row r="16" spans="1:5" ht="16">
      <c r="A16" s="1" t="s">
        <v>51</v>
      </c>
      <c r="B16" s="1" t="s">
        <v>52</v>
      </c>
      <c r="C16" s="1" t="s">
        <v>53</v>
      </c>
      <c r="D16" s="1" t="s">
        <v>54</v>
      </c>
      <c r="E16" s="1" t="s">
        <v>8</v>
      </c>
    </row>
    <row r="17" spans="1:5" ht="16">
      <c r="A17" s="1" t="s">
        <v>55</v>
      </c>
      <c r="B17" s="1" t="s">
        <v>56</v>
      </c>
      <c r="C17" s="1" t="s">
        <v>53</v>
      </c>
      <c r="D17" s="1" t="s">
        <v>57</v>
      </c>
      <c r="E17" s="1" t="s">
        <v>8</v>
      </c>
    </row>
    <row r="18" spans="1:5" ht="16">
      <c r="A18" s="1" t="s">
        <v>58</v>
      </c>
      <c r="B18" s="1" t="s">
        <v>59</v>
      </c>
      <c r="C18" s="1" t="s">
        <v>60</v>
      </c>
      <c r="D18" s="1" t="s">
        <v>61</v>
      </c>
      <c r="E18" s="1" t="s">
        <v>8</v>
      </c>
    </row>
    <row r="19" spans="1:5" ht="16">
      <c r="A19" s="1" t="s">
        <v>62</v>
      </c>
      <c r="B19" s="1" t="s">
        <v>59</v>
      </c>
      <c r="C19" s="1" t="s">
        <v>63</v>
      </c>
      <c r="D19" s="1" t="s">
        <v>64</v>
      </c>
      <c r="E19" s="1" t="s">
        <v>8</v>
      </c>
    </row>
    <row r="20" spans="1:5" ht="16">
      <c r="A20" s="1" t="s">
        <v>65</v>
      </c>
      <c r="B20" s="1" t="s">
        <v>66</v>
      </c>
      <c r="C20" s="1" t="s">
        <v>67</v>
      </c>
      <c r="D20" s="1" t="s">
        <v>68</v>
      </c>
      <c r="E20" s="1" t="s">
        <v>8</v>
      </c>
    </row>
    <row r="21" spans="1:5" ht="16">
      <c r="A21" s="1" t="s">
        <v>69</v>
      </c>
      <c r="B21" s="1" t="s">
        <v>70</v>
      </c>
      <c r="C21" s="1" t="s">
        <v>71</v>
      </c>
      <c r="D21" s="1" t="s">
        <v>72</v>
      </c>
      <c r="E21" s="1" t="s">
        <v>8</v>
      </c>
    </row>
    <row r="22" spans="1:5" ht="16">
      <c r="A22" s="1" t="s">
        <v>73</v>
      </c>
      <c r="B22" s="1" t="s">
        <v>70</v>
      </c>
      <c r="C22" s="1" t="s">
        <v>74</v>
      </c>
      <c r="D22" s="1" t="s">
        <v>75</v>
      </c>
      <c r="E22" s="1" t="s">
        <v>8</v>
      </c>
    </row>
    <row r="23" spans="1:5" ht="16">
      <c r="A23" s="1" t="s">
        <v>76</v>
      </c>
      <c r="B23" s="1" t="s">
        <v>6</v>
      </c>
      <c r="C23" s="1" t="s">
        <v>77</v>
      </c>
      <c r="D23" s="1" t="s">
        <v>78</v>
      </c>
      <c r="E23" s="1" t="s">
        <v>8</v>
      </c>
    </row>
    <row r="24" spans="1:5" ht="16">
      <c r="A24" s="1" t="s">
        <v>79</v>
      </c>
      <c r="B24" s="1" t="s">
        <v>80</v>
      </c>
      <c r="C24" s="1" t="s">
        <v>44</v>
      </c>
      <c r="D24" s="1" t="s">
        <v>45</v>
      </c>
      <c r="E24" s="1" t="s">
        <v>8</v>
      </c>
    </row>
    <row r="25" spans="1:5" ht="16">
      <c r="A25" s="1" t="s">
        <v>81</v>
      </c>
      <c r="B25" s="1" t="s">
        <v>10</v>
      </c>
      <c r="C25" s="1" t="s">
        <v>82</v>
      </c>
      <c r="D25" s="1" t="s">
        <v>83</v>
      </c>
      <c r="E25" s="1" t="s">
        <v>8</v>
      </c>
    </row>
    <row r="26" spans="1:5" ht="16">
      <c r="A26" s="1" t="s">
        <v>84</v>
      </c>
      <c r="B26" s="1" t="s">
        <v>70</v>
      </c>
      <c r="C26" s="1" t="s">
        <v>71</v>
      </c>
      <c r="D26" s="1" t="s">
        <v>72</v>
      </c>
      <c r="E26" s="1" t="s">
        <v>8</v>
      </c>
    </row>
    <row r="27" spans="1:5" ht="16">
      <c r="A27" s="1" t="s">
        <v>85</v>
      </c>
      <c r="B27" s="1" t="s">
        <v>70</v>
      </c>
      <c r="C27" s="1" t="s">
        <v>74</v>
      </c>
      <c r="D27" s="1" t="s">
        <v>75</v>
      </c>
      <c r="E27" s="1" t="s">
        <v>8</v>
      </c>
    </row>
    <row r="28" spans="1:5" ht="16">
      <c r="A28" s="1" t="s">
        <v>86</v>
      </c>
      <c r="B28" s="1" t="s">
        <v>87</v>
      </c>
      <c r="C28" s="1" t="s">
        <v>77</v>
      </c>
      <c r="D28" s="1" t="s">
        <v>78</v>
      </c>
      <c r="E28" s="1" t="s">
        <v>8</v>
      </c>
    </row>
    <row r="29" spans="1:5" ht="16">
      <c r="A29" s="1" t="s">
        <v>88</v>
      </c>
      <c r="B29" s="1" t="s">
        <v>80</v>
      </c>
      <c r="C29" s="1" t="s">
        <v>44</v>
      </c>
      <c r="D29" s="1" t="s">
        <v>45</v>
      </c>
      <c r="E29" s="1" t="s">
        <v>8</v>
      </c>
    </row>
    <row r="30" spans="1:5" ht="16">
      <c r="A30" s="1" t="s">
        <v>89</v>
      </c>
      <c r="B30" s="1" t="s">
        <v>10</v>
      </c>
      <c r="C30" s="1" t="s">
        <v>82</v>
      </c>
      <c r="D30" s="1" t="s">
        <v>83</v>
      </c>
      <c r="E30" s="1" t="s">
        <v>8</v>
      </c>
    </row>
    <row r="31" spans="1:5" ht="16">
      <c r="A31" s="1" t="s">
        <v>90</v>
      </c>
      <c r="B31" s="1" t="s">
        <v>70</v>
      </c>
      <c r="C31" s="1" t="s">
        <v>71</v>
      </c>
      <c r="D31" s="1" t="s">
        <v>72</v>
      </c>
      <c r="E31" s="1" t="s">
        <v>8</v>
      </c>
    </row>
    <row r="32" spans="1:5" ht="16">
      <c r="A32" s="1" t="s">
        <v>91</v>
      </c>
      <c r="B32" s="1" t="s">
        <v>92</v>
      </c>
      <c r="C32" s="1" t="s">
        <v>77</v>
      </c>
      <c r="D32" s="1" t="s">
        <v>78</v>
      </c>
      <c r="E32" s="1" t="s">
        <v>8</v>
      </c>
    </row>
    <row r="33" spans="1:5" ht="16">
      <c r="A33" s="1" t="s">
        <v>93</v>
      </c>
      <c r="B33" s="1" t="s">
        <v>80</v>
      </c>
      <c r="C33" s="1" t="s">
        <v>44</v>
      </c>
      <c r="D33" s="1" t="s">
        <v>45</v>
      </c>
      <c r="E33" s="1" t="s">
        <v>8</v>
      </c>
    </row>
    <row r="34" spans="1:5" ht="16">
      <c r="A34" s="1" t="s">
        <v>94</v>
      </c>
      <c r="B34" s="1" t="s">
        <v>10</v>
      </c>
      <c r="C34" s="1" t="s">
        <v>82</v>
      </c>
      <c r="D34" s="1" t="s">
        <v>83</v>
      </c>
      <c r="E34" s="1" t="s">
        <v>8</v>
      </c>
    </row>
    <row r="35" spans="1:5" ht="16">
      <c r="A35" s="1" t="s">
        <v>95</v>
      </c>
      <c r="B35" s="1" t="s">
        <v>80</v>
      </c>
      <c r="C35" s="1" t="s">
        <v>44</v>
      </c>
      <c r="D35" s="1" t="s">
        <v>45</v>
      </c>
      <c r="E35" s="1" t="s">
        <v>8</v>
      </c>
    </row>
    <row r="36" spans="1:5" ht="16">
      <c r="A36" s="1" t="s">
        <v>96</v>
      </c>
      <c r="B36" s="1" t="s">
        <v>59</v>
      </c>
      <c r="C36" s="1" t="s">
        <v>34</v>
      </c>
      <c r="D36" s="1" t="s">
        <v>97</v>
      </c>
      <c r="E36" s="1" t="s">
        <v>8</v>
      </c>
    </row>
  </sheetData>
  <mergeCells count="2">
    <mergeCell ref="A10:B10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0"/>
  <sheetViews>
    <sheetView workbookViewId="0"/>
  </sheetViews>
  <sheetFormatPr baseColWidth="10" defaultColWidth="12.6640625" defaultRowHeight="13"/>
  <cols>
    <col min="2" max="2" width="32.1640625" customWidth="1"/>
  </cols>
  <sheetData>
    <row r="1" spans="1:5" ht="16">
      <c r="A1" s="1" t="s">
        <v>98</v>
      </c>
      <c r="B1" s="1" t="s">
        <v>99</v>
      </c>
      <c r="C1" s="1" t="s">
        <v>100</v>
      </c>
      <c r="D1" s="1" t="s">
        <v>4</v>
      </c>
      <c r="E1" s="1" t="s">
        <v>101</v>
      </c>
    </row>
    <row r="2" spans="1:5" ht="16">
      <c r="A2" s="1" t="s">
        <v>102</v>
      </c>
      <c r="B2" s="1" t="s">
        <v>103</v>
      </c>
      <c r="C2" s="1" t="s">
        <v>104</v>
      </c>
      <c r="D2" s="1" t="s">
        <v>8</v>
      </c>
      <c r="E2" s="1" t="s">
        <v>105</v>
      </c>
    </row>
    <row r="3" spans="1:5" ht="16">
      <c r="A3" s="1" t="s">
        <v>102</v>
      </c>
      <c r="B3" s="1" t="s">
        <v>106</v>
      </c>
      <c r="C3" s="1" t="s">
        <v>104</v>
      </c>
      <c r="D3" s="1" t="s">
        <v>8</v>
      </c>
      <c r="E3" s="1" t="s">
        <v>105</v>
      </c>
    </row>
    <row r="4" spans="1:5" ht="16">
      <c r="A4" s="1" t="s">
        <v>102</v>
      </c>
      <c r="B4" s="1" t="s">
        <v>107</v>
      </c>
      <c r="C4" s="1" t="s">
        <v>104</v>
      </c>
      <c r="D4" s="1" t="s">
        <v>8</v>
      </c>
      <c r="E4" s="1" t="s">
        <v>105</v>
      </c>
    </row>
    <row r="5" spans="1:5" ht="16">
      <c r="A5" s="1" t="s">
        <v>108</v>
      </c>
      <c r="B5" s="1" t="s">
        <v>109</v>
      </c>
      <c r="C5" s="1" t="s">
        <v>110</v>
      </c>
      <c r="D5" s="1" t="s">
        <v>8</v>
      </c>
      <c r="E5" s="1" t="s">
        <v>111</v>
      </c>
    </row>
    <row r="6" spans="1:5" ht="16">
      <c r="A6" s="1" t="s">
        <v>108</v>
      </c>
      <c r="B6" s="1" t="s">
        <v>112</v>
      </c>
      <c r="C6" s="1" t="s">
        <v>104</v>
      </c>
      <c r="D6" s="1" t="s">
        <v>8</v>
      </c>
      <c r="E6" s="1" t="s">
        <v>113</v>
      </c>
    </row>
    <row r="7" spans="1:5" ht="16">
      <c r="A7" s="1" t="s">
        <v>108</v>
      </c>
      <c r="B7" s="1" t="s">
        <v>109</v>
      </c>
      <c r="C7" s="1" t="s">
        <v>104</v>
      </c>
      <c r="D7" s="1" t="s">
        <v>8</v>
      </c>
      <c r="E7" s="1" t="s">
        <v>111</v>
      </c>
    </row>
    <row r="8" spans="1:5" ht="16">
      <c r="A8" s="1" t="s">
        <v>114</v>
      </c>
      <c r="B8" s="1" t="s">
        <v>115</v>
      </c>
      <c r="C8" s="1" t="s">
        <v>104</v>
      </c>
      <c r="D8" s="1" t="s">
        <v>8</v>
      </c>
      <c r="E8" s="1" t="s">
        <v>113</v>
      </c>
    </row>
    <row r="9" spans="1:5" ht="16">
      <c r="A9" s="1" t="s">
        <v>114</v>
      </c>
      <c r="B9" s="1" t="s">
        <v>116</v>
      </c>
      <c r="C9" s="1" t="s">
        <v>104</v>
      </c>
      <c r="D9" s="1" t="s">
        <v>8</v>
      </c>
      <c r="E9" s="1" t="s">
        <v>113</v>
      </c>
    </row>
    <row r="10" spans="1:5" ht="16">
      <c r="A10" s="1" t="s">
        <v>114</v>
      </c>
      <c r="B10" s="1" t="s">
        <v>117</v>
      </c>
      <c r="C10" s="1" t="s">
        <v>104</v>
      </c>
      <c r="D10" s="1" t="s">
        <v>8</v>
      </c>
      <c r="E10" s="1" t="s">
        <v>105</v>
      </c>
    </row>
    <row r="11" spans="1:5" ht="16">
      <c r="A11" s="1" t="s">
        <v>114</v>
      </c>
      <c r="B11" s="1" t="s">
        <v>118</v>
      </c>
      <c r="C11" s="1" t="s">
        <v>104</v>
      </c>
      <c r="D11" s="1" t="s">
        <v>8</v>
      </c>
      <c r="E11" s="1" t="s">
        <v>105</v>
      </c>
    </row>
    <row r="12" spans="1:5" ht="16">
      <c r="A12" s="1" t="s">
        <v>114</v>
      </c>
      <c r="B12" s="1" t="s">
        <v>115</v>
      </c>
      <c r="C12" s="1" t="s">
        <v>110</v>
      </c>
      <c r="D12" s="1" t="s">
        <v>8</v>
      </c>
      <c r="E12" s="1" t="s">
        <v>113</v>
      </c>
    </row>
    <row r="13" spans="1:5" ht="16">
      <c r="A13" s="1" t="s">
        <v>114</v>
      </c>
      <c r="B13" s="1" t="s">
        <v>119</v>
      </c>
      <c r="C13" s="1" t="s">
        <v>104</v>
      </c>
      <c r="D13" s="1" t="s">
        <v>8</v>
      </c>
      <c r="E13" s="1" t="s">
        <v>111</v>
      </c>
    </row>
    <row r="14" spans="1:5" ht="16">
      <c r="A14" s="1" t="s">
        <v>114</v>
      </c>
      <c r="B14" s="1" t="s">
        <v>120</v>
      </c>
      <c r="C14" s="1" t="s">
        <v>104</v>
      </c>
      <c r="D14" s="1" t="s">
        <v>8</v>
      </c>
      <c r="E14" s="1" t="s">
        <v>113</v>
      </c>
    </row>
    <row r="15" spans="1:5" ht="16">
      <c r="A15" s="1" t="s">
        <v>114</v>
      </c>
      <c r="B15" s="1" t="s">
        <v>121</v>
      </c>
      <c r="C15" s="1" t="s">
        <v>104</v>
      </c>
      <c r="D15" s="1" t="s">
        <v>8</v>
      </c>
      <c r="E15" s="1" t="s">
        <v>105</v>
      </c>
    </row>
    <row r="16" spans="1:5" ht="16">
      <c r="A16" s="1" t="s">
        <v>114</v>
      </c>
      <c r="B16" s="1" t="s">
        <v>122</v>
      </c>
      <c r="C16" s="1" t="s">
        <v>123</v>
      </c>
      <c r="D16" s="1" t="s">
        <v>8</v>
      </c>
      <c r="E16" s="1" t="s">
        <v>124</v>
      </c>
    </row>
    <row r="17" spans="1:5" ht="16">
      <c r="A17" s="1" t="s">
        <v>114</v>
      </c>
      <c r="B17" s="1" t="s">
        <v>125</v>
      </c>
      <c r="C17" s="1" t="s">
        <v>104</v>
      </c>
      <c r="D17" s="1" t="s">
        <v>8</v>
      </c>
      <c r="E17" s="1" t="s">
        <v>105</v>
      </c>
    </row>
    <row r="18" spans="1:5" ht="16">
      <c r="A18" s="1" t="s">
        <v>114</v>
      </c>
      <c r="B18" s="1" t="s">
        <v>126</v>
      </c>
      <c r="C18" s="1" t="s">
        <v>104</v>
      </c>
      <c r="D18" s="1" t="s">
        <v>8</v>
      </c>
      <c r="E18" s="1" t="s">
        <v>105</v>
      </c>
    </row>
    <row r="19" spans="1:5" ht="16">
      <c r="A19" s="1" t="s">
        <v>114</v>
      </c>
      <c r="B19" s="1" t="s">
        <v>127</v>
      </c>
      <c r="C19" s="1" t="s">
        <v>104</v>
      </c>
      <c r="D19" s="1" t="s">
        <v>8</v>
      </c>
      <c r="E19" s="1" t="s">
        <v>113</v>
      </c>
    </row>
    <row r="20" spans="1:5" ht="16">
      <c r="A20" s="1" t="s">
        <v>114</v>
      </c>
      <c r="B20" s="1" t="s">
        <v>128</v>
      </c>
      <c r="C20" s="1" t="s">
        <v>104</v>
      </c>
      <c r="D20" s="1" t="s">
        <v>8</v>
      </c>
      <c r="E20" s="1" t="s">
        <v>113</v>
      </c>
    </row>
    <row r="21" spans="1:5" ht="16">
      <c r="A21" s="1" t="s">
        <v>114</v>
      </c>
      <c r="B21" s="1" t="s">
        <v>121</v>
      </c>
      <c r="C21" s="1" t="s">
        <v>123</v>
      </c>
      <c r="D21" s="1" t="s">
        <v>8</v>
      </c>
      <c r="E21" s="1" t="s">
        <v>124</v>
      </c>
    </row>
    <row r="22" spans="1:5" ht="16">
      <c r="A22" s="1" t="s">
        <v>114</v>
      </c>
      <c r="B22" s="1" t="s">
        <v>122</v>
      </c>
      <c r="C22" s="1" t="s">
        <v>104</v>
      </c>
      <c r="D22" s="1" t="s">
        <v>8</v>
      </c>
      <c r="E22" s="1" t="s">
        <v>105</v>
      </c>
    </row>
    <row r="23" spans="1:5" ht="16">
      <c r="A23" s="1" t="s">
        <v>114</v>
      </c>
      <c r="B23" s="1" t="s">
        <v>118</v>
      </c>
      <c r="C23" s="1" t="s">
        <v>110</v>
      </c>
      <c r="D23" s="1" t="s">
        <v>8</v>
      </c>
      <c r="E23" s="1" t="s">
        <v>105</v>
      </c>
    </row>
    <row r="24" spans="1:5" ht="16">
      <c r="A24" s="1" t="s">
        <v>114</v>
      </c>
      <c r="B24" s="1" t="s">
        <v>129</v>
      </c>
      <c r="C24" s="1" t="s">
        <v>104</v>
      </c>
      <c r="D24" s="1" t="s">
        <v>8</v>
      </c>
      <c r="E24" s="1" t="s">
        <v>105</v>
      </c>
    </row>
    <row r="25" spans="1:5" ht="16">
      <c r="A25" s="1" t="s">
        <v>130</v>
      </c>
      <c r="B25" s="1" t="s">
        <v>131</v>
      </c>
      <c r="C25" s="1" t="s">
        <v>110</v>
      </c>
      <c r="D25" s="1" t="s">
        <v>8</v>
      </c>
      <c r="E25" s="1" t="s">
        <v>111</v>
      </c>
    </row>
    <row r="26" spans="1:5" ht="16">
      <c r="A26" s="1" t="s">
        <v>130</v>
      </c>
      <c r="B26" s="1" t="s">
        <v>131</v>
      </c>
      <c r="C26" s="1" t="s">
        <v>104</v>
      </c>
      <c r="D26" s="1" t="s">
        <v>8</v>
      </c>
      <c r="E26" s="1" t="s">
        <v>111</v>
      </c>
    </row>
    <row r="27" spans="1:5" ht="16">
      <c r="A27" s="1" t="s">
        <v>130</v>
      </c>
      <c r="B27" s="1" t="s">
        <v>132</v>
      </c>
      <c r="C27" s="1" t="s">
        <v>104</v>
      </c>
      <c r="D27" s="1" t="s">
        <v>8</v>
      </c>
      <c r="E27" s="1" t="s">
        <v>111</v>
      </c>
    </row>
    <row r="28" spans="1:5" ht="16">
      <c r="A28" s="1" t="s">
        <v>130</v>
      </c>
      <c r="B28" s="1" t="s">
        <v>133</v>
      </c>
      <c r="C28" s="1" t="s">
        <v>104</v>
      </c>
      <c r="D28" s="1" t="s">
        <v>8</v>
      </c>
      <c r="E28" s="1" t="s">
        <v>124</v>
      </c>
    </row>
    <row r="29" spans="1:5" ht="16">
      <c r="A29" s="1" t="s">
        <v>130</v>
      </c>
      <c r="B29" s="1" t="s">
        <v>134</v>
      </c>
      <c r="C29" s="1" t="s">
        <v>104</v>
      </c>
      <c r="D29" s="1" t="s">
        <v>8</v>
      </c>
      <c r="E29" s="1" t="s">
        <v>111</v>
      </c>
    </row>
    <row r="30" spans="1:5" ht="16">
      <c r="A30" s="1" t="s">
        <v>130</v>
      </c>
      <c r="B30" s="1" t="s">
        <v>135</v>
      </c>
      <c r="C30" s="1" t="s">
        <v>104</v>
      </c>
      <c r="D30" s="1" t="s">
        <v>8</v>
      </c>
      <c r="E30" s="1" t="s">
        <v>124</v>
      </c>
    </row>
    <row r="31" spans="1:5" ht="16">
      <c r="A31" s="1" t="s">
        <v>136</v>
      </c>
      <c r="B31" s="1" t="s">
        <v>137</v>
      </c>
      <c r="C31" s="1" t="s">
        <v>104</v>
      </c>
      <c r="D31" s="1" t="s">
        <v>8</v>
      </c>
      <c r="E31" s="1" t="s">
        <v>105</v>
      </c>
    </row>
    <row r="32" spans="1:5" ht="16">
      <c r="A32" s="1" t="s">
        <v>136</v>
      </c>
      <c r="B32" s="1" t="s">
        <v>138</v>
      </c>
      <c r="C32" s="1" t="s">
        <v>104</v>
      </c>
      <c r="D32" s="1" t="s">
        <v>8</v>
      </c>
      <c r="E32" s="1" t="s">
        <v>105</v>
      </c>
    </row>
    <row r="33" spans="1:5" ht="16">
      <c r="A33" s="1" t="s">
        <v>139</v>
      </c>
      <c r="B33" s="1" t="s">
        <v>140</v>
      </c>
      <c r="C33" s="1" t="s">
        <v>110</v>
      </c>
      <c r="D33" s="1" t="s">
        <v>8</v>
      </c>
      <c r="E33" s="1" t="s">
        <v>111</v>
      </c>
    </row>
    <row r="34" spans="1:5" ht="16">
      <c r="A34" s="1" t="s">
        <v>139</v>
      </c>
      <c r="B34" s="1" t="s">
        <v>141</v>
      </c>
      <c r="C34" s="1" t="s">
        <v>104</v>
      </c>
      <c r="D34" s="1" t="s">
        <v>8</v>
      </c>
      <c r="E34" s="1" t="s">
        <v>113</v>
      </c>
    </row>
    <row r="35" spans="1:5" ht="16">
      <c r="A35" s="1" t="s">
        <v>139</v>
      </c>
      <c r="B35" s="1" t="s">
        <v>142</v>
      </c>
      <c r="C35" s="1" t="s">
        <v>110</v>
      </c>
      <c r="D35" s="1" t="s">
        <v>8</v>
      </c>
      <c r="E35" s="1" t="s">
        <v>105</v>
      </c>
    </row>
    <row r="36" spans="1:5" ht="16">
      <c r="A36" s="1" t="s">
        <v>139</v>
      </c>
      <c r="B36" s="1" t="s">
        <v>140</v>
      </c>
      <c r="C36" s="1" t="s">
        <v>104</v>
      </c>
      <c r="D36" s="1" t="s">
        <v>8</v>
      </c>
      <c r="E36" s="1" t="s">
        <v>111</v>
      </c>
    </row>
    <row r="37" spans="1:5" ht="16">
      <c r="A37" s="1" t="s">
        <v>139</v>
      </c>
      <c r="B37" s="1" t="s">
        <v>142</v>
      </c>
      <c r="C37" s="1" t="s">
        <v>104</v>
      </c>
      <c r="D37" s="1" t="s">
        <v>8</v>
      </c>
      <c r="E37" s="1" t="s">
        <v>105</v>
      </c>
    </row>
    <row r="38" spans="1:5" ht="16">
      <c r="A38" s="1" t="s">
        <v>139</v>
      </c>
      <c r="B38" s="1" t="s">
        <v>143</v>
      </c>
      <c r="C38" s="1" t="s">
        <v>104</v>
      </c>
      <c r="D38" s="1" t="s">
        <v>8</v>
      </c>
      <c r="E38" s="1" t="s">
        <v>113</v>
      </c>
    </row>
    <row r="39" spans="1:5" ht="16">
      <c r="A39" s="1" t="s">
        <v>139</v>
      </c>
      <c r="B39" s="1" t="s">
        <v>144</v>
      </c>
      <c r="C39" s="1" t="s">
        <v>104</v>
      </c>
      <c r="D39" s="1" t="s">
        <v>8</v>
      </c>
      <c r="E39" s="1" t="s">
        <v>105</v>
      </c>
    </row>
    <row r="40" spans="1:5" ht="16">
      <c r="A40" s="1" t="s">
        <v>139</v>
      </c>
      <c r="B40" s="1" t="s">
        <v>141</v>
      </c>
      <c r="C40" s="1" t="s">
        <v>110</v>
      </c>
      <c r="D40" s="1" t="s">
        <v>8</v>
      </c>
      <c r="E40" s="1" t="s">
        <v>113</v>
      </c>
    </row>
    <row r="41" spans="1:5" ht="16">
      <c r="A41" s="1" t="s">
        <v>139</v>
      </c>
      <c r="B41" s="1" t="s">
        <v>143</v>
      </c>
      <c r="C41" s="1" t="s">
        <v>110</v>
      </c>
      <c r="D41" s="1" t="s">
        <v>8</v>
      </c>
      <c r="E41" s="1" t="s">
        <v>113</v>
      </c>
    </row>
    <row r="42" spans="1:5" ht="16">
      <c r="A42" s="1" t="s">
        <v>139</v>
      </c>
      <c r="B42" s="1" t="s">
        <v>144</v>
      </c>
      <c r="C42" s="1" t="s">
        <v>110</v>
      </c>
      <c r="D42" s="1" t="s">
        <v>8</v>
      </c>
      <c r="E42" s="1" t="s">
        <v>105</v>
      </c>
    </row>
    <row r="43" spans="1:5" ht="16">
      <c r="A43" s="1" t="s">
        <v>139</v>
      </c>
      <c r="B43" s="1" t="s">
        <v>145</v>
      </c>
      <c r="C43" s="1" t="s">
        <v>104</v>
      </c>
      <c r="D43" s="1" t="s">
        <v>8</v>
      </c>
      <c r="E43" s="1" t="s">
        <v>105</v>
      </c>
    </row>
    <row r="44" spans="1:5" ht="16">
      <c r="A44" s="1" t="s">
        <v>146</v>
      </c>
      <c r="B44" s="1" t="s">
        <v>147</v>
      </c>
      <c r="C44" s="1" t="s">
        <v>110</v>
      </c>
      <c r="D44" s="1" t="s">
        <v>8</v>
      </c>
      <c r="E44" s="1" t="s">
        <v>105</v>
      </c>
    </row>
    <row r="45" spans="1:5" ht="16">
      <c r="A45" s="1" t="s">
        <v>146</v>
      </c>
      <c r="B45" s="1" t="s">
        <v>148</v>
      </c>
      <c r="C45" s="1" t="s">
        <v>110</v>
      </c>
      <c r="D45" s="1" t="s">
        <v>8</v>
      </c>
      <c r="E45" s="1" t="s">
        <v>111</v>
      </c>
    </row>
    <row r="46" spans="1:5" ht="16">
      <c r="A46" s="1" t="s">
        <v>146</v>
      </c>
      <c r="B46" s="1" t="s">
        <v>149</v>
      </c>
      <c r="C46" s="1" t="s">
        <v>104</v>
      </c>
      <c r="D46" s="1" t="s">
        <v>8</v>
      </c>
      <c r="E46" s="1" t="s">
        <v>111</v>
      </c>
    </row>
    <row r="47" spans="1:5" ht="16">
      <c r="A47" s="1" t="s">
        <v>146</v>
      </c>
      <c r="B47" s="1" t="s">
        <v>150</v>
      </c>
      <c r="C47" s="1" t="s">
        <v>110</v>
      </c>
      <c r="D47" s="1" t="s">
        <v>8</v>
      </c>
      <c r="E47" s="1" t="s">
        <v>113</v>
      </c>
    </row>
    <row r="48" spans="1:5" ht="16">
      <c r="A48" s="1" t="s">
        <v>146</v>
      </c>
      <c r="B48" s="1" t="s">
        <v>149</v>
      </c>
      <c r="C48" s="1" t="s">
        <v>110</v>
      </c>
      <c r="D48" s="1" t="s">
        <v>8</v>
      </c>
      <c r="E48" s="1" t="s">
        <v>111</v>
      </c>
    </row>
    <row r="49" spans="1:5" ht="16">
      <c r="A49" s="1" t="s">
        <v>146</v>
      </c>
      <c r="B49" s="1" t="s">
        <v>151</v>
      </c>
      <c r="C49" s="1" t="s">
        <v>110</v>
      </c>
      <c r="D49" s="1" t="s">
        <v>8</v>
      </c>
      <c r="E49" s="1" t="s">
        <v>111</v>
      </c>
    </row>
    <row r="50" spans="1:5" ht="16">
      <c r="A50" s="1" t="s">
        <v>146</v>
      </c>
      <c r="B50" s="1" t="s">
        <v>152</v>
      </c>
      <c r="C50" s="1" t="s">
        <v>104</v>
      </c>
      <c r="D50" s="1" t="s">
        <v>8</v>
      </c>
      <c r="E50" s="1" t="s">
        <v>105</v>
      </c>
    </row>
    <row r="51" spans="1:5" ht="16">
      <c r="A51" s="1" t="s">
        <v>146</v>
      </c>
      <c r="B51" s="1" t="s">
        <v>147</v>
      </c>
      <c r="C51" s="1" t="s">
        <v>104</v>
      </c>
      <c r="D51" s="1" t="s">
        <v>8</v>
      </c>
      <c r="E51" s="1" t="s">
        <v>105</v>
      </c>
    </row>
    <row r="52" spans="1:5" ht="16">
      <c r="A52" s="1" t="s">
        <v>146</v>
      </c>
      <c r="B52" s="1" t="s">
        <v>150</v>
      </c>
      <c r="C52" s="1" t="s">
        <v>104</v>
      </c>
      <c r="D52" s="1" t="s">
        <v>8</v>
      </c>
      <c r="E52" s="1" t="s">
        <v>113</v>
      </c>
    </row>
    <row r="53" spans="1:5" ht="16">
      <c r="A53" s="1" t="s">
        <v>146</v>
      </c>
      <c r="B53" s="1" t="s">
        <v>148</v>
      </c>
      <c r="C53" s="1" t="s">
        <v>104</v>
      </c>
      <c r="D53" s="1" t="s">
        <v>8</v>
      </c>
      <c r="E53" s="1" t="s">
        <v>111</v>
      </c>
    </row>
    <row r="54" spans="1:5" ht="16">
      <c r="A54" s="1" t="s">
        <v>146</v>
      </c>
      <c r="B54" s="1" t="s">
        <v>153</v>
      </c>
      <c r="C54" s="1" t="s">
        <v>110</v>
      </c>
      <c r="D54" s="1" t="s">
        <v>8</v>
      </c>
      <c r="E54" s="1" t="s">
        <v>113</v>
      </c>
    </row>
    <row r="55" spans="1:5" ht="16">
      <c r="A55" s="1" t="s">
        <v>146</v>
      </c>
      <c r="B55" s="1" t="s">
        <v>153</v>
      </c>
      <c r="C55" s="1" t="s">
        <v>104</v>
      </c>
      <c r="D55" s="1" t="s">
        <v>8</v>
      </c>
      <c r="E55" s="1" t="s">
        <v>113</v>
      </c>
    </row>
    <row r="56" spans="1:5" ht="16">
      <c r="A56" s="1" t="s">
        <v>146</v>
      </c>
      <c r="B56" s="1" t="s">
        <v>151</v>
      </c>
      <c r="C56" s="1" t="s">
        <v>104</v>
      </c>
      <c r="D56" s="1" t="s">
        <v>8</v>
      </c>
      <c r="E56" s="1" t="s">
        <v>111</v>
      </c>
    </row>
    <row r="57" spans="1:5" ht="16">
      <c r="A57" s="1" t="s">
        <v>154</v>
      </c>
      <c r="B57" s="1" t="s">
        <v>155</v>
      </c>
      <c r="C57" s="1" t="s">
        <v>104</v>
      </c>
      <c r="D57" s="1" t="s">
        <v>8</v>
      </c>
      <c r="E57" s="1" t="s">
        <v>113</v>
      </c>
    </row>
    <row r="58" spans="1:5" ht="16">
      <c r="A58" s="1" t="s">
        <v>154</v>
      </c>
      <c r="B58" s="1" t="s">
        <v>156</v>
      </c>
      <c r="C58" s="1" t="s">
        <v>104</v>
      </c>
      <c r="D58" s="1" t="s">
        <v>8</v>
      </c>
      <c r="E58" s="1" t="s">
        <v>105</v>
      </c>
    </row>
    <row r="59" spans="1:5" ht="16">
      <c r="A59" s="1" t="s">
        <v>157</v>
      </c>
      <c r="B59" s="1" t="s">
        <v>158</v>
      </c>
      <c r="C59" s="1" t="s">
        <v>104</v>
      </c>
      <c r="D59" s="1" t="s">
        <v>8</v>
      </c>
      <c r="E59" s="1" t="s">
        <v>105</v>
      </c>
    </row>
    <row r="60" spans="1:5" ht="16">
      <c r="A60" s="1" t="s">
        <v>157</v>
      </c>
      <c r="B60" s="1" t="s">
        <v>159</v>
      </c>
      <c r="C60" s="1" t="s">
        <v>104</v>
      </c>
      <c r="D60" s="1" t="s">
        <v>8</v>
      </c>
      <c r="E60" s="1" t="s">
        <v>105</v>
      </c>
    </row>
    <row r="61" spans="1:5" ht="16">
      <c r="A61" s="1" t="s">
        <v>157</v>
      </c>
      <c r="B61" s="1" t="s">
        <v>160</v>
      </c>
      <c r="C61" s="1" t="s">
        <v>104</v>
      </c>
      <c r="D61" s="1" t="s">
        <v>8</v>
      </c>
      <c r="E61" s="1" t="s">
        <v>105</v>
      </c>
    </row>
    <row r="62" spans="1:5" ht="16">
      <c r="A62" s="1" t="s">
        <v>161</v>
      </c>
      <c r="B62" s="1" t="s">
        <v>162</v>
      </c>
      <c r="C62" s="1" t="s">
        <v>104</v>
      </c>
      <c r="D62" s="1" t="s">
        <v>8</v>
      </c>
      <c r="E62" s="1" t="s">
        <v>105</v>
      </c>
    </row>
    <row r="63" spans="1:5" ht="16">
      <c r="A63" s="1" t="s">
        <v>161</v>
      </c>
      <c r="B63" s="1" t="s">
        <v>163</v>
      </c>
      <c r="C63" s="1" t="s">
        <v>110</v>
      </c>
      <c r="D63" s="1" t="s">
        <v>8</v>
      </c>
      <c r="E63" s="1" t="s">
        <v>111</v>
      </c>
    </row>
    <row r="64" spans="1:5" ht="16">
      <c r="A64" s="1" t="s">
        <v>161</v>
      </c>
      <c r="B64" s="1" t="s">
        <v>164</v>
      </c>
      <c r="C64" s="1" t="s">
        <v>104</v>
      </c>
      <c r="D64" s="1" t="s">
        <v>8</v>
      </c>
      <c r="E64" s="1" t="s">
        <v>111</v>
      </c>
    </row>
    <row r="65" spans="1:5" ht="16">
      <c r="A65" s="1" t="s">
        <v>161</v>
      </c>
      <c r="B65" s="1" t="s">
        <v>165</v>
      </c>
      <c r="C65" s="1" t="s">
        <v>104</v>
      </c>
      <c r="D65" s="1" t="s">
        <v>8</v>
      </c>
      <c r="E65" s="1" t="s">
        <v>105</v>
      </c>
    </row>
    <row r="66" spans="1:5" ht="16">
      <c r="A66" s="1" t="s">
        <v>161</v>
      </c>
      <c r="B66" s="1" t="s">
        <v>163</v>
      </c>
      <c r="C66" s="1" t="s">
        <v>104</v>
      </c>
      <c r="D66" s="1" t="s">
        <v>8</v>
      </c>
      <c r="E66" s="1" t="s">
        <v>111</v>
      </c>
    </row>
    <row r="67" spans="1:5" ht="16">
      <c r="A67" s="1" t="s">
        <v>161</v>
      </c>
      <c r="B67" s="1" t="s">
        <v>166</v>
      </c>
      <c r="C67" s="1" t="s">
        <v>104</v>
      </c>
      <c r="D67" s="1" t="s">
        <v>8</v>
      </c>
      <c r="E67" s="1" t="s">
        <v>113</v>
      </c>
    </row>
    <row r="68" spans="1:5" ht="16">
      <c r="A68" s="1" t="s">
        <v>161</v>
      </c>
      <c r="B68" s="1" t="s">
        <v>167</v>
      </c>
      <c r="C68" s="1" t="s">
        <v>104</v>
      </c>
      <c r="D68" s="1" t="s">
        <v>8</v>
      </c>
      <c r="E68" s="1" t="s">
        <v>105</v>
      </c>
    </row>
    <row r="69" spans="1:5" ht="16">
      <c r="A69" s="1" t="s">
        <v>161</v>
      </c>
      <c r="B69" s="1" t="s">
        <v>168</v>
      </c>
      <c r="C69" s="1" t="s">
        <v>110</v>
      </c>
      <c r="D69" s="1" t="s">
        <v>8</v>
      </c>
      <c r="E69" s="1" t="s">
        <v>111</v>
      </c>
    </row>
    <row r="70" spans="1:5" ht="16">
      <c r="A70" s="1" t="s">
        <v>161</v>
      </c>
      <c r="B70" s="1" t="s">
        <v>169</v>
      </c>
      <c r="C70" s="1" t="s">
        <v>104</v>
      </c>
      <c r="D70" s="1" t="s">
        <v>8</v>
      </c>
      <c r="E70" s="1" t="s">
        <v>105</v>
      </c>
    </row>
    <row r="71" spans="1:5" ht="16">
      <c r="A71" s="1" t="s">
        <v>161</v>
      </c>
      <c r="B71" s="1" t="s">
        <v>170</v>
      </c>
      <c r="C71" s="1" t="s">
        <v>110</v>
      </c>
      <c r="D71" s="1" t="s">
        <v>8</v>
      </c>
      <c r="E71" s="1" t="s">
        <v>111</v>
      </c>
    </row>
    <row r="72" spans="1:5" ht="16">
      <c r="A72" s="1" t="s">
        <v>161</v>
      </c>
      <c r="B72" s="1" t="s">
        <v>162</v>
      </c>
      <c r="C72" s="1" t="s">
        <v>110</v>
      </c>
      <c r="D72" s="1" t="s">
        <v>8</v>
      </c>
      <c r="E72" s="1" t="s">
        <v>113</v>
      </c>
    </row>
    <row r="73" spans="1:5" ht="16">
      <c r="A73" s="1" t="s">
        <v>161</v>
      </c>
      <c r="B73" s="1" t="s">
        <v>171</v>
      </c>
      <c r="C73" s="1" t="s">
        <v>104</v>
      </c>
      <c r="D73" s="1" t="s">
        <v>8</v>
      </c>
      <c r="E73" s="1" t="s">
        <v>113</v>
      </c>
    </row>
    <row r="74" spans="1:5" ht="16">
      <c r="A74" s="1" t="s">
        <v>161</v>
      </c>
      <c r="B74" s="1" t="s">
        <v>172</v>
      </c>
      <c r="C74" s="1" t="s">
        <v>110</v>
      </c>
      <c r="D74" s="1" t="s">
        <v>8</v>
      </c>
      <c r="E74" s="1" t="s">
        <v>113</v>
      </c>
    </row>
    <row r="75" spans="1:5" ht="16">
      <c r="A75" s="1" t="s">
        <v>161</v>
      </c>
      <c r="B75" s="1" t="s">
        <v>173</v>
      </c>
      <c r="C75" s="1" t="s">
        <v>104</v>
      </c>
      <c r="D75" s="1" t="s">
        <v>8</v>
      </c>
      <c r="E75" s="1" t="s">
        <v>105</v>
      </c>
    </row>
    <row r="76" spans="1:5" ht="16">
      <c r="A76" s="1" t="s">
        <v>161</v>
      </c>
      <c r="B76" s="1" t="s">
        <v>171</v>
      </c>
      <c r="C76" s="1" t="s">
        <v>110</v>
      </c>
      <c r="D76" s="1" t="s">
        <v>8</v>
      </c>
      <c r="E76" s="1" t="s">
        <v>113</v>
      </c>
    </row>
    <row r="77" spans="1:5" ht="16">
      <c r="A77" s="1" t="s">
        <v>161</v>
      </c>
      <c r="B77" s="1" t="s">
        <v>172</v>
      </c>
      <c r="C77" s="1" t="s">
        <v>104</v>
      </c>
      <c r="D77" s="1" t="s">
        <v>8</v>
      </c>
      <c r="E77" s="1" t="s">
        <v>113</v>
      </c>
    </row>
    <row r="78" spans="1:5" ht="16">
      <c r="A78" s="1" t="s">
        <v>161</v>
      </c>
      <c r="B78" s="1" t="s">
        <v>174</v>
      </c>
      <c r="C78" s="1" t="s">
        <v>110</v>
      </c>
      <c r="D78" s="1" t="s">
        <v>8</v>
      </c>
      <c r="E78" s="1" t="s">
        <v>111</v>
      </c>
    </row>
    <row r="79" spans="1:5" ht="16">
      <c r="A79" s="1" t="s">
        <v>161</v>
      </c>
      <c r="B79" s="1" t="s">
        <v>175</v>
      </c>
      <c r="C79" s="1" t="s">
        <v>104</v>
      </c>
      <c r="D79" s="1" t="s">
        <v>8</v>
      </c>
      <c r="E79" s="1" t="s">
        <v>111</v>
      </c>
    </row>
    <row r="80" spans="1:5" ht="16">
      <c r="A80" s="1" t="s">
        <v>161</v>
      </c>
      <c r="B80" s="1" t="s">
        <v>176</v>
      </c>
      <c r="C80" s="1" t="s">
        <v>104</v>
      </c>
      <c r="D80" s="1" t="s">
        <v>8</v>
      </c>
      <c r="E80" s="1" t="s">
        <v>105</v>
      </c>
    </row>
    <row r="81" spans="1:5" ht="16">
      <c r="A81" s="1" t="s">
        <v>161</v>
      </c>
      <c r="B81" s="1" t="s">
        <v>174</v>
      </c>
      <c r="C81" s="1" t="s">
        <v>104</v>
      </c>
      <c r="D81" s="1" t="s">
        <v>8</v>
      </c>
      <c r="E81" s="1" t="s">
        <v>111</v>
      </c>
    </row>
    <row r="82" spans="1:5" ht="16">
      <c r="A82" s="1" t="s">
        <v>161</v>
      </c>
      <c r="B82" s="1" t="s">
        <v>177</v>
      </c>
      <c r="C82" s="1" t="s">
        <v>104</v>
      </c>
      <c r="D82" s="1" t="s">
        <v>8</v>
      </c>
      <c r="E82" s="1" t="s">
        <v>113</v>
      </c>
    </row>
    <row r="83" spans="1:5" ht="16">
      <c r="A83" s="1" t="s">
        <v>161</v>
      </c>
      <c r="B83" s="1" t="s">
        <v>166</v>
      </c>
      <c r="C83" s="1" t="s">
        <v>110</v>
      </c>
      <c r="D83" s="1" t="s">
        <v>8</v>
      </c>
      <c r="E83" s="1" t="s">
        <v>113</v>
      </c>
    </row>
    <row r="84" spans="1:5" ht="16">
      <c r="A84" s="1" t="s">
        <v>161</v>
      </c>
      <c r="B84" s="1" t="s">
        <v>164</v>
      </c>
      <c r="C84" s="1" t="s">
        <v>110</v>
      </c>
      <c r="D84" s="1" t="s">
        <v>8</v>
      </c>
      <c r="E84" s="1" t="s">
        <v>111</v>
      </c>
    </row>
    <row r="85" spans="1:5" ht="16">
      <c r="A85" s="1" t="s">
        <v>161</v>
      </c>
      <c r="B85" s="1" t="s">
        <v>178</v>
      </c>
      <c r="C85" s="1" t="s">
        <v>104</v>
      </c>
      <c r="D85" s="1" t="s">
        <v>8</v>
      </c>
      <c r="E85" s="1" t="s">
        <v>105</v>
      </c>
    </row>
    <row r="86" spans="1:5" ht="16">
      <c r="A86" s="1" t="s">
        <v>161</v>
      </c>
      <c r="B86" s="1" t="s">
        <v>179</v>
      </c>
      <c r="C86" s="1" t="s">
        <v>104</v>
      </c>
      <c r="D86" s="1" t="s">
        <v>8</v>
      </c>
      <c r="E86" s="1" t="s">
        <v>105</v>
      </c>
    </row>
    <row r="87" spans="1:5" ht="16">
      <c r="A87" s="1" t="s">
        <v>161</v>
      </c>
      <c r="B87" s="1" t="s">
        <v>175</v>
      </c>
      <c r="C87" s="1" t="s">
        <v>110</v>
      </c>
      <c r="D87" s="1" t="s">
        <v>8</v>
      </c>
      <c r="E87" s="1" t="s">
        <v>111</v>
      </c>
    </row>
    <row r="88" spans="1:5" ht="16">
      <c r="A88" s="1" t="s">
        <v>161</v>
      </c>
      <c r="B88" s="1" t="s">
        <v>168</v>
      </c>
      <c r="C88" s="1" t="s">
        <v>104</v>
      </c>
      <c r="D88" s="1" t="s">
        <v>8</v>
      </c>
      <c r="E88" s="1" t="s">
        <v>111</v>
      </c>
    </row>
    <row r="89" spans="1:5" ht="16">
      <c r="A89" s="1" t="s">
        <v>180</v>
      </c>
      <c r="B89" s="1" t="s">
        <v>181</v>
      </c>
      <c r="C89" s="1" t="s">
        <v>104</v>
      </c>
      <c r="D89" s="1" t="s">
        <v>8</v>
      </c>
      <c r="E89" s="1" t="s">
        <v>105</v>
      </c>
    </row>
    <row r="90" spans="1:5" ht="16">
      <c r="A90" s="1" t="s">
        <v>180</v>
      </c>
      <c r="B90" s="1" t="s">
        <v>182</v>
      </c>
      <c r="C90" s="1" t="s">
        <v>104</v>
      </c>
      <c r="D90" s="1" t="s">
        <v>8</v>
      </c>
      <c r="E90" s="1" t="s">
        <v>113</v>
      </c>
    </row>
    <row r="91" spans="1:5" ht="16">
      <c r="A91" s="1" t="s">
        <v>180</v>
      </c>
      <c r="B91" s="1" t="s">
        <v>183</v>
      </c>
      <c r="C91" s="1" t="s">
        <v>104</v>
      </c>
      <c r="D91" s="1" t="s">
        <v>8</v>
      </c>
      <c r="E91" s="1" t="s">
        <v>105</v>
      </c>
    </row>
    <row r="92" spans="1:5" ht="16">
      <c r="A92" s="1" t="s">
        <v>180</v>
      </c>
      <c r="B92" s="1" t="s">
        <v>184</v>
      </c>
      <c r="C92" s="1" t="s">
        <v>104</v>
      </c>
      <c r="D92" s="1" t="s">
        <v>8</v>
      </c>
      <c r="E92" s="1" t="s">
        <v>113</v>
      </c>
    </row>
    <row r="93" spans="1:5" ht="16">
      <c r="A93" s="1" t="s">
        <v>180</v>
      </c>
      <c r="B93" s="1" t="s">
        <v>182</v>
      </c>
      <c r="C93" s="1" t="s">
        <v>110</v>
      </c>
      <c r="D93" s="1" t="s">
        <v>8</v>
      </c>
      <c r="E93" s="1" t="s">
        <v>113</v>
      </c>
    </row>
    <row r="94" spans="1:5" ht="16">
      <c r="A94" s="1" t="s">
        <v>180</v>
      </c>
      <c r="B94" s="1" t="s">
        <v>185</v>
      </c>
      <c r="C94" s="1" t="s">
        <v>104</v>
      </c>
      <c r="D94" s="1" t="s">
        <v>8</v>
      </c>
      <c r="E94" s="1" t="s">
        <v>105</v>
      </c>
    </row>
    <row r="95" spans="1:5" ht="16">
      <c r="A95" s="1" t="s">
        <v>186</v>
      </c>
      <c r="B95" s="1" t="s">
        <v>187</v>
      </c>
      <c r="C95" s="1" t="s">
        <v>123</v>
      </c>
      <c r="D95" s="1" t="s">
        <v>8</v>
      </c>
      <c r="E95" s="1" t="s">
        <v>124</v>
      </c>
    </row>
    <row r="96" spans="1:5" ht="16">
      <c r="A96" s="1" t="s">
        <v>186</v>
      </c>
      <c r="B96" s="1" t="s">
        <v>188</v>
      </c>
      <c r="C96" s="1" t="s">
        <v>110</v>
      </c>
      <c r="D96" s="1" t="s">
        <v>8</v>
      </c>
      <c r="E96" s="1" t="s">
        <v>111</v>
      </c>
    </row>
    <row r="97" spans="1:5" ht="16">
      <c r="A97" s="1" t="s">
        <v>186</v>
      </c>
      <c r="B97" s="1" t="s">
        <v>189</v>
      </c>
      <c r="C97" s="1" t="s">
        <v>123</v>
      </c>
      <c r="D97" s="1" t="s">
        <v>8</v>
      </c>
      <c r="E97" s="1" t="s">
        <v>124</v>
      </c>
    </row>
    <row r="98" spans="1:5" ht="16">
      <c r="A98" s="1" t="s">
        <v>186</v>
      </c>
      <c r="B98" s="1" t="s">
        <v>190</v>
      </c>
      <c r="C98" s="1" t="s">
        <v>104</v>
      </c>
      <c r="D98" s="1" t="s">
        <v>8</v>
      </c>
      <c r="E98" s="1" t="s">
        <v>113</v>
      </c>
    </row>
    <row r="99" spans="1:5" ht="16">
      <c r="A99" s="1" t="s">
        <v>186</v>
      </c>
      <c r="B99" s="1" t="s">
        <v>190</v>
      </c>
      <c r="C99" s="1" t="s">
        <v>110</v>
      </c>
      <c r="D99" s="1" t="s">
        <v>8</v>
      </c>
      <c r="E99" s="1" t="s">
        <v>113</v>
      </c>
    </row>
    <row r="100" spans="1:5" ht="16">
      <c r="A100" s="1" t="s">
        <v>186</v>
      </c>
      <c r="B100" s="1" t="s">
        <v>187</v>
      </c>
      <c r="C100" s="1" t="s">
        <v>104</v>
      </c>
      <c r="D100" s="1" t="s">
        <v>8</v>
      </c>
      <c r="E100" s="1" t="s">
        <v>105</v>
      </c>
    </row>
    <row r="101" spans="1:5" ht="16">
      <c r="A101" s="1" t="s">
        <v>186</v>
      </c>
      <c r="B101" s="1" t="s">
        <v>189</v>
      </c>
      <c r="C101" s="1" t="s">
        <v>104</v>
      </c>
      <c r="D101" s="1" t="s">
        <v>8</v>
      </c>
      <c r="E101" s="1" t="s">
        <v>105</v>
      </c>
    </row>
    <row r="102" spans="1:5" ht="16">
      <c r="A102" s="1" t="s">
        <v>186</v>
      </c>
      <c r="B102" s="1" t="s">
        <v>191</v>
      </c>
      <c r="C102" s="1" t="s">
        <v>104</v>
      </c>
      <c r="D102" s="1" t="s">
        <v>8</v>
      </c>
      <c r="E102" s="1" t="s">
        <v>105</v>
      </c>
    </row>
    <row r="103" spans="1:5" ht="16">
      <c r="A103" s="1" t="s">
        <v>186</v>
      </c>
      <c r="B103" s="1" t="s">
        <v>188</v>
      </c>
      <c r="C103" s="1" t="s">
        <v>104</v>
      </c>
      <c r="D103" s="1" t="s">
        <v>8</v>
      </c>
      <c r="E103" s="1" t="s">
        <v>111</v>
      </c>
    </row>
    <row r="104" spans="1:5" ht="16">
      <c r="A104" s="1" t="s">
        <v>186</v>
      </c>
      <c r="B104" s="1" t="s">
        <v>192</v>
      </c>
      <c r="C104" s="1" t="s">
        <v>104</v>
      </c>
      <c r="D104" s="1" t="s">
        <v>8</v>
      </c>
      <c r="E104" s="1" t="s">
        <v>105</v>
      </c>
    </row>
    <row r="105" spans="1:5" ht="16">
      <c r="A105" s="1" t="s">
        <v>193</v>
      </c>
      <c r="B105" s="1" t="s">
        <v>194</v>
      </c>
      <c r="C105" s="1" t="s">
        <v>104</v>
      </c>
      <c r="D105" s="1" t="s">
        <v>8</v>
      </c>
      <c r="E105" s="1" t="s">
        <v>105</v>
      </c>
    </row>
    <row r="106" spans="1:5" ht="16">
      <c r="A106" s="1" t="s">
        <v>193</v>
      </c>
      <c r="B106" s="1" t="s">
        <v>195</v>
      </c>
      <c r="C106" s="1" t="s">
        <v>104</v>
      </c>
      <c r="D106" s="1" t="s">
        <v>8</v>
      </c>
      <c r="E106" s="1" t="s">
        <v>105</v>
      </c>
    </row>
    <row r="107" spans="1:5" ht="16">
      <c r="A107" s="1" t="s">
        <v>193</v>
      </c>
      <c r="B107" s="1" t="s">
        <v>196</v>
      </c>
      <c r="C107" s="1" t="s">
        <v>104</v>
      </c>
      <c r="D107" s="1" t="s">
        <v>8</v>
      </c>
      <c r="E107" s="1" t="s">
        <v>105</v>
      </c>
    </row>
    <row r="108" spans="1:5" ht="16">
      <c r="A108" s="1" t="s">
        <v>197</v>
      </c>
      <c r="B108" s="1" t="s">
        <v>198</v>
      </c>
      <c r="C108" s="1" t="s">
        <v>104</v>
      </c>
      <c r="D108" s="1" t="s">
        <v>8</v>
      </c>
      <c r="E108" s="1" t="s">
        <v>111</v>
      </c>
    </row>
    <row r="109" spans="1:5" ht="16">
      <c r="A109" s="1" t="s">
        <v>197</v>
      </c>
      <c r="B109" s="1" t="s">
        <v>198</v>
      </c>
      <c r="C109" s="1" t="s">
        <v>110</v>
      </c>
      <c r="D109" s="1" t="s">
        <v>8</v>
      </c>
      <c r="E109" s="1" t="s">
        <v>111</v>
      </c>
    </row>
    <row r="110" spans="1:5" ht="16">
      <c r="A110" s="1" t="s">
        <v>197</v>
      </c>
      <c r="B110" s="1" t="s">
        <v>199</v>
      </c>
      <c r="C110" s="1" t="s">
        <v>104</v>
      </c>
      <c r="D110" s="1" t="s">
        <v>8</v>
      </c>
      <c r="E110" s="1" t="s">
        <v>111</v>
      </c>
    </row>
    <row r="111" spans="1:5" ht="16">
      <c r="A111" s="1" t="s">
        <v>200</v>
      </c>
      <c r="B111" s="1" t="s">
        <v>201</v>
      </c>
      <c r="C111" s="1" t="s">
        <v>123</v>
      </c>
      <c r="D111" s="1" t="s">
        <v>8</v>
      </c>
      <c r="E111" s="1" t="s">
        <v>124</v>
      </c>
    </row>
    <row r="112" spans="1:5" ht="16">
      <c r="A112" s="1" t="s">
        <v>200</v>
      </c>
      <c r="B112" s="1" t="s">
        <v>202</v>
      </c>
      <c r="C112" s="1" t="s">
        <v>104</v>
      </c>
      <c r="D112" s="1" t="s">
        <v>8</v>
      </c>
      <c r="E112" s="1" t="s">
        <v>105</v>
      </c>
    </row>
    <row r="113" spans="1:26" ht="16">
      <c r="A113" s="1" t="s">
        <v>200</v>
      </c>
      <c r="B113" s="1" t="s">
        <v>203</v>
      </c>
      <c r="C113" s="1" t="s">
        <v>123</v>
      </c>
      <c r="D113" s="1" t="s">
        <v>8</v>
      </c>
      <c r="E113" s="1" t="s">
        <v>124</v>
      </c>
    </row>
    <row r="114" spans="1:26" ht="16">
      <c r="A114" s="1" t="s">
        <v>200</v>
      </c>
      <c r="B114" s="1" t="s">
        <v>201</v>
      </c>
      <c r="C114" s="1" t="s">
        <v>104</v>
      </c>
      <c r="D114" s="1" t="s">
        <v>8</v>
      </c>
      <c r="E114" s="1" t="s">
        <v>105</v>
      </c>
    </row>
    <row r="115" spans="1:26" ht="16">
      <c r="A115" s="1" t="s">
        <v>200</v>
      </c>
      <c r="B115" s="1" t="s">
        <v>204</v>
      </c>
      <c r="C115" s="1" t="s">
        <v>104</v>
      </c>
      <c r="D115" s="1" t="s">
        <v>8</v>
      </c>
      <c r="E115" s="1" t="s">
        <v>105</v>
      </c>
    </row>
    <row r="116" spans="1:26" ht="16">
      <c r="A116" s="1" t="s">
        <v>200</v>
      </c>
      <c r="B116" s="1" t="s">
        <v>205</v>
      </c>
      <c r="C116" s="1" t="s">
        <v>104</v>
      </c>
      <c r="D116" s="1" t="s">
        <v>8</v>
      </c>
      <c r="E116" s="1" t="s">
        <v>111</v>
      </c>
    </row>
    <row r="117" spans="1:26" ht="16">
      <c r="A117" s="1" t="s">
        <v>200</v>
      </c>
      <c r="B117" s="1" t="s">
        <v>205</v>
      </c>
      <c r="C117" s="1" t="s">
        <v>110</v>
      </c>
      <c r="D117" s="1" t="s">
        <v>8</v>
      </c>
      <c r="E117" s="1" t="s">
        <v>111</v>
      </c>
    </row>
    <row r="118" spans="1:26" ht="16">
      <c r="A118" s="1" t="s">
        <v>200</v>
      </c>
      <c r="B118" s="1" t="s">
        <v>203</v>
      </c>
      <c r="C118" s="1" t="s">
        <v>104</v>
      </c>
      <c r="D118" s="1" t="s">
        <v>8</v>
      </c>
      <c r="E118" s="1" t="s">
        <v>105</v>
      </c>
    </row>
    <row r="119" spans="1:26" ht="16">
      <c r="A119" s="1" t="s">
        <v>206</v>
      </c>
      <c r="B119" s="1" t="s">
        <v>207</v>
      </c>
      <c r="C119" s="1" t="s">
        <v>104</v>
      </c>
      <c r="D119" s="1" t="s">
        <v>8</v>
      </c>
      <c r="E119" s="1" t="s">
        <v>105</v>
      </c>
    </row>
    <row r="120" spans="1:26" ht="16">
      <c r="A120" s="1" t="s">
        <v>206</v>
      </c>
      <c r="B120" s="1" t="s">
        <v>208</v>
      </c>
      <c r="C120" s="1" t="s">
        <v>104</v>
      </c>
      <c r="D120" s="1" t="s">
        <v>8</v>
      </c>
      <c r="E120" s="1" t="s">
        <v>105</v>
      </c>
    </row>
    <row r="121" spans="1:26" ht="16">
      <c r="A121" s="1" t="s">
        <v>209</v>
      </c>
      <c r="B121" s="1" t="s">
        <v>210</v>
      </c>
      <c r="C121" s="1" t="s">
        <v>104</v>
      </c>
      <c r="D121" s="1" t="s">
        <v>8</v>
      </c>
      <c r="E121" s="1" t="s">
        <v>113</v>
      </c>
    </row>
    <row r="122" spans="1:26" ht="16">
      <c r="A122" s="1" t="s">
        <v>209</v>
      </c>
      <c r="B122" s="1" t="s">
        <v>211</v>
      </c>
      <c r="C122" s="1" t="s">
        <v>104</v>
      </c>
      <c r="D122" s="1" t="s">
        <v>8</v>
      </c>
      <c r="E122" s="1" t="s">
        <v>105</v>
      </c>
    </row>
    <row r="123" spans="1:26" ht="16">
      <c r="A123" s="1" t="s">
        <v>209</v>
      </c>
      <c r="B123" s="1" t="s">
        <v>212</v>
      </c>
      <c r="C123" s="1" t="s">
        <v>104</v>
      </c>
      <c r="D123" s="1" t="s">
        <v>8</v>
      </c>
      <c r="E123" s="1" t="s">
        <v>105</v>
      </c>
    </row>
    <row r="124" spans="1:26" ht="16">
      <c r="A124" s="1" t="s">
        <v>213</v>
      </c>
      <c r="B124" s="1" t="s">
        <v>214</v>
      </c>
      <c r="C124" s="1" t="s">
        <v>104</v>
      </c>
      <c r="D124" s="1" t="s">
        <v>8</v>
      </c>
      <c r="E124" s="1" t="s">
        <v>111</v>
      </c>
    </row>
    <row r="125" spans="1:26" ht="16">
      <c r="A125" s="1" t="s">
        <v>213</v>
      </c>
      <c r="B125" s="1" t="s">
        <v>215</v>
      </c>
      <c r="C125" s="1" t="s">
        <v>104</v>
      </c>
      <c r="D125" s="1" t="s">
        <v>8</v>
      </c>
      <c r="E125" s="1" t="s">
        <v>105</v>
      </c>
    </row>
    <row r="126" spans="1:26" ht="16">
      <c r="A126" s="1" t="s">
        <v>213</v>
      </c>
      <c r="B126" s="1" t="s">
        <v>216</v>
      </c>
      <c r="C126" s="1" t="s">
        <v>104</v>
      </c>
      <c r="D126" s="1" t="s">
        <v>8</v>
      </c>
      <c r="E126" s="1" t="s">
        <v>105</v>
      </c>
    </row>
    <row r="127" spans="1:26" ht="16">
      <c r="A127" s="5" t="s">
        <v>213</v>
      </c>
      <c r="B127" s="5" t="s">
        <v>217</v>
      </c>
      <c r="C127" s="5" t="s">
        <v>104</v>
      </c>
      <c r="D127" s="5" t="s">
        <v>8</v>
      </c>
      <c r="E127" s="1" t="s">
        <v>105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">
      <c r="A128" s="5" t="s">
        <v>213</v>
      </c>
      <c r="B128" s="5" t="s">
        <v>218</v>
      </c>
      <c r="C128" s="5" t="s">
        <v>104</v>
      </c>
      <c r="D128" s="5" t="s">
        <v>8</v>
      </c>
      <c r="E128" s="5" t="s">
        <v>105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5" ht="16">
      <c r="A129" s="1" t="s">
        <v>219</v>
      </c>
      <c r="B129" s="1" t="s">
        <v>220</v>
      </c>
      <c r="C129" s="1" t="s">
        <v>104</v>
      </c>
      <c r="D129" s="1" t="s">
        <v>8</v>
      </c>
      <c r="E129" s="1" t="s">
        <v>105</v>
      </c>
    </row>
    <row r="130" spans="1:5" ht="16">
      <c r="A130" s="1" t="s">
        <v>219</v>
      </c>
      <c r="B130" s="1" t="s">
        <v>221</v>
      </c>
      <c r="C130" s="1" t="s">
        <v>104</v>
      </c>
      <c r="D130" s="1" t="s">
        <v>8</v>
      </c>
      <c r="E130" s="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35"/>
  <sheetViews>
    <sheetView workbookViewId="0"/>
  </sheetViews>
  <sheetFormatPr baseColWidth="10" defaultColWidth="12.6640625" defaultRowHeight="13"/>
  <cols>
    <col min="2" max="2" width="80.6640625" customWidth="1"/>
  </cols>
  <sheetData>
    <row r="1" spans="1:5" ht="16">
      <c r="A1" s="1" t="s">
        <v>222</v>
      </c>
      <c r="B1" s="1" t="s">
        <v>223</v>
      </c>
      <c r="C1" s="1" t="s">
        <v>224</v>
      </c>
      <c r="D1" s="1" t="s">
        <v>4</v>
      </c>
      <c r="E1" s="1" t="s">
        <v>225</v>
      </c>
    </row>
    <row r="2" spans="1:5" ht="16">
      <c r="A2" s="1" t="s">
        <v>226</v>
      </c>
      <c r="B2" s="1" t="s">
        <v>227</v>
      </c>
      <c r="C2" s="1" t="s">
        <v>228</v>
      </c>
      <c r="D2" s="1" t="s">
        <v>229</v>
      </c>
      <c r="E2" s="1"/>
    </row>
    <row r="3" spans="1:5" ht="16">
      <c r="A3" s="1" t="s">
        <v>226</v>
      </c>
      <c r="B3" s="1" t="s">
        <v>230</v>
      </c>
      <c r="C3" s="1" t="s">
        <v>228</v>
      </c>
      <c r="D3" s="1" t="s">
        <v>229</v>
      </c>
      <c r="E3" s="1"/>
    </row>
    <row r="4" spans="1:5" ht="16">
      <c r="A4" s="1" t="s">
        <v>226</v>
      </c>
      <c r="B4" s="1" t="s">
        <v>231</v>
      </c>
      <c r="C4" s="1" t="s">
        <v>228</v>
      </c>
      <c r="D4" s="1" t="s">
        <v>229</v>
      </c>
      <c r="E4" s="1"/>
    </row>
    <row r="5" spans="1:5" ht="16">
      <c r="A5" s="1" t="s">
        <v>226</v>
      </c>
      <c r="B5" s="1" t="s">
        <v>232</v>
      </c>
      <c r="C5" s="1" t="s">
        <v>228</v>
      </c>
      <c r="D5" s="1" t="s">
        <v>229</v>
      </c>
      <c r="E5" s="1"/>
    </row>
    <row r="6" spans="1:5" ht="16">
      <c r="A6" s="1" t="s">
        <v>226</v>
      </c>
      <c r="B6" s="1" t="s">
        <v>233</v>
      </c>
      <c r="C6" s="1" t="s">
        <v>234</v>
      </c>
      <c r="D6" s="1" t="s">
        <v>229</v>
      </c>
      <c r="E6" s="1"/>
    </row>
    <row r="7" spans="1:5" ht="16">
      <c r="A7" s="1" t="s">
        <v>226</v>
      </c>
      <c r="B7" s="1" t="s">
        <v>235</v>
      </c>
      <c r="C7" s="1" t="s">
        <v>234</v>
      </c>
      <c r="D7" s="1" t="s">
        <v>229</v>
      </c>
      <c r="E7" s="1"/>
    </row>
    <row r="8" spans="1:5" ht="16">
      <c r="A8" s="1" t="s">
        <v>226</v>
      </c>
      <c r="B8" s="1" t="s">
        <v>236</v>
      </c>
      <c r="C8" s="1" t="s">
        <v>228</v>
      </c>
      <c r="D8" s="1" t="s">
        <v>229</v>
      </c>
      <c r="E8" s="1"/>
    </row>
    <row r="9" spans="1:5" ht="16">
      <c r="A9" s="1" t="s">
        <v>226</v>
      </c>
      <c r="B9" s="1" t="s">
        <v>237</v>
      </c>
      <c r="C9" s="1" t="s">
        <v>234</v>
      </c>
      <c r="D9" s="1" t="s">
        <v>229</v>
      </c>
      <c r="E9" s="1"/>
    </row>
    <row r="10" spans="1:5" ht="16">
      <c r="A10" s="1" t="s">
        <v>226</v>
      </c>
      <c r="B10" s="1" t="s">
        <v>238</v>
      </c>
      <c r="C10" s="1" t="s">
        <v>228</v>
      </c>
      <c r="D10" s="1" t="s">
        <v>229</v>
      </c>
      <c r="E10" s="1"/>
    </row>
    <row r="11" spans="1:5" ht="16">
      <c r="A11" s="1" t="s">
        <v>226</v>
      </c>
      <c r="B11" s="1" t="s">
        <v>239</v>
      </c>
      <c r="C11" s="1" t="s">
        <v>234</v>
      </c>
      <c r="D11" s="1" t="s">
        <v>229</v>
      </c>
      <c r="E11" s="1"/>
    </row>
    <row r="12" spans="1:5" ht="16">
      <c r="A12" s="1" t="s">
        <v>226</v>
      </c>
      <c r="B12" s="1" t="s">
        <v>240</v>
      </c>
      <c r="C12" s="1" t="s">
        <v>228</v>
      </c>
      <c r="D12" s="1" t="s">
        <v>229</v>
      </c>
      <c r="E12" s="1"/>
    </row>
    <row r="13" spans="1:5" ht="16">
      <c r="A13" s="1" t="s">
        <v>226</v>
      </c>
      <c r="B13" s="1" t="s">
        <v>241</v>
      </c>
      <c r="C13" s="1" t="s">
        <v>228</v>
      </c>
      <c r="D13" s="1" t="s">
        <v>229</v>
      </c>
      <c r="E13" s="1"/>
    </row>
    <row r="14" spans="1:5" ht="16">
      <c r="A14" s="1" t="s">
        <v>226</v>
      </c>
      <c r="B14" s="1" t="s">
        <v>242</v>
      </c>
      <c r="C14" s="1" t="s">
        <v>228</v>
      </c>
      <c r="D14" s="1" t="s">
        <v>229</v>
      </c>
      <c r="E14" s="1"/>
    </row>
    <row r="15" spans="1:5" ht="16">
      <c r="A15" s="1" t="s">
        <v>226</v>
      </c>
      <c r="B15" s="1" t="s">
        <v>243</v>
      </c>
      <c r="C15" s="1" t="s">
        <v>228</v>
      </c>
      <c r="D15" s="1" t="s">
        <v>229</v>
      </c>
      <c r="E15" s="1"/>
    </row>
    <row r="16" spans="1:5" ht="16">
      <c r="A16" s="1" t="s">
        <v>226</v>
      </c>
      <c r="B16" s="1" t="s">
        <v>244</v>
      </c>
      <c r="C16" s="1" t="s">
        <v>228</v>
      </c>
      <c r="D16" s="1" t="s">
        <v>229</v>
      </c>
      <c r="E16" s="1"/>
    </row>
    <row r="17" spans="1:5" ht="16">
      <c r="A17" s="1" t="s">
        <v>226</v>
      </c>
      <c r="B17" s="1" t="s">
        <v>245</v>
      </c>
      <c r="C17" s="1" t="s">
        <v>228</v>
      </c>
      <c r="D17" s="1" t="s">
        <v>229</v>
      </c>
      <c r="E17" s="1"/>
    </row>
    <row r="18" spans="1:5" ht="16">
      <c r="A18" s="1" t="s">
        <v>226</v>
      </c>
      <c r="B18" s="1" t="s">
        <v>246</v>
      </c>
      <c r="C18" s="1" t="s">
        <v>228</v>
      </c>
      <c r="D18" s="1" t="s">
        <v>229</v>
      </c>
      <c r="E18" s="1"/>
    </row>
    <row r="19" spans="1:5" ht="16">
      <c r="A19" s="1" t="s">
        <v>226</v>
      </c>
      <c r="B19" s="1" t="s">
        <v>247</v>
      </c>
      <c r="C19" s="1" t="s">
        <v>228</v>
      </c>
      <c r="D19" s="1" t="s">
        <v>229</v>
      </c>
      <c r="E19" s="1"/>
    </row>
    <row r="20" spans="1:5" ht="16">
      <c r="A20" s="1" t="s">
        <v>226</v>
      </c>
      <c r="B20" s="1" t="s">
        <v>248</v>
      </c>
      <c r="C20" s="1" t="s">
        <v>228</v>
      </c>
      <c r="D20" s="1" t="s">
        <v>229</v>
      </c>
      <c r="E20" s="1"/>
    </row>
    <row r="21" spans="1:5" ht="16">
      <c r="A21" s="1" t="s">
        <v>226</v>
      </c>
      <c r="B21" s="1" t="s">
        <v>249</v>
      </c>
      <c r="C21" s="1" t="s">
        <v>228</v>
      </c>
      <c r="D21" s="1" t="s">
        <v>229</v>
      </c>
      <c r="E21" s="1"/>
    </row>
    <row r="22" spans="1:5" ht="16">
      <c r="A22" s="1" t="s">
        <v>226</v>
      </c>
      <c r="B22" s="1" t="s">
        <v>250</v>
      </c>
      <c r="C22" s="1" t="s">
        <v>234</v>
      </c>
      <c r="D22" s="1" t="s">
        <v>229</v>
      </c>
      <c r="E22" s="1"/>
    </row>
    <row r="23" spans="1:5" ht="16">
      <c r="A23" s="1" t="s">
        <v>226</v>
      </c>
      <c r="B23" s="1" t="s">
        <v>251</v>
      </c>
      <c r="C23" s="1" t="s">
        <v>234</v>
      </c>
      <c r="D23" s="1" t="s">
        <v>229</v>
      </c>
      <c r="E23" s="1"/>
    </row>
    <row r="24" spans="1:5" ht="16">
      <c r="A24" s="1" t="s">
        <v>226</v>
      </c>
      <c r="B24" s="1" t="s">
        <v>252</v>
      </c>
      <c r="C24" s="1" t="s">
        <v>234</v>
      </c>
      <c r="D24" s="1" t="s">
        <v>229</v>
      </c>
      <c r="E24" s="1"/>
    </row>
    <row r="25" spans="1:5" ht="16">
      <c r="A25" s="1" t="s">
        <v>226</v>
      </c>
      <c r="B25" s="1" t="s">
        <v>253</v>
      </c>
      <c r="C25" s="1" t="s">
        <v>234</v>
      </c>
      <c r="D25" s="1" t="s">
        <v>229</v>
      </c>
      <c r="E25" s="1"/>
    </row>
    <row r="26" spans="1:5" ht="16">
      <c r="A26" s="1" t="s">
        <v>226</v>
      </c>
      <c r="B26" s="1" t="s">
        <v>254</v>
      </c>
      <c r="C26" s="1" t="s">
        <v>234</v>
      </c>
      <c r="D26" s="1" t="s">
        <v>229</v>
      </c>
      <c r="E26" s="1"/>
    </row>
    <row r="27" spans="1:5" ht="16">
      <c r="A27" s="1" t="s">
        <v>226</v>
      </c>
      <c r="B27" s="1" t="s">
        <v>255</v>
      </c>
      <c r="C27" s="1" t="s">
        <v>228</v>
      </c>
      <c r="D27" s="1" t="s">
        <v>229</v>
      </c>
      <c r="E27" s="1"/>
    </row>
    <row r="28" spans="1:5" ht="16">
      <c r="A28" s="1" t="s">
        <v>226</v>
      </c>
      <c r="B28" s="1" t="s">
        <v>256</v>
      </c>
      <c r="C28" s="1" t="s">
        <v>234</v>
      </c>
      <c r="D28" s="1" t="s">
        <v>229</v>
      </c>
      <c r="E28" s="1"/>
    </row>
    <row r="29" spans="1:5" ht="16">
      <c r="A29" s="1" t="s">
        <v>226</v>
      </c>
      <c r="B29" s="1" t="s">
        <v>257</v>
      </c>
      <c r="C29" s="1" t="s">
        <v>228</v>
      </c>
      <c r="D29" s="1" t="s">
        <v>229</v>
      </c>
      <c r="E29" s="1"/>
    </row>
    <row r="30" spans="1:5" ht="16">
      <c r="A30" s="1" t="s">
        <v>226</v>
      </c>
      <c r="B30" s="1" t="s">
        <v>258</v>
      </c>
      <c r="C30" s="1" t="s">
        <v>228</v>
      </c>
      <c r="D30" s="1" t="s">
        <v>229</v>
      </c>
      <c r="E30" s="1"/>
    </row>
    <row r="31" spans="1:5" ht="16">
      <c r="A31" s="1" t="s">
        <v>226</v>
      </c>
      <c r="B31" s="1" t="s">
        <v>259</v>
      </c>
      <c r="C31" s="1" t="s">
        <v>228</v>
      </c>
      <c r="D31" s="1" t="s">
        <v>229</v>
      </c>
      <c r="E31" s="1"/>
    </row>
    <row r="32" spans="1:5" ht="16">
      <c r="A32" s="1" t="s">
        <v>226</v>
      </c>
      <c r="B32" s="1" t="s">
        <v>260</v>
      </c>
      <c r="C32" s="1" t="s">
        <v>228</v>
      </c>
      <c r="D32" s="1" t="s">
        <v>229</v>
      </c>
      <c r="E32" s="1"/>
    </row>
    <row r="33" spans="1:5" ht="16">
      <c r="A33" s="1" t="s">
        <v>226</v>
      </c>
      <c r="B33" s="1" t="s">
        <v>261</v>
      </c>
      <c r="C33" s="1" t="s">
        <v>228</v>
      </c>
      <c r="D33" s="1" t="s">
        <v>229</v>
      </c>
      <c r="E33" s="1"/>
    </row>
    <row r="34" spans="1:5" ht="16">
      <c r="A34" s="1" t="s">
        <v>226</v>
      </c>
      <c r="B34" s="1" t="s">
        <v>262</v>
      </c>
      <c r="C34" s="1" t="s">
        <v>263</v>
      </c>
      <c r="D34" s="1" t="s">
        <v>229</v>
      </c>
      <c r="E34" s="1"/>
    </row>
    <row r="35" spans="1:5" ht="16">
      <c r="A35" s="1" t="s">
        <v>226</v>
      </c>
      <c r="B35" s="1" t="s">
        <v>264</v>
      </c>
      <c r="C35" s="1" t="s">
        <v>265</v>
      </c>
      <c r="D35" s="1" t="s">
        <v>229</v>
      </c>
      <c r="E35" s="1"/>
    </row>
    <row r="36" spans="1:5" ht="16">
      <c r="A36" s="1" t="s">
        <v>226</v>
      </c>
      <c r="B36" s="1" t="s">
        <v>266</v>
      </c>
      <c r="C36" s="1" t="s">
        <v>263</v>
      </c>
      <c r="D36" s="1" t="s">
        <v>229</v>
      </c>
      <c r="E36" s="1"/>
    </row>
    <row r="37" spans="1:5" ht="16">
      <c r="A37" s="1" t="s">
        <v>226</v>
      </c>
      <c r="B37" s="1" t="s">
        <v>267</v>
      </c>
      <c r="C37" s="1" t="s">
        <v>228</v>
      </c>
      <c r="D37" s="1" t="s">
        <v>229</v>
      </c>
      <c r="E37" s="1"/>
    </row>
    <row r="38" spans="1:5" ht="16">
      <c r="A38" s="1" t="s">
        <v>226</v>
      </c>
      <c r="B38" s="1" t="s">
        <v>268</v>
      </c>
      <c r="C38" s="1" t="s">
        <v>263</v>
      </c>
      <c r="D38" s="1" t="s">
        <v>229</v>
      </c>
      <c r="E38" s="1"/>
    </row>
    <row r="39" spans="1:5" ht="16">
      <c r="A39" s="1" t="s">
        <v>226</v>
      </c>
      <c r="B39" s="1" t="s">
        <v>269</v>
      </c>
      <c r="C39" s="1" t="s">
        <v>263</v>
      </c>
      <c r="D39" s="1" t="s">
        <v>229</v>
      </c>
      <c r="E39" s="1"/>
    </row>
    <row r="40" spans="1:5" ht="16">
      <c r="A40" s="1" t="s">
        <v>226</v>
      </c>
      <c r="B40" s="1" t="s">
        <v>270</v>
      </c>
      <c r="C40" s="1" t="s">
        <v>265</v>
      </c>
      <c r="D40" s="1" t="s">
        <v>229</v>
      </c>
      <c r="E40" s="1"/>
    </row>
    <row r="41" spans="1:5" ht="16">
      <c r="A41" s="1" t="s">
        <v>226</v>
      </c>
      <c r="B41" s="1" t="s">
        <v>271</v>
      </c>
      <c r="C41" s="1" t="s">
        <v>265</v>
      </c>
      <c r="D41" s="1" t="s">
        <v>229</v>
      </c>
      <c r="E41" s="1"/>
    </row>
    <row r="42" spans="1:5" ht="16">
      <c r="A42" s="1" t="s">
        <v>226</v>
      </c>
      <c r="B42" s="1" t="s">
        <v>272</v>
      </c>
      <c r="C42" s="1" t="s">
        <v>263</v>
      </c>
      <c r="D42" s="1" t="s">
        <v>229</v>
      </c>
      <c r="E42" s="1"/>
    </row>
    <row r="43" spans="1:5" ht="16">
      <c r="A43" s="1" t="s">
        <v>226</v>
      </c>
      <c r="B43" s="1" t="s">
        <v>273</v>
      </c>
      <c r="C43" s="1" t="s">
        <v>263</v>
      </c>
      <c r="D43" s="1" t="s">
        <v>229</v>
      </c>
      <c r="E43" s="1"/>
    </row>
    <row r="44" spans="1:5" ht="16">
      <c r="A44" s="1" t="s">
        <v>226</v>
      </c>
      <c r="B44" s="1" t="s">
        <v>274</v>
      </c>
      <c r="C44" s="1" t="s">
        <v>263</v>
      </c>
      <c r="D44" s="1" t="s">
        <v>229</v>
      </c>
      <c r="E44" s="1"/>
    </row>
    <row r="45" spans="1:5" ht="16">
      <c r="A45" s="1" t="s">
        <v>226</v>
      </c>
      <c r="B45" s="1" t="s">
        <v>275</v>
      </c>
      <c r="C45" s="1" t="s">
        <v>263</v>
      </c>
      <c r="D45" s="1" t="s">
        <v>229</v>
      </c>
      <c r="E45" s="1"/>
    </row>
    <row r="46" spans="1:5" ht="16">
      <c r="A46" s="1" t="s">
        <v>226</v>
      </c>
      <c r="B46" s="1" t="s">
        <v>276</v>
      </c>
      <c r="C46" s="1" t="s">
        <v>263</v>
      </c>
      <c r="D46" s="1" t="s">
        <v>229</v>
      </c>
      <c r="E46" s="1"/>
    </row>
    <row r="47" spans="1:5" ht="16">
      <c r="A47" s="1" t="s">
        <v>226</v>
      </c>
      <c r="B47" s="1" t="s">
        <v>277</v>
      </c>
      <c r="C47" s="1" t="s">
        <v>263</v>
      </c>
      <c r="D47" s="1" t="s">
        <v>229</v>
      </c>
      <c r="E47" s="1"/>
    </row>
    <row r="48" spans="1:5" ht="16">
      <c r="A48" s="1" t="s">
        <v>226</v>
      </c>
      <c r="B48" s="1" t="s">
        <v>278</v>
      </c>
      <c r="C48" s="1" t="s">
        <v>263</v>
      </c>
      <c r="D48" s="1" t="s">
        <v>229</v>
      </c>
      <c r="E48" s="1"/>
    </row>
    <row r="49" spans="1:5" ht="16">
      <c r="A49" s="1" t="s">
        <v>226</v>
      </c>
      <c r="B49" s="1" t="s">
        <v>279</v>
      </c>
      <c r="C49" s="1" t="s">
        <v>263</v>
      </c>
      <c r="D49" s="1" t="s">
        <v>229</v>
      </c>
      <c r="E49" s="1"/>
    </row>
    <row r="50" spans="1:5" ht="16">
      <c r="A50" s="1" t="s">
        <v>226</v>
      </c>
      <c r="B50" s="1" t="s">
        <v>280</v>
      </c>
      <c r="C50" s="1" t="s">
        <v>265</v>
      </c>
      <c r="D50" s="1" t="s">
        <v>229</v>
      </c>
      <c r="E50" s="1"/>
    </row>
    <row r="51" spans="1:5" ht="16">
      <c r="A51" s="1" t="s">
        <v>226</v>
      </c>
      <c r="B51" s="1" t="s">
        <v>281</v>
      </c>
      <c r="C51" s="1" t="s">
        <v>265</v>
      </c>
      <c r="D51" s="1" t="s">
        <v>229</v>
      </c>
      <c r="E51" s="1"/>
    </row>
    <row r="52" spans="1:5" ht="16">
      <c r="A52" s="1" t="s">
        <v>226</v>
      </c>
      <c r="B52" s="1" t="s">
        <v>282</v>
      </c>
      <c r="C52" s="1" t="s">
        <v>263</v>
      </c>
      <c r="D52" s="1" t="s">
        <v>229</v>
      </c>
      <c r="E52" s="1"/>
    </row>
    <row r="53" spans="1:5" ht="16">
      <c r="A53" s="1" t="s">
        <v>226</v>
      </c>
      <c r="B53" s="1" t="s">
        <v>283</v>
      </c>
      <c r="C53" s="1" t="s">
        <v>263</v>
      </c>
      <c r="D53" s="1" t="s">
        <v>229</v>
      </c>
      <c r="E53" s="1"/>
    </row>
    <row r="54" spans="1:5" ht="16">
      <c r="A54" s="1" t="s">
        <v>226</v>
      </c>
      <c r="B54" s="1" t="s">
        <v>284</v>
      </c>
      <c r="C54" s="1" t="s">
        <v>265</v>
      </c>
      <c r="D54" s="1" t="s">
        <v>229</v>
      </c>
      <c r="E54" s="1"/>
    </row>
    <row r="55" spans="1:5" ht="16">
      <c r="A55" s="1" t="s">
        <v>226</v>
      </c>
      <c r="B55" s="1" t="s">
        <v>285</v>
      </c>
      <c r="C55" s="1" t="s">
        <v>263</v>
      </c>
      <c r="D55" s="1" t="s">
        <v>229</v>
      </c>
      <c r="E55" s="1"/>
    </row>
    <row r="56" spans="1:5" ht="16">
      <c r="A56" s="1" t="s">
        <v>226</v>
      </c>
      <c r="B56" s="1" t="s">
        <v>286</v>
      </c>
      <c r="C56" s="1" t="s">
        <v>263</v>
      </c>
      <c r="D56" s="1" t="s">
        <v>229</v>
      </c>
      <c r="E56" s="1"/>
    </row>
    <row r="57" spans="1:5" ht="16">
      <c r="A57" s="1" t="s">
        <v>226</v>
      </c>
      <c r="B57" s="1" t="s">
        <v>287</v>
      </c>
      <c r="C57" s="1" t="s">
        <v>263</v>
      </c>
      <c r="D57" s="1" t="s">
        <v>229</v>
      </c>
      <c r="E57" s="1"/>
    </row>
    <row r="58" spans="1:5" ht="16">
      <c r="A58" s="1" t="s">
        <v>226</v>
      </c>
      <c r="B58" s="1" t="s">
        <v>288</v>
      </c>
      <c r="C58" s="1" t="s">
        <v>263</v>
      </c>
      <c r="D58" s="1" t="s">
        <v>229</v>
      </c>
      <c r="E58" s="1"/>
    </row>
    <row r="59" spans="1:5" ht="16">
      <c r="A59" s="1" t="s">
        <v>226</v>
      </c>
      <c r="B59" s="1" t="s">
        <v>289</v>
      </c>
      <c r="C59" s="1" t="s">
        <v>265</v>
      </c>
      <c r="D59" s="1" t="s">
        <v>229</v>
      </c>
      <c r="E59" s="1"/>
    </row>
    <row r="60" spans="1:5" ht="16">
      <c r="A60" s="1" t="s">
        <v>226</v>
      </c>
      <c r="B60" s="1" t="s">
        <v>290</v>
      </c>
      <c r="C60" s="1" t="s">
        <v>263</v>
      </c>
      <c r="D60" s="1" t="s">
        <v>229</v>
      </c>
      <c r="E60" s="1"/>
    </row>
    <row r="61" spans="1:5" ht="16">
      <c r="A61" s="1" t="s">
        <v>226</v>
      </c>
      <c r="B61" s="1" t="s">
        <v>291</v>
      </c>
      <c r="C61" s="1" t="s">
        <v>263</v>
      </c>
      <c r="D61" s="1" t="s">
        <v>229</v>
      </c>
      <c r="E61" s="1"/>
    </row>
    <row r="62" spans="1:5" ht="16">
      <c r="A62" s="1" t="s">
        <v>226</v>
      </c>
      <c r="B62" s="1" t="s">
        <v>292</v>
      </c>
      <c r="C62" s="1" t="s">
        <v>263</v>
      </c>
      <c r="D62" s="1" t="s">
        <v>229</v>
      </c>
      <c r="E62" s="1"/>
    </row>
    <row r="63" spans="1:5" ht="16">
      <c r="A63" s="1" t="s">
        <v>226</v>
      </c>
      <c r="B63" s="1" t="s">
        <v>293</v>
      </c>
      <c r="C63" s="1" t="s">
        <v>265</v>
      </c>
      <c r="D63" s="1" t="s">
        <v>229</v>
      </c>
      <c r="E63" s="1"/>
    </row>
    <row r="64" spans="1:5" ht="16">
      <c r="A64" s="1" t="s">
        <v>226</v>
      </c>
      <c r="B64" s="1" t="s">
        <v>294</v>
      </c>
      <c r="C64" s="1" t="s">
        <v>263</v>
      </c>
      <c r="D64" s="1" t="s">
        <v>229</v>
      </c>
      <c r="E64" s="1"/>
    </row>
    <row r="65" spans="1:5" ht="16">
      <c r="A65" s="1" t="s">
        <v>226</v>
      </c>
      <c r="B65" s="1" t="s">
        <v>295</v>
      </c>
      <c r="C65" s="1" t="s">
        <v>263</v>
      </c>
      <c r="D65" s="1" t="s">
        <v>229</v>
      </c>
      <c r="E65" s="1"/>
    </row>
    <row r="66" spans="1:5" ht="16">
      <c r="A66" s="1" t="s">
        <v>226</v>
      </c>
      <c r="B66" s="1" t="s">
        <v>296</v>
      </c>
      <c r="C66" s="1" t="s">
        <v>263</v>
      </c>
      <c r="D66" s="1" t="s">
        <v>229</v>
      </c>
      <c r="E66" s="1"/>
    </row>
    <row r="67" spans="1:5" ht="16">
      <c r="A67" s="1" t="s">
        <v>226</v>
      </c>
      <c r="B67" s="1" t="s">
        <v>297</v>
      </c>
      <c r="C67" s="1" t="s">
        <v>263</v>
      </c>
      <c r="D67" s="1" t="s">
        <v>229</v>
      </c>
      <c r="E67" s="1"/>
    </row>
    <row r="68" spans="1:5" ht="16">
      <c r="A68" s="1" t="s">
        <v>226</v>
      </c>
      <c r="B68" s="1" t="s">
        <v>298</v>
      </c>
      <c r="C68" s="1" t="s">
        <v>228</v>
      </c>
      <c r="D68" s="1" t="s">
        <v>229</v>
      </c>
      <c r="E68" s="1"/>
    </row>
    <row r="69" spans="1:5" ht="16">
      <c r="A69" s="1" t="s">
        <v>226</v>
      </c>
      <c r="B69" s="1" t="s">
        <v>299</v>
      </c>
      <c r="C69" s="1" t="s">
        <v>263</v>
      </c>
      <c r="D69" s="1" t="s">
        <v>229</v>
      </c>
      <c r="E69" s="1"/>
    </row>
    <row r="70" spans="1:5" ht="16">
      <c r="A70" s="1" t="s">
        <v>226</v>
      </c>
      <c r="B70" s="1" t="s">
        <v>300</v>
      </c>
      <c r="C70" s="1" t="s">
        <v>263</v>
      </c>
      <c r="D70" s="1" t="s">
        <v>229</v>
      </c>
      <c r="E70" s="1"/>
    </row>
    <row r="71" spans="1:5" ht="16">
      <c r="A71" s="1" t="s">
        <v>226</v>
      </c>
      <c r="B71" s="1" t="s">
        <v>301</v>
      </c>
      <c r="C71" s="1" t="s">
        <v>263</v>
      </c>
      <c r="D71" s="1" t="s">
        <v>229</v>
      </c>
      <c r="E71" s="1"/>
    </row>
    <row r="72" spans="1:5" ht="16">
      <c r="A72" s="1" t="s">
        <v>226</v>
      </c>
      <c r="B72" s="1" t="s">
        <v>302</v>
      </c>
      <c r="C72" s="1" t="s">
        <v>265</v>
      </c>
      <c r="D72" s="1" t="s">
        <v>229</v>
      </c>
      <c r="E72" s="1"/>
    </row>
    <row r="73" spans="1:5" ht="16">
      <c r="A73" s="1" t="s">
        <v>226</v>
      </c>
      <c r="B73" s="1" t="s">
        <v>303</v>
      </c>
      <c r="C73" s="1" t="s">
        <v>265</v>
      </c>
      <c r="D73" s="1" t="s">
        <v>229</v>
      </c>
      <c r="E73" s="1"/>
    </row>
    <row r="74" spans="1:5" ht="16">
      <c r="A74" s="1" t="s">
        <v>226</v>
      </c>
      <c r="B74" s="1" t="s">
        <v>304</v>
      </c>
      <c r="C74" s="1" t="s">
        <v>263</v>
      </c>
      <c r="D74" s="1" t="s">
        <v>229</v>
      </c>
      <c r="E74" s="1"/>
    </row>
    <row r="75" spans="1:5" ht="16">
      <c r="A75" s="1" t="s">
        <v>226</v>
      </c>
      <c r="B75" s="1" t="s">
        <v>305</v>
      </c>
      <c r="C75" s="1" t="s">
        <v>263</v>
      </c>
      <c r="D75" s="1" t="s">
        <v>229</v>
      </c>
      <c r="E75" s="1"/>
    </row>
    <row r="76" spans="1:5" ht="16">
      <c r="A76" s="1" t="s">
        <v>226</v>
      </c>
      <c r="B76" s="1" t="s">
        <v>306</v>
      </c>
      <c r="C76" s="1" t="s">
        <v>307</v>
      </c>
      <c r="D76" s="1" t="s">
        <v>229</v>
      </c>
      <c r="E76" s="1"/>
    </row>
    <row r="77" spans="1:5" ht="16">
      <c r="A77" s="1" t="s">
        <v>226</v>
      </c>
      <c r="B77" s="1" t="s">
        <v>308</v>
      </c>
      <c r="C77" s="1" t="s">
        <v>307</v>
      </c>
      <c r="D77" s="1" t="s">
        <v>229</v>
      </c>
      <c r="E77" s="1"/>
    </row>
    <row r="78" spans="1:5" ht="16">
      <c r="A78" s="1" t="s">
        <v>226</v>
      </c>
      <c r="B78" s="1" t="s">
        <v>309</v>
      </c>
      <c r="C78" s="1" t="s">
        <v>307</v>
      </c>
      <c r="D78" s="1" t="s">
        <v>229</v>
      </c>
      <c r="E78" s="1"/>
    </row>
    <row r="79" spans="1:5" ht="16">
      <c r="A79" s="1" t="s">
        <v>226</v>
      </c>
      <c r="B79" s="1" t="s">
        <v>310</v>
      </c>
      <c r="C79" s="1" t="s">
        <v>307</v>
      </c>
      <c r="D79" s="1" t="s">
        <v>229</v>
      </c>
      <c r="E79" s="1"/>
    </row>
    <row r="80" spans="1:5" ht="16">
      <c r="A80" s="1" t="s">
        <v>226</v>
      </c>
      <c r="B80" s="1" t="s">
        <v>311</v>
      </c>
      <c r="C80" s="1" t="s">
        <v>307</v>
      </c>
      <c r="D80" s="1" t="s">
        <v>229</v>
      </c>
      <c r="E80" s="1"/>
    </row>
    <row r="81" spans="1:5" ht="16">
      <c r="A81" s="1" t="s">
        <v>226</v>
      </c>
      <c r="B81" s="1" t="s">
        <v>312</v>
      </c>
      <c r="C81" s="1" t="s">
        <v>307</v>
      </c>
      <c r="D81" s="1" t="s">
        <v>229</v>
      </c>
      <c r="E81" s="1"/>
    </row>
    <row r="82" spans="1:5" ht="16">
      <c r="A82" s="1" t="s">
        <v>226</v>
      </c>
      <c r="B82" s="1" t="s">
        <v>313</v>
      </c>
      <c r="C82" s="1" t="s">
        <v>307</v>
      </c>
      <c r="D82" s="1" t="s">
        <v>229</v>
      </c>
      <c r="E82" s="1"/>
    </row>
    <row r="83" spans="1:5" ht="16">
      <c r="A83" s="1" t="s">
        <v>226</v>
      </c>
      <c r="B83" s="1" t="s">
        <v>314</v>
      </c>
      <c r="C83" s="1" t="s">
        <v>307</v>
      </c>
      <c r="D83" s="1" t="s">
        <v>229</v>
      </c>
      <c r="E83" s="1"/>
    </row>
    <row r="84" spans="1:5" ht="16">
      <c r="A84" s="1" t="s">
        <v>226</v>
      </c>
      <c r="B84" s="1" t="s">
        <v>315</v>
      </c>
      <c r="C84" s="1" t="s">
        <v>307</v>
      </c>
      <c r="D84" s="1" t="s">
        <v>229</v>
      </c>
      <c r="E84" s="1"/>
    </row>
    <row r="85" spans="1:5" ht="16">
      <c r="A85" s="1" t="s">
        <v>226</v>
      </c>
      <c r="B85" s="1" t="s">
        <v>316</v>
      </c>
      <c r="C85" s="1" t="s">
        <v>307</v>
      </c>
      <c r="D85" s="1" t="s">
        <v>229</v>
      </c>
      <c r="E85" s="1"/>
    </row>
    <row r="86" spans="1:5" ht="16">
      <c r="A86" s="1" t="s">
        <v>317</v>
      </c>
      <c r="B86" s="1" t="s">
        <v>318</v>
      </c>
      <c r="C86" s="1" t="s">
        <v>319</v>
      </c>
      <c r="D86" s="1" t="s">
        <v>229</v>
      </c>
      <c r="E86" s="1"/>
    </row>
    <row r="87" spans="1:5" ht="16">
      <c r="A87" s="1" t="s">
        <v>317</v>
      </c>
      <c r="B87" s="1" t="s">
        <v>320</v>
      </c>
      <c r="C87" s="1" t="s">
        <v>319</v>
      </c>
      <c r="D87" s="1" t="s">
        <v>229</v>
      </c>
      <c r="E87" s="1"/>
    </row>
    <row r="88" spans="1:5" ht="16">
      <c r="A88" s="1" t="s">
        <v>317</v>
      </c>
      <c r="B88" s="1" t="s">
        <v>321</v>
      </c>
      <c r="C88" s="1" t="s">
        <v>319</v>
      </c>
      <c r="D88" s="1" t="s">
        <v>229</v>
      </c>
      <c r="E88" s="1"/>
    </row>
    <row r="89" spans="1:5" ht="16">
      <c r="A89" s="1" t="s">
        <v>317</v>
      </c>
      <c r="B89" s="1" t="s">
        <v>322</v>
      </c>
      <c r="C89" s="1" t="s">
        <v>319</v>
      </c>
      <c r="D89" s="1" t="s">
        <v>229</v>
      </c>
      <c r="E89" s="1"/>
    </row>
    <row r="90" spans="1:5" ht="16">
      <c r="A90" s="1" t="s">
        <v>317</v>
      </c>
      <c r="B90" s="1" t="s">
        <v>323</v>
      </c>
      <c r="C90" s="1" t="s">
        <v>319</v>
      </c>
      <c r="D90" s="1" t="s">
        <v>229</v>
      </c>
      <c r="E90" s="1"/>
    </row>
    <row r="91" spans="1:5" ht="16">
      <c r="A91" s="1" t="s">
        <v>317</v>
      </c>
      <c r="B91" s="1" t="s">
        <v>324</v>
      </c>
      <c r="C91" s="1" t="s">
        <v>319</v>
      </c>
      <c r="D91" s="1" t="s">
        <v>229</v>
      </c>
      <c r="E91" s="1"/>
    </row>
    <row r="92" spans="1:5" ht="16">
      <c r="A92" s="1" t="s">
        <v>317</v>
      </c>
      <c r="B92" s="1" t="s">
        <v>325</v>
      </c>
      <c r="C92" s="1" t="s">
        <v>319</v>
      </c>
      <c r="D92" s="1" t="s">
        <v>229</v>
      </c>
      <c r="E92" s="1"/>
    </row>
    <row r="93" spans="1:5" ht="16">
      <c r="A93" s="1" t="s">
        <v>317</v>
      </c>
      <c r="B93" s="1" t="s">
        <v>325</v>
      </c>
      <c r="C93" s="1" t="s">
        <v>319</v>
      </c>
      <c r="D93" s="1" t="s">
        <v>229</v>
      </c>
      <c r="E93" s="1"/>
    </row>
    <row r="94" spans="1:5" ht="16">
      <c r="A94" s="1" t="s">
        <v>317</v>
      </c>
      <c r="B94" s="1" t="s">
        <v>326</v>
      </c>
      <c r="C94" s="1" t="s">
        <v>319</v>
      </c>
      <c r="D94" s="1" t="s">
        <v>229</v>
      </c>
      <c r="E94" s="1"/>
    </row>
    <row r="95" spans="1:5" ht="16">
      <c r="A95" s="1" t="s">
        <v>317</v>
      </c>
      <c r="B95" s="1" t="s">
        <v>327</v>
      </c>
      <c r="C95" s="1" t="s">
        <v>319</v>
      </c>
      <c r="D95" s="1" t="s">
        <v>229</v>
      </c>
      <c r="E95" s="1"/>
    </row>
    <row r="96" spans="1:5" ht="16">
      <c r="A96" s="1" t="s">
        <v>317</v>
      </c>
      <c r="B96" s="1" t="s">
        <v>327</v>
      </c>
      <c r="C96" s="1" t="s">
        <v>319</v>
      </c>
      <c r="D96" s="1" t="s">
        <v>229</v>
      </c>
      <c r="E96" s="1"/>
    </row>
    <row r="97" spans="1:5" ht="16">
      <c r="A97" s="1" t="s">
        <v>328</v>
      </c>
      <c r="B97" s="1" t="s">
        <v>329</v>
      </c>
      <c r="C97" s="1" t="s">
        <v>234</v>
      </c>
      <c r="D97" s="1" t="s">
        <v>229</v>
      </c>
      <c r="E97" s="1"/>
    </row>
    <row r="98" spans="1:5" ht="16">
      <c r="A98" s="1" t="s">
        <v>330</v>
      </c>
      <c r="B98" s="1" t="s">
        <v>331</v>
      </c>
      <c r="C98" s="1" t="s">
        <v>332</v>
      </c>
      <c r="D98" s="1" t="s">
        <v>229</v>
      </c>
      <c r="E98" s="1"/>
    </row>
    <row r="99" spans="1:5" ht="16">
      <c r="A99" s="1" t="s">
        <v>330</v>
      </c>
      <c r="B99" s="1" t="s">
        <v>333</v>
      </c>
      <c r="C99" s="1" t="s">
        <v>334</v>
      </c>
      <c r="D99" s="1" t="s">
        <v>229</v>
      </c>
      <c r="E99" s="1"/>
    </row>
    <row r="100" spans="1:5" ht="16">
      <c r="A100" s="1" t="s">
        <v>330</v>
      </c>
      <c r="B100" s="1" t="s">
        <v>335</v>
      </c>
      <c r="C100" s="1" t="s">
        <v>332</v>
      </c>
      <c r="D100" s="1" t="s">
        <v>229</v>
      </c>
      <c r="E100" s="1"/>
    </row>
    <row r="101" spans="1:5" ht="16">
      <c r="A101" s="1" t="s">
        <v>336</v>
      </c>
      <c r="B101" s="1" t="s">
        <v>337</v>
      </c>
      <c r="C101" s="1" t="s">
        <v>263</v>
      </c>
      <c r="D101" s="1" t="s">
        <v>229</v>
      </c>
      <c r="E101" s="1"/>
    </row>
    <row r="102" spans="1:5" ht="16">
      <c r="A102" s="1" t="s">
        <v>336</v>
      </c>
      <c r="B102" s="1" t="s">
        <v>338</v>
      </c>
      <c r="C102" s="1" t="s">
        <v>263</v>
      </c>
      <c r="D102" s="1" t="s">
        <v>229</v>
      </c>
      <c r="E102" s="1"/>
    </row>
    <row r="103" spans="1:5" ht="16">
      <c r="A103" s="1" t="s">
        <v>336</v>
      </c>
      <c r="B103" s="1" t="s">
        <v>339</v>
      </c>
      <c r="C103" s="1" t="s">
        <v>263</v>
      </c>
      <c r="D103" s="1" t="s">
        <v>229</v>
      </c>
      <c r="E103" s="1"/>
    </row>
    <row r="104" spans="1:5" ht="16">
      <c r="A104" s="1" t="s">
        <v>336</v>
      </c>
      <c r="B104" s="1" t="s">
        <v>340</v>
      </c>
      <c r="C104" s="1" t="s">
        <v>263</v>
      </c>
      <c r="D104" s="1" t="s">
        <v>229</v>
      </c>
      <c r="E104" s="1"/>
    </row>
    <row r="105" spans="1:5" ht="16">
      <c r="A105" s="1" t="s">
        <v>336</v>
      </c>
      <c r="B105" s="1" t="s">
        <v>341</v>
      </c>
      <c r="C105" s="1" t="s">
        <v>263</v>
      </c>
      <c r="D105" s="1" t="s">
        <v>229</v>
      </c>
      <c r="E105" s="1"/>
    </row>
    <row r="106" spans="1:5" ht="16">
      <c r="A106" s="1" t="s">
        <v>336</v>
      </c>
      <c r="B106" s="1" t="s">
        <v>342</v>
      </c>
      <c r="C106" s="1" t="s">
        <v>263</v>
      </c>
      <c r="D106" s="1" t="s">
        <v>229</v>
      </c>
      <c r="E106" s="1"/>
    </row>
    <row r="107" spans="1:5" ht="16">
      <c r="A107" s="1" t="s">
        <v>336</v>
      </c>
      <c r="B107" s="1" t="s">
        <v>343</v>
      </c>
      <c r="C107" s="1" t="s">
        <v>263</v>
      </c>
      <c r="D107" s="1" t="s">
        <v>229</v>
      </c>
      <c r="E107" s="1"/>
    </row>
    <row r="108" spans="1:5" ht="16">
      <c r="A108" s="1" t="s">
        <v>336</v>
      </c>
      <c r="B108" s="1" t="s">
        <v>344</v>
      </c>
      <c r="C108" s="1" t="s">
        <v>263</v>
      </c>
      <c r="D108" s="1" t="s">
        <v>229</v>
      </c>
      <c r="E108" s="1"/>
    </row>
    <row r="109" spans="1:5" ht="16">
      <c r="A109" s="1" t="s">
        <v>336</v>
      </c>
      <c r="B109" s="1" t="s">
        <v>345</v>
      </c>
      <c r="C109" s="1" t="s">
        <v>263</v>
      </c>
      <c r="D109" s="1" t="s">
        <v>229</v>
      </c>
      <c r="E109" s="1"/>
    </row>
    <row r="110" spans="1:5" ht="16">
      <c r="A110" s="1" t="s">
        <v>336</v>
      </c>
      <c r="B110" s="1" t="s">
        <v>346</v>
      </c>
      <c r="C110" s="1" t="s">
        <v>263</v>
      </c>
      <c r="D110" s="1" t="s">
        <v>229</v>
      </c>
      <c r="E110" s="1"/>
    </row>
    <row r="111" spans="1:5" ht="16">
      <c r="A111" s="1" t="s">
        <v>336</v>
      </c>
      <c r="B111" s="1" t="s">
        <v>347</v>
      </c>
      <c r="C111" s="1" t="s">
        <v>263</v>
      </c>
      <c r="D111" s="1" t="s">
        <v>229</v>
      </c>
      <c r="E111" s="1"/>
    </row>
    <row r="112" spans="1:5" ht="16">
      <c r="A112" s="1" t="s">
        <v>336</v>
      </c>
      <c r="B112" s="1" t="s">
        <v>348</v>
      </c>
      <c r="C112" s="1" t="s">
        <v>263</v>
      </c>
      <c r="D112" s="1" t="s">
        <v>229</v>
      </c>
      <c r="E112" s="1"/>
    </row>
    <row r="113" spans="1:5" ht="16">
      <c r="A113" s="1" t="s">
        <v>336</v>
      </c>
      <c r="B113" s="1" t="s">
        <v>349</v>
      </c>
      <c r="C113" s="1" t="s">
        <v>263</v>
      </c>
      <c r="D113" s="1" t="s">
        <v>229</v>
      </c>
      <c r="E113" s="1"/>
    </row>
    <row r="114" spans="1:5" ht="16">
      <c r="A114" s="1" t="s">
        <v>336</v>
      </c>
      <c r="B114" s="1" t="s">
        <v>350</v>
      </c>
      <c r="C114" s="1" t="s">
        <v>263</v>
      </c>
      <c r="D114" s="1" t="s">
        <v>229</v>
      </c>
      <c r="E114" s="1"/>
    </row>
    <row r="115" spans="1:5" ht="16">
      <c r="A115" s="1" t="s">
        <v>336</v>
      </c>
      <c r="B115" s="1" t="s">
        <v>351</v>
      </c>
      <c r="C115" s="1" t="s">
        <v>263</v>
      </c>
      <c r="D115" s="1" t="s">
        <v>229</v>
      </c>
      <c r="E115" s="1"/>
    </row>
    <row r="116" spans="1:5" ht="16">
      <c r="A116" s="1" t="s">
        <v>336</v>
      </c>
      <c r="B116" s="1" t="s">
        <v>352</v>
      </c>
      <c r="C116" s="1" t="s">
        <v>263</v>
      </c>
      <c r="D116" s="1" t="s">
        <v>229</v>
      </c>
      <c r="E116" s="1"/>
    </row>
    <row r="117" spans="1:5" ht="16">
      <c r="A117" s="1" t="s">
        <v>353</v>
      </c>
      <c r="B117" s="1" t="s">
        <v>354</v>
      </c>
      <c r="C117" s="1" t="s">
        <v>319</v>
      </c>
      <c r="D117" s="1" t="s">
        <v>355</v>
      </c>
      <c r="E117" s="1"/>
    </row>
    <row r="118" spans="1:5" ht="16">
      <c r="A118" s="1" t="s">
        <v>356</v>
      </c>
      <c r="B118" s="1" t="s">
        <v>357</v>
      </c>
      <c r="C118" s="1" t="s">
        <v>234</v>
      </c>
      <c r="D118" s="1" t="s">
        <v>229</v>
      </c>
      <c r="E118" s="1"/>
    </row>
    <row r="119" spans="1:5" ht="16">
      <c r="A119" s="1" t="s">
        <v>358</v>
      </c>
      <c r="B119" s="1" t="s">
        <v>359</v>
      </c>
      <c r="C119" s="1" t="s">
        <v>234</v>
      </c>
      <c r="D119" s="1" t="s">
        <v>229</v>
      </c>
      <c r="E119" s="1"/>
    </row>
    <row r="120" spans="1:5" ht="16">
      <c r="A120" s="1" t="s">
        <v>358</v>
      </c>
      <c r="B120" s="1" t="s">
        <v>360</v>
      </c>
      <c r="C120" s="1" t="s">
        <v>234</v>
      </c>
      <c r="D120" s="1" t="s">
        <v>229</v>
      </c>
      <c r="E120" s="1"/>
    </row>
    <row r="121" spans="1:5" ht="16">
      <c r="A121" s="1" t="s">
        <v>358</v>
      </c>
      <c r="B121" s="1" t="s">
        <v>361</v>
      </c>
      <c r="C121" s="1" t="s">
        <v>228</v>
      </c>
      <c r="D121" s="1" t="s">
        <v>229</v>
      </c>
      <c r="E121" s="1"/>
    </row>
    <row r="122" spans="1:5" ht="16">
      <c r="A122" s="1" t="s">
        <v>362</v>
      </c>
      <c r="B122" s="1" t="s">
        <v>363</v>
      </c>
      <c r="C122" s="1" t="s">
        <v>364</v>
      </c>
      <c r="D122" s="1" t="s">
        <v>229</v>
      </c>
      <c r="E122" s="1"/>
    </row>
    <row r="123" spans="1:5" ht="16">
      <c r="A123" s="1" t="s">
        <v>362</v>
      </c>
      <c r="B123" s="1" t="s">
        <v>365</v>
      </c>
      <c r="C123" s="1" t="s">
        <v>364</v>
      </c>
      <c r="D123" s="1" t="s">
        <v>229</v>
      </c>
      <c r="E123" s="1"/>
    </row>
    <row r="124" spans="1:5" ht="16">
      <c r="A124" s="1" t="s">
        <v>362</v>
      </c>
      <c r="B124" s="1" t="s">
        <v>366</v>
      </c>
      <c r="C124" s="1" t="s">
        <v>364</v>
      </c>
      <c r="D124" s="1" t="s">
        <v>229</v>
      </c>
      <c r="E124" s="1"/>
    </row>
    <row r="125" spans="1:5" ht="16">
      <c r="A125" s="1" t="s">
        <v>362</v>
      </c>
      <c r="B125" s="1" t="s">
        <v>367</v>
      </c>
      <c r="C125" s="1" t="s">
        <v>364</v>
      </c>
      <c r="D125" s="1" t="s">
        <v>229</v>
      </c>
      <c r="E125" s="1"/>
    </row>
    <row r="126" spans="1:5" ht="16">
      <c r="A126" s="1" t="s">
        <v>362</v>
      </c>
      <c r="B126" s="1" t="s">
        <v>368</v>
      </c>
      <c r="C126" s="1" t="s">
        <v>364</v>
      </c>
      <c r="D126" s="1" t="s">
        <v>229</v>
      </c>
      <c r="E126" s="1"/>
    </row>
    <row r="127" spans="1:5" ht="16">
      <c r="A127" s="1" t="s">
        <v>362</v>
      </c>
      <c r="B127" s="1" t="s">
        <v>369</v>
      </c>
      <c r="C127" s="1" t="s">
        <v>364</v>
      </c>
      <c r="D127" s="1" t="s">
        <v>229</v>
      </c>
      <c r="E127" s="1"/>
    </row>
    <row r="128" spans="1:5" ht="16">
      <c r="A128" s="1" t="s">
        <v>362</v>
      </c>
      <c r="B128" s="1" t="s">
        <v>370</v>
      </c>
      <c r="C128" s="1" t="s">
        <v>364</v>
      </c>
      <c r="D128" s="1" t="s">
        <v>229</v>
      </c>
      <c r="E128" s="1"/>
    </row>
    <row r="129" spans="1:5" ht="16">
      <c r="A129" s="1" t="s">
        <v>362</v>
      </c>
      <c r="B129" s="1" t="s">
        <v>371</v>
      </c>
      <c r="C129" s="1" t="s">
        <v>364</v>
      </c>
      <c r="D129" s="1" t="s">
        <v>229</v>
      </c>
      <c r="E129" s="1"/>
    </row>
    <row r="130" spans="1:5" ht="16">
      <c r="A130" s="1" t="s">
        <v>362</v>
      </c>
      <c r="B130" s="1" t="s">
        <v>372</v>
      </c>
      <c r="C130" s="1" t="s">
        <v>364</v>
      </c>
      <c r="D130" s="1" t="s">
        <v>229</v>
      </c>
      <c r="E130" s="1"/>
    </row>
    <row r="131" spans="1:5" ht="16">
      <c r="A131" s="1" t="s">
        <v>362</v>
      </c>
      <c r="B131" s="1" t="s">
        <v>373</v>
      </c>
      <c r="C131" s="1" t="s">
        <v>364</v>
      </c>
      <c r="D131" s="1" t="s">
        <v>229</v>
      </c>
      <c r="E131" s="1"/>
    </row>
    <row r="132" spans="1:5" ht="16">
      <c r="A132" s="1" t="s">
        <v>362</v>
      </c>
      <c r="B132" s="1" t="s">
        <v>374</v>
      </c>
      <c r="C132" s="1" t="s">
        <v>364</v>
      </c>
      <c r="D132" s="1" t="s">
        <v>229</v>
      </c>
      <c r="E132" s="1"/>
    </row>
    <row r="133" spans="1:5" ht="16">
      <c r="A133" s="1" t="s">
        <v>362</v>
      </c>
      <c r="B133" s="1" t="s">
        <v>375</v>
      </c>
      <c r="C133" s="1" t="s">
        <v>234</v>
      </c>
      <c r="D133" s="1" t="s">
        <v>229</v>
      </c>
      <c r="E133" s="1"/>
    </row>
    <row r="134" spans="1:5" ht="16">
      <c r="A134" s="1" t="s">
        <v>362</v>
      </c>
      <c r="B134" s="1" t="s">
        <v>376</v>
      </c>
      <c r="C134" s="1" t="s">
        <v>234</v>
      </c>
      <c r="D134" s="1" t="s">
        <v>229</v>
      </c>
      <c r="E134" s="1"/>
    </row>
    <row r="135" spans="1:5" ht="16">
      <c r="A135" s="1" t="s">
        <v>362</v>
      </c>
      <c r="B135" s="1" t="s">
        <v>377</v>
      </c>
      <c r="C135" s="1" t="s">
        <v>234</v>
      </c>
      <c r="D135" s="1" t="s">
        <v>229</v>
      </c>
      <c r="E135" s="1"/>
    </row>
    <row r="136" spans="1:5" ht="16">
      <c r="A136" s="1" t="s">
        <v>362</v>
      </c>
      <c r="B136" s="1" t="s">
        <v>378</v>
      </c>
      <c r="C136" s="1" t="s">
        <v>234</v>
      </c>
      <c r="D136" s="1" t="s">
        <v>229</v>
      </c>
      <c r="E136" s="1"/>
    </row>
    <row r="137" spans="1:5" ht="16">
      <c r="A137" s="1" t="s">
        <v>362</v>
      </c>
      <c r="B137" s="1" t="s">
        <v>379</v>
      </c>
      <c r="C137" s="1" t="s">
        <v>234</v>
      </c>
      <c r="D137" s="1" t="s">
        <v>229</v>
      </c>
      <c r="E137" s="1"/>
    </row>
    <row r="138" spans="1:5" ht="16">
      <c r="A138" s="1" t="s">
        <v>362</v>
      </c>
      <c r="B138" s="1" t="s">
        <v>380</v>
      </c>
      <c r="C138" s="1" t="s">
        <v>364</v>
      </c>
      <c r="D138" s="1" t="s">
        <v>229</v>
      </c>
      <c r="E138" s="1"/>
    </row>
    <row r="139" spans="1:5" ht="16">
      <c r="A139" s="1" t="s">
        <v>362</v>
      </c>
      <c r="B139" s="1" t="s">
        <v>381</v>
      </c>
      <c r="C139" s="1" t="s">
        <v>364</v>
      </c>
      <c r="D139" s="1" t="s">
        <v>229</v>
      </c>
      <c r="E139" s="1"/>
    </row>
    <row r="140" spans="1:5" ht="16">
      <c r="A140" s="1" t="s">
        <v>362</v>
      </c>
      <c r="B140" s="1" t="s">
        <v>382</v>
      </c>
      <c r="C140" s="1" t="s">
        <v>364</v>
      </c>
      <c r="D140" s="1" t="s">
        <v>229</v>
      </c>
      <c r="E140" s="1"/>
    </row>
    <row r="141" spans="1:5" ht="16">
      <c r="A141" s="1" t="s">
        <v>383</v>
      </c>
      <c r="B141" s="1" t="s">
        <v>384</v>
      </c>
      <c r="C141" s="1" t="s">
        <v>332</v>
      </c>
      <c r="D141" s="1" t="s">
        <v>229</v>
      </c>
      <c r="E141" s="1"/>
    </row>
    <row r="142" spans="1:5" ht="16">
      <c r="A142" s="1" t="s">
        <v>383</v>
      </c>
      <c r="B142" s="1" t="s">
        <v>385</v>
      </c>
      <c r="C142" s="1" t="s">
        <v>332</v>
      </c>
      <c r="D142" s="1" t="s">
        <v>229</v>
      </c>
      <c r="E142" s="1"/>
    </row>
    <row r="143" spans="1:5" ht="16">
      <c r="A143" s="1" t="s">
        <v>383</v>
      </c>
      <c r="B143" s="1" t="s">
        <v>386</v>
      </c>
      <c r="C143" s="1" t="s">
        <v>332</v>
      </c>
      <c r="D143" s="1" t="s">
        <v>229</v>
      </c>
      <c r="E143" s="1"/>
    </row>
    <row r="144" spans="1:5" ht="16">
      <c r="A144" s="1" t="s">
        <v>383</v>
      </c>
      <c r="B144" s="1" t="s">
        <v>387</v>
      </c>
      <c r="C144" s="1" t="s">
        <v>332</v>
      </c>
      <c r="D144" s="1" t="s">
        <v>229</v>
      </c>
      <c r="E144" s="1"/>
    </row>
    <row r="145" spans="1:5" ht="16">
      <c r="A145" s="1" t="s">
        <v>383</v>
      </c>
      <c r="B145" s="1" t="s">
        <v>388</v>
      </c>
      <c r="C145" s="1" t="s">
        <v>332</v>
      </c>
      <c r="D145" s="1" t="s">
        <v>229</v>
      </c>
      <c r="E145" s="1"/>
    </row>
    <row r="146" spans="1:5" ht="16">
      <c r="A146" s="1" t="s">
        <v>383</v>
      </c>
      <c r="B146" s="1" t="s">
        <v>389</v>
      </c>
      <c r="C146" s="1" t="s">
        <v>332</v>
      </c>
      <c r="D146" s="1" t="s">
        <v>229</v>
      </c>
      <c r="E146" s="1"/>
    </row>
    <row r="147" spans="1:5" ht="16">
      <c r="A147" s="1" t="s">
        <v>383</v>
      </c>
      <c r="B147" s="1" t="s">
        <v>390</v>
      </c>
      <c r="C147" s="1" t="s">
        <v>332</v>
      </c>
      <c r="D147" s="1" t="s">
        <v>229</v>
      </c>
      <c r="E147" s="1"/>
    </row>
    <row r="148" spans="1:5" ht="16">
      <c r="A148" s="1" t="s">
        <v>383</v>
      </c>
      <c r="B148" s="1" t="s">
        <v>391</v>
      </c>
      <c r="C148" s="1" t="s">
        <v>332</v>
      </c>
      <c r="D148" s="1" t="s">
        <v>229</v>
      </c>
      <c r="E148" s="1"/>
    </row>
    <row r="149" spans="1:5" ht="16">
      <c r="A149" s="1" t="s">
        <v>383</v>
      </c>
      <c r="B149" s="1" t="s">
        <v>392</v>
      </c>
      <c r="C149" s="1" t="s">
        <v>332</v>
      </c>
      <c r="D149" s="1" t="s">
        <v>229</v>
      </c>
      <c r="E149" s="1"/>
    </row>
    <row r="150" spans="1:5" ht="16">
      <c r="A150" s="1" t="s">
        <v>383</v>
      </c>
      <c r="B150" s="1" t="s">
        <v>393</v>
      </c>
      <c r="C150" s="1" t="s">
        <v>332</v>
      </c>
      <c r="D150" s="1" t="s">
        <v>229</v>
      </c>
      <c r="E150" s="1"/>
    </row>
    <row r="151" spans="1:5" ht="16">
      <c r="A151" s="1" t="s">
        <v>383</v>
      </c>
      <c r="B151" s="1" t="s">
        <v>394</v>
      </c>
      <c r="C151" s="1" t="s">
        <v>332</v>
      </c>
      <c r="D151" s="1" t="s">
        <v>229</v>
      </c>
      <c r="E151" s="1"/>
    </row>
    <row r="152" spans="1:5" ht="16">
      <c r="A152" s="1" t="s">
        <v>383</v>
      </c>
      <c r="B152" s="1" t="s">
        <v>395</v>
      </c>
      <c r="C152" s="1" t="s">
        <v>332</v>
      </c>
      <c r="D152" s="1" t="s">
        <v>229</v>
      </c>
      <c r="E152" s="1"/>
    </row>
    <row r="153" spans="1:5" ht="16">
      <c r="A153" s="1" t="s">
        <v>383</v>
      </c>
      <c r="B153" s="1" t="s">
        <v>396</v>
      </c>
      <c r="C153" s="1" t="s">
        <v>332</v>
      </c>
      <c r="D153" s="1" t="s">
        <v>229</v>
      </c>
      <c r="E153" s="1"/>
    </row>
    <row r="154" spans="1:5" ht="16">
      <c r="A154" s="1" t="s">
        <v>383</v>
      </c>
      <c r="B154" s="1" t="s">
        <v>397</v>
      </c>
      <c r="C154" s="1" t="s">
        <v>332</v>
      </c>
      <c r="D154" s="1" t="s">
        <v>229</v>
      </c>
      <c r="E154" s="1"/>
    </row>
    <row r="155" spans="1:5" ht="16">
      <c r="A155" s="1" t="s">
        <v>383</v>
      </c>
      <c r="B155" s="1" t="s">
        <v>398</v>
      </c>
      <c r="C155" s="1" t="s">
        <v>332</v>
      </c>
      <c r="D155" s="1" t="s">
        <v>229</v>
      </c>
      <c r="E155" s="1"/>
    </row>
    <row r="156" spans="1:5" ht="16">
      <c r="A156" s="1" t="s">
        <v>383</v>
      </c>
      <c r="B156" s="1" t="s">
        <v>399</v>
      </c>
      <c r="C156" s="1" t="s">
        <v>332</v>
      </c>
      <c r="D156" s="1" t="s">
        <v>229</v>
      </c>
      <c r="E156" s="1"/>
    </row>
    <row r="157" spans="1:5" ht="16">
      <c r="A157" s="1" t="s">
        <v>383</v>
      </c>
      <c r="B157" s="1" t="s">
        <v>400</v>
      </c>
      <c r="C157" s="1" t="s">
        <v>332</v>
      </c>
      <c r="D157" s="1" t="s">
        <v>229</v>
      </c>
      <c r="E157" s="1"/>
    </row>
    <row r="158" spans="1:5" ht="16">
      <c r="A158" s="1" t="s">
        <v>383</v>
      </c>
      <c r="B158" s="1" t="s">
        <v>401</v>
      </c>
      <c r="C158" s="1" t="s">
        <v>332</v>
      </c>
      <c r="D158" s="1" t="s">
        <v>229</v>
      </c>
      <c r="E158" s="1"/>
    </row>
    <row r="159" spans="1:5" ht="16">
      <c r="A159" s="1" t="s">
        <v>383</v>
      </c>
      <c r="B159" s="1" t="s">
        <v>402</v>
      </c>
      <c r="C159" s="1" t="s">
        <v>332</v>
      </c>
      <c r="D159" s="1" t="s">
        <v>229</v>
      </c>
      <c r="E159" s="1"/>
    </row>
    <row r="160" spans="1:5" ht="16">
      <c r="A160" s="1" t="s">
        <v>383</v>
      </c>
      <c r="B160" s="1" t="s">
        <v>403</v>
      </c>
      <c r="C160" s="1" t="s">
        <v>332</v>
      </c>
      <c r="D160" s="1" t="s">
        <v>229</v>
      </c>
      <c r="E160" s="1"/>
    </row>
    <row r="161" spans="1:5" ht="16">
      <c r="A161" s="1" t="s">
        <v>383</v>
      </c>
      <c r="B161" s="1" t="s">
        <v>404</v>
      </c>
      <c r="C161" s="1" t="s">
        <v>332</v>
      </c>
      <c r="D161" s="1" t="s">
        <v>229</v>
      </c>
      <c r="E161" s="1"/>
    </row>
    <row r="162" spans="1:5" ht="16">
      <c r="A162" s="1" t="s">
        <v>383</v>
      </c>
      <c r="B162" s="1" t="s">
        <v>405</v>
      </c>
      <c r="C162" s="1" t="s">
        <v>332</v>
      </c>
      <c r="D162" s="1" t="s">
        <v>229</v>
      </c>
      <c r="E162" s="1"/>
    </row>
    <row r="163" spans="1:5" ht="16">
      <c r="A163" s="1" t="s">
        <v>383</v>
      </c>
      <c r="B163" s="1" t="s">
        <v>406</v>
      </c>
      <c r="C163" s="1" t="s">
        <v>332</v>
      </c>
      <c r="D163" s="1" t="s">
        <v>229</v>
      </c>
      <c r="E163" s="1"/>
    </row>
    <row r="164" spans="1:5" ht="16">
      <c r="A164" s="1" t="s">
        <v>383</v>
      </c>
      <c r="B164" s="1" t="s">
        <v>407</v>
      </c>
      <c r="C164" s="1" t="s">
        <v>332</v>
      </c>
      <c r="D164" s="1" t="s">
        <v>229</v>
      </c>
      <c r="E164" s="1"/>
    </row>
    <row r="165" spans="1:5" ht="16">
      <c r="A165" s="1" t="s">
        <v>383</v>
      </c>
      <c r="B165" s="1" t="s">
        <v>408</v>
      </c>
      <c r="C165" s="1" t="s">
        <v>332</v>
      </c>
      <c r="D165" s="1" t="s">
        <v>229</v>
      </c>
      <c r="E165" s="1"/>
    </row>
    <row r="166" spans="1:5" ht="16">
      <c r="A166" s="1" t="s">
        <v>383</v>
      </c>
      <c r="B166" s="1" t="s">
        <v>409</v>
      </c>
      <c r="C166" s="1" t="s">
        <v>332</v>
      </c>
      <c r="D166" s="1" t="s">
        <v>229</v>
      </c>
      <c r="E166" s="1"/>
    </row>
    <row r="167" spans="1:5" ht="16">
      <c r="A167" s="1" t="s">
        <v>383</v>
      </c>
      <c r="B167" s="1" t="s">
        <v>410</v>
      </c>
      <c r="C167" s="1" t="s">
        <v>332</v>
      </c>
      <c r="D167" s="1" t="s">
        <v>229</v>
      </c>
      <c r="E167" s="1"/>
    </row>
    <row r="168" spans="1:5" ht="16">
      <c r="A168" s="1" t="s">
        <v>383</v>
      </c>
      <c r="B168" s="1" t="s">
        <v>411</v>
      </c>
      <c r="C168" s="1" t="s">
        <v>332</v>
      </c>
      <c r="D168" s="1" t="s">
        <v>229</v>
      </c>
      <c r="E168" s="1"/>
    </row>
    <row r="169" spans="1:5" ht="16">
      <c r="A169" s="1" t="s">
        <v>383</v>
      </c>
      <c r="B169" s="1" t="s">
        <v>412</v>
      </c>
      <c r="C169" s="1" t="s">
        <v>332</v>
      </c>
      <c r="D169" s="1" t="s">
        <v>229</v>
      </c>
      <c r="E169" s="1"/>
    </row>
    <row r="170" spans="1:5" ht="16">
      <c r="A170" s="1" t="s">
        <v>383</v>
      </c>
      <c r="B170" s="1" t="s">
        <v>413</v>
      </c>
      <c r="C170" s="1" t="s">
        <v>332</v>
      </c>
      <c r="D170" s="1" t="s">
        <v>229</v>
      </c>
      <c r="E170" s="1"/>
    </row>
    <row r="171" spans="1:5" ht="16">
      <c r="A171" s="1" t="s">
        <v>383</v>
      </c>
      <c r="B171" s="1" t="s">
        <v>414</v>
      </c>
      <c r="C171" s="1" t="s">
        <v>332</v>
      </c>
      <c r="D171" s="1" t="s">
        <v>229</v>
      </c>
      <c r="E171" s="1"/>
    </row>
    <row r="172" spans="1:5" ht="16">
      <c r="A172" s="1" t="s">
        <v>383</v>
      </c>
      <c r="B172" s="1" t="s">
        <v>415</v>
      </c>
      <c r="C172" s="1" t="s">
        <v>332</v>
      </c>
      <c r="D172" s="1" t="s">
        <v>229</v>
      </c>
      <c r="E172" s="1"/>
    </row>
    <row r="173" spans="1:5" ht="16">
      <c r="A173" s="1" t="s">
        <v>383</v>
      </c>
      <c r="B173" s="1" t="s">
        <v>416</v>
      </c>
      <c r="C173" s="1" t="s">
        <v>332</v>
      </c>
      <c r="D173" s="1" t="s">
        <v>229</v>
      </c>
      <c r="E173" s="1"/>
    </row>
    <row r="174" spans="1:5" ht="16">
      <c r="A174" s="1" t="s">
        <v>383</v>
      </c>
      <c r="B174" s="1" t="s">
        <v>417</v>
      </c>
      <c r="C174" s="1" t="s">
        <v>332</v>
      </c>
      <c r="D174" s="1" t="s">
        <v>229</v>
      </c>
      <c r="E174" s="1"/>
    </row>
    <row r="175" spans="1:5" ht="16">
      <c r="A175" s="1" t="s">
        <v>383</v>
      </c>
      <c r="B175" s="1" t="s">
        <v>418</v>
      </c>
      <c r="C175" s="1" t="s">
        <v>332</v>
      </c>
      <c r="D175" s="1" t="s">
        <v>229</v>
      </c>
      <c r="E175" s="1"/>
    </row>
    <row r="176" spans="1:5" ht="16">
      <c r="A176" s="1" t="s">
        <v>383</v>
      </c>
      <c r="B176" s="1" t="s">
        <v>419</v>
      </c>
      <c r="C176" s="1" t="s">
        <v>332</v>
      </c>
      <c r="D176" s="1" t="s">
        <v>229</v>
      </c>
      <c r="E176" s="1"/>
    </row>
    <row r="177" spans="1:5" ht="16">
      <c r="A177" s="1" t="s">
        <v>383</v>
      </c>
      <c r="B177" s="1" t="s">
        <v>420</v>
      </c>
      <c r="C177" s="1" t="s">
        <v>332</v>
      </c>
      <c r="D177" s="1" t="s">
        <v>229</v>
      </c>
      <c r="E177" s="1"/>
    </row>
    <row r="178" spans="1:5" ht="16">
      <c r="A178" s="1" t="s">
        <v>383</v>
      </c>
      <c r="B178" s="1" t="s">
        <v>421</v>
      </c>
      <c r="C178" s="1" t="s">
        <v>332</v>
      </c>
      <c r="D178" s="1" t="s">
        <v>229</v>
      </c>
      <c r="E178" s="1"/>
    </row>
    <row r="179" spans="1:5" ht="16">
      <c r="A179" s="1" t="s">
        <v>383</v>
      </c>
      <c r="B179" s="1" t="s">
        <v>422</v>
      </c>
      <c r="C179" s="1" t="s">
        <v>332</v>
      </c>
      <c r="D179" s="1" t="s">
        <v>229</v>
      </c>
      <c r="E179" s="1"/>
    </row>
    <row r="180" spans="1:5" ht="16">
      <c r="A180" s="1" t="s">
        <v>383</v>
      </c>
      <c r="B180" s="1" t="s">
        <v>423</v>
      </c>
      <c r="C180" s="1" t="s">
        <v>332</v>
      </c>
      <c r="D180" s="1" t="s">
        <v>229</v>
      </c>
      <c r="E180" s="1"/>
    </row>
    <row r="181" spans="1:5" ht="16">
      <c r="A181" s="1" t="s">
        <v>383</v>
      </c>
      <c r="B181" s="1" t="s">
        <v>424</v>
      </c>
      <c r="C181" s="1" t="s">
        <v>332</v>
      </c>
      <c r="D181" s="1" t="s">
        <v>229</v>
      </c>
      <c r="E181" s="1"/>
    </row>
    <row r="182" spans="1:5" ht="16">
      <c r="A182" s="1" t="s">
        <v>383</v>
      </c>
      <c r="B182" s="1" t="s">
        <v>425</v>
      </c>
      <c r="C182" s="1" t="s">
        <v>332</v>
      </c>
      <c r="D182" s="1" t="s">
        <v>229</v>
      </c>
      <c r="E182" s="1"/>
    </row>
    <row r="183" spans="1:5" ht="16">
      <c r="A183" s="1" t="s">
        <v>383</v>
      </c>
      <c r="B183" s="1" t="s">
        <v>426</v>
      </c>
      <c r="C183" s="1" t="s">
        <v>332</v>
      </c>
      <c r="D183" s="1" t="s">
        <v>229</v>
      </c>
      <c r="E183" s="1"/>
    </row>
    <row r="184" spans="1:5" ht="16">
      <c r="A184" s="1" t="s">
        <v>383</v>
      </c>
      <c r="B184" s="1" t="s">
        <v>427</v>
      </c>
      <c r="C184" s="1" t="s">
        <v>332</v>
      </c>
      <c r="D184" s="1" t="s">
        <v>229</v>
      </c>
      <c r="E184" s="1"/>
    </row>
    <row r="185" spans="1:5" ht="16">
      <c r="A185" s="1" t="s">
        <v>383</v>
      </c>
      <c r="B185" s="1" t="s">
        <v>428</v>
      </c>
      <c r="C185" s="1" t="s">
        <v>332</v>
      </c>
      <c r="D185" s="1" t="s">
        <v>229</v>
      </c>
      <c r="E185" s="1"/>
    </row>
    <row r="186" spans="1:5" ht="16">
      <c r="A186" s="1" t="s">
        <v>383</v>
      </c>
      <c r="B186" s="1" t="s">
        <v>429</v>
      </c>
      <c r="C186" s="1" t="s">
        <v>332</v>
      </c>
      <c r="D186" s="1" t="s">
        <v>229</v>
      </c>
      <c r="E186" s="1"/>
    </row>
    <row r="187" spans="1:5" ht="16">
      <c r="A187" s="1" t="s">
        <v>383</v>
      </c>
      <c r="B187" s="1" t="s">
        <v>430</v>
      </c>
      <c r="C187" s="1" t="s">
        <v>332</v>
      </c>
      <c r="D187" s="1" t="s">
        <v>229</v>
      </c>
      <c r="E187" s="1"/>
    </row>
    <row r="188" spans="1:5" ht="16">
      <c r="A188" s="1" t="s">
        <v>383</v>
      </c>
      <c r="B188" s="1" t="s">
        <v>431</v>
      </c>
      <c r="C188" s="1" t="s">
        <v>332</v>
      </c>
      <c r="D188" s="1" t="s">
        <v>229</v>
      </c>
      <c r="E188" s="1"/>
    </row>
    <row r="189" spans="1:5" ht="16">
      <c r="A189" s="1" t="s">
        <v>383</v>
      </c>
      <c r="B189" s="1" t="s">
        <v>432</v>
      </c>
      <c r="C189" s="1" t="s">
        <v>332</v>
      </c>
      <c r="D189" s="1" t="s">
        <v>229</v>
      </c>
      <c r="E189" s="1"/>
    </row>
    <row r="190" spans="1:5" ht="16">
      <c r="A190" s="1" t="s">
        <v>383</v>
      </c>
      <c r="B190" s="1" t="s">
        <v>433</v>
      </c>
      <c r="C190" s="1" t="s">
        <v>332</v>
      </c>
      <c r="D190" s="1" t="s">
        <v>229</v>
      </c>
      <c r="E190" s="1"/>
    </row>
    <row r="191" spans="1:5" ht="16">
      <c r="A191" s="1" t="s">
        <v>383</v>
      </c>
      <c r="B191" s="1" t="s">
        <v>434</v>
      </c>
      <c r="C191" s="1" t="s">
        <v>332</v>
      </c>
      <c r="D191" s="1" t="s">
        <v>229</v>
      </c>
      <c r="E191" s="1"/>
    </row>
    <row r="192" spans="1:5" ht="16">
      <c r="A192" s="1" t="s">
        <v>383</v>
      </c>
      <c r="B192" s="1" t="s">
        <v>435</v>
      </c>
      <c r="C192" s="1" t="s">
        <v>332</v>
      </c>
      <c r="D192" s="1" t="s">
        <v>229</v>
      </c>
      <c r="E192" s="1"/>
    </row>
    <row r="193" spans="1:5" ht="16">
      <c r="A193" s="1" t="s">
        <v>383</v>
      </c>
      <c r="B193" s="1" t="s">
        <v>436</v>
      </c>
      <c r="C193" s="1" t="s">
        <v>332</v>
      </c>
      <c r="D193" s="1" t="s">
        <v>229</v>
      </c>
      <c r="E193" s="1"/>
    </row>
    <row r="194" spans="1:5" ht="16">
      <c r="A194" s="1" t="s">
        <v>383</v>
      </c>
      <c r="B194" s="1" t="s">
        <v>437</v>
      </c>
      <c r="C194" s="1" t="s">
        <v>332</v>
      </c>
      <c r="D194" s="1" t="s">
        <v>229</v>
      </c>
      <c r="E194" s="1"/>
    </row>
    <row r="195" spans="1:5" ht="16">
      <c r="A195" s="1" t="s">
        <v>383</v>
      </c>
      <c r="B195" s="1" t="s">
        <v>438</v>
      </c>
      <c r="C195" s="1" t="s">
        <v>332</v>
      </c>
      <c r="D195" s="1" t="s">
        <v>229</v>
      </c>
      <c r="E195" s="1"/>
    </row>
    <row r="196" spans="1:5" ht="16">
      <c r="A196" s="1" t="s">
        <v>383</v>
      </c>
      <c r="B196" s="1" t="s">
        <v>439</v>
      </c>
      <c r="C196" s="1" t="s">
        <v>332</v>
      </c>
      <c r="D196" s="1" t="s">
        <v>229</v>
      </c>
      <c r="E196" s="1"/>
    </row>
    <row r="197" spans="1:5" ht="16">
      <c r="A197" s="1" t="s">
        <v>383</v>
      </c>
      <c r="B197" s="1" t="s">
        <v>440</v>
      </c>
      <c r="C197" s="1" t="s">
        <v>332</v>
      </c>
      <c r="D197" s="1" t="s">
        <v>229</v>
      </c>
      <c r="E197" s="1"/>
    </row>
    <row r="198" spans="1:5" ht="16">
      <c r="A198" s="1" t="s">
        <v>383</v>
      </c>
      <c r="B198" s="1" t="s">
        <v>441</v>
      </c>
      <c r="C198" s="1" t="s">
        <v>332</v>
      </c>
      <c r="D198" s="1" t="s">
        <v>229</v>
      </c>
      <c r="E198" s="1"/>
    </row>
    <row r="199" spans="1:5" ht="16">
      <c r="A199" s="1" t="s">
        <v>383</v>
      </c>
      <c r="B199" s="1" t="s">
        <v>442</v>
      </c>
      <c r="C199" s="1" t="s">
        <v>332</v>
      </c>
      <c r="D199" s="1" t="s">
        <v>229</v>
      </c>
      <c r="E199" s="1"/>
    </row>
    <row r="200" spans="1:5" ht="16">
      <c r="A200" s="1" t="s">
        <v>383</v>
      </c>
      <c r="B200" s="1" t="s">
        <v>443</v>
      </c>
      <c r="C200" s="1" t="s">
        <v>332</v>
      </c>
      <c r="D200" s="1" t="s">
        <v>229</v>
      </c>
      <c r="E200" s="1"/>
    </row>
    <row r="201" spans="1:5" ht="16">
      <c r="A201" s="1" t="s">
        <v>383</v>
      </c>
      <c r="B201" s="1" t="s">
        <v>444</v>
      </c>
      <c r="C201" s="1" t="s">
        <v>332</v>
      </c>
      <c r="D201" s="1" t="s">
        <v>229</v>
      </c>
      <c r="E201" s="1"/>
    </row>
    <row r="202" spans="1:5" ht="16">
      <c r="A202" s="1" t="s">
        <v>383</v>
      </c>
      <c r="B202" s="1" t="s">
        <v>445</v>
      </c>
      <c r="C202" s="1" t="s">
        <v>332</v>
      </c>
      <c r="D202" s="1" t="s">
        <v>229</v>
      </c>
      <c r="E202" s="1"/>
    </row>
    <row r="203" spans="1:5" ht="16">
      <c r="A203" s="1" t="s">
        <v>446</v>
      </c>
      <c r="B203" s="1" t="s">
        <v>447</v>
      </c>
      <c r="C203" s="1" t="s">
        <v>334</v>
      </c>
      <c r="D203" s="1" t="s">
        <v>229</v>
      </c>
      <c r="E203" s="1"/>
    </row>
    <row r="204" spans="1:5" ht="16">
      <c r="A204" s="1" t="s">
        <v>446</v>
      </c>
      <c r="B204" s="1" t="s">
        <v>448</v>
      </c>
      <c r="C204" s="1" t="s">
        <v>334</v>
      </c>
      <c r="D204" s="1" t="s">
        <v>229</v>
      </c>
      <c r="E204" s="1"/>
    </row>
    <row r="205" spans="1:5" ht="16">
      <c r="A205" s="1" t="s">
        <v>446</v>
      </c>
      <c r="B205" s="1" t="s">
        <v>449</v>
      </c>
      <c r="C205" s="1" t="s">
        <v>332</v>
      </c>
      <c r="D205" s="1" t="s">
        <v>229</v>
      </c>
      <c r="E205" s="1"/>
    </row>
    <row r="206" spans="1:5" ht="16">
      <c r="A206" s="1" t="s">
        <v>446</v>
      </c>
      <c r="B206" s="1" t="s">
        <v>450</v>
      </c>
      <c r="C206" s="1" t="s">
        <v>332</v>
      </c>
      <c r="D206" s="1" t="s">
        <v>229</v>
      </c>
      <c r="E206" s="1"/>
    </row>
    <row r="207" spans="1:5" ht="16">
      <c r="A207" s="1" t="s">
        <v>446</v>
      </c>
      <c r="B207" s="1" t="s">
        <v>451</v>
      </c>
      <c r="C207" s="1" t="s">
        <v>332</v>
      </c>
      <c r="D207" s="1" t="s">
        <v>229</v>
      </c>
      <c r="E207" s="1"/>
    </row>
    <row r="208" spans="1:5" ht="16">
      <c r="A208" s="1" t="s">
        <v>446</v>
      </c>
      <c r="B208" s="1" t="s">
        <v>452</v>
      </c>
      <c r="C208" s="1" t="s">
        <v>332</v>
      </c>
      <c r="D208" s="1" t="s">
        <v>229</v>
      </c>
      <c r="E208" s="1"/>
    </row>
    <row r="209" spans="1:5" ht="16">
      <c r="A209" s="1" t="s">
        <v>446</v>
      </c>
      <c r="B209" s="1" t="s">
        <v>453</v>
      </c>
      <c r="C209" s="1" t="s">
        <v>332</v>
      </c>
      <c r="D209" s="1" t="s">
        <v>229</v>
      </c>
      <c r="E209" s="1"/>
    </row>
    <row r="210" spans="1:5" ht="16">
      <c r="A210" s="1" t="s">
        <v>446</v>
      </c>
      <c r="B210" s="1" t="s">
        <v>454</v>
      </c>
      <c r="C210" s="1" t="s">
        <v>332</v>
      </c>
      <c r="D210" s="1" t="s">
        <v>229</v>
      </c>
      <c r="E210" s="1"/>
    </row>
    <row r="211" spans="1:5" ht="16">
      <c r="A211" s="1" t="s">
        <v>446</v>
      </c>
      <c r="B211" s="1" t="s">
        <v>455</v>
      </c>
      <c r="C211" s="1" t="s">
        <v>334</v>
      </c>
      <c r="D211" s="1" t="s">
        <v>229</v>
      </c>
      <c r="E211" s="1"/>
    </row>
    <row r="212" spans="1:5" ht="16">
      <c r="A212" s="1" t="s">
        <v>446</v>
      </c>
      <c r="B212" s="1" t="s">
        <v>456</v>
      </c>
      <c r="C212" s="1" t="s">
        <v>334</v>
      </c>
      <c r="D212" s="1" t="s">
        <v>229</v>
      </c>
      <c r="E212" s="1"/>
    </row>
    <row r="213" spans="1:5" ht="16">
      <c r="A213" s="1" t="s">
        <v>446</v>
      </c>
      <c r="B213" s="1" t="s">
        <v>457</v>
      </c>
      <c r="C213" s="1" t="s">
        <v>334</v>
      </c>
      <c r="D213" s="1" t="s">
        <v>229</v>
      </c>
      <c r="E213" s="1"/>
    </row>
    <row r="214" spans="1:5" ht="16">
      <c r="A214" s="1" t="s">
        <v>446</v>
      </c>
      <c r="B214" s="1" t="s">
        <v>458</v>
      </c>
      <c r="C214" s="1" t="s">
        <v>334</v>
      </c>
      <c r="D214" s="1" t="s">
        <v>229</v>
      </c>
      <c r="E214" s="1"/>
    </row>
    <row r="215" spans="1:5" ht="16">
      <c r="A215" s="1" t="s">
        <v>446</v>
      </c>
      <c r="B215" s="1" t="s">
        <v>459</v>
      </c>
      <c r="C215" s="1" t="s">
        <v>334</v>
      </c>
      <c r="D215" s="1" t="s">
        <v>229</v>
      </c>
      <c r="E215" s="1"/>
    </row>
    <row r="216" spans="1:5" ht="16">
      <c r="A216" s="1" t="s">
        <v>446</v>
      </c>
      <c r="B216" s="1" t="s">
        <v>460</v>
      </c>
      <c r="C216" s="1" t="s">
        <v>334</v>
      </c>
      <c r="D216" s="1" t="s">
        <v>229</v>
      </c>
      <c r="E216" s="1"/>
    </row>
    <row r="217" spans="1:5" ht="16">
      <c r="A217" s="1" t="s">
        <v>446</v>
      </c>
      <c r="B217" s="1" t="s">
        <v>461</v>
      </c>
      <c r="C217" s="1" t="s">
        <v>334</v>
      </c>
      <c r="D217" s="1" t="s">
        <v>229</v>
      </c>
      <c r="E217" s="1"/>
    </row>
    <row r="218" spans="1:5" ht="16">
      <c r="A218" s="1" t="s">
        <v>446</v>
      </c>
      <c r="B218" s="1" t="s">
        <v>462</v>
      </c>
      <c r="C218" s="1" t="s">
        <v>334</v>
      </c>
      <c r="D218" s="1" t="s">
        <v>229</v>
      </c>
      <c r="E218" s="1"/>
    </row>
    <row r="219" spans="1:5" ht="16">
      <c r="A219" s="1" t="s">
        <v>446</v>
      </c>
      <c r="B219" s="1" t="s">
        <v>463</v>
      </c>
      <c r="C219" s="1" t="s">
        <v>334</v>
      </c>
      <c r="D219" s="1" t="s">
        <v>229</v>
      </c>
      <c r="E219" s="1"/>
    </row>
    <row r="220" spans="1:5" ht="16">
      <c r="A220" s="1" t="s">
        <v>446</v>
      </c>
      <c r="B220" s="1" t="s">
        <v>464</v>
      </c>
      <c r="C220" s="1" t="s">
        <v>334</v>
      </c>
      <c r="D220" s="1" t="s">
        <v>229</v>
      </c>
      <c r="E220" s="1"/>
    </row>
    <row r="221" spans="1:5" ht="16">
      <c r="A221" s="1" t="s">
        <v>446</v>
      </c>
      <c r="B221" s="1" t="s">
        <v>465</v>
      </c>
      <c r="C221" s="1" t="s">
        <v>334</v>
      </c>
      <c r="D221" s="1" t="s">
        <v>229</v>
      </c>
      <c r="E221" s="1"/>
    </row>
    <row r="222" spans="1:5" ht="16">
      <c r="A222" s="1" t="s">
        <v>466</v>
      </c>
      <c r="B222" s="1" t="s">
        <v>467</v>
      </c>
      <c r="C222" s="1" t="s">
        <v>334</v>
      </c>
      <c r="D222" s="1" t="s">
        <v>229</v>
      </c>
      <c r="E222" s="1"/>
    </row>
    <row r="223" spans="1:5" ht="16">
      <c r="A223" s="1" t="s">
        <v>466</v>
      </c>
      <c r="B223" s="1" t="s">
        <v>468</v>
      </c>
      <c r="C223" s="1" t="s">
        <v>334</v>
      </c>
      <c r="D223" s="1" t="s">
        <v>229</v>
      </c>
      <c r="E223" s="1"/>
    </row>
    <row r="224" spans="1:5" ht="16">
      <c r="A224" s="1" t="s">
        <v>466</v>
      </c>
      <c r="B224" s="1" t="s">
        <v>469</v>
      </c>
      <c r="C224" s="1" t="s">
        <v>334</v>
      </c>
      <c r="D224" s="1" t="s">
        <v>229</v>
      </c>
      <c r="E224" s="1"/>
    </row>
    <row r="225" spans="1:5" ht="16">
      <c r="A225" s="1" t="s">
        <v>466</v>
      </c>
      <c r="B225" s="1" t="s">
        <v>470</v>
      </c>
      <c r="C225" s="1" t="s">
        <v>334</v>
      </c>
      <c r="D225" s="1" t="s">
        <v>229</v>
      </c>
      <c r="E225" s="1"/>
    </row>
    <row r="226" spans="1:5" ht="16">
      <c r="A226" s="1" t="s">
        <v>466</v>
      </c>
      <c r="B226" s="1" t="s">
        <v>471</v>
      </c>
      <c r="C226" s="1" t="s">
        <v>334</v>
      </c>
      <c r="D226" s="1" t="s">
        <v>229</v>
      </c>
      <c r="E226" s="1"/>
    </row>
    <row r="227" spans="1:5" ht="16">
      <c r="A227" s="1" t="s">
        <v>466</v>
      </c>
      <c r="B227" s="1" t="s">
        <v>472</v>
      </c>
      <c r="C227" s="1" t="s">
        <v>334</v>
      </c>
      <c r="D227" s="1" t="s">
        <v>229</v>
      </c>
      <c r="E227" s="1"/>
    </row>
    <row r="228" spans="1:5" ht="16">
      <c r="A228" s="1" t="s">
        <v>466</v>
      </c>
      <c r="B228" s="1" t="s">
        <v>473</v>
      </c>
      <c r="C228" s="1" t="s">
        <v>334</v>
      </c>
      <c r="D228" s="1" t="s">
        <v>229</v>
      </c>
      <c r="E228" s="1"/>
    </row>
    <row r="229" spans="1:5" ht="16">
      <c r="A229" s="1" t="s">
        <v>466</v>
      </c>
      <c r="B229" s="1" t="s">
        <v>474</v>
      </c>
      <c r="C229" s="1" t="s">
        <v>334</v>
      </c>
      <c r="D229" s="1" t="s">
        <v>229</v>
      </c>
      <c r="E229" s="1"/>
    </row>
    <row r="230" spans="1:5" ht="16">
      <c r="A230" s="1" t="s">
        <v>466</v>
      </c>
      <c r="B230" s="1" t="s">
        <v>475</v>
      </c>
      <c r="C230" s="1" t="s">
        <v>334</v>
      </c>
      <c r="D230" s="1" t="s">
        <v>229</v>
      </c>
      <c r="E230" s="1"/>
    </row>
    <row r="231" spans="1:5" ht="16">
      <c r="A231" s="1" t="s">
        <v>466</v>
      </c>
      <c r="B231" s="1" t="s">
        <v>476</v>
      </c>
      <c r="C231" s="1" t="s">
        <v>334</v>
      </c>
      <c r="D231" s="1" t="s">
        <v>229</v>
      </c>
      <c r="E231" s="1"/>
    </row>
    <row r="232" spans="1:5" ht="16">
      <c r="A232" s="1" t="s">
        <v>466</v>
      </c>
      <c r="B232" s="1" t="s">
        <v>477</v>
      </c>
      <c r="C232" s="1" t="s">
        <v>334</v>
      </c>
      <c r="D232" s="1" t="s">
        <v>229</v>
      </c>
      <c r="E232" s="1"/>
    </row>
    <row r="233" spans="1:5" ht="16">
      <c r="A233" s="1" t="s">
        <v>466</v>
      </c>
      <c r="B233" s="1" t="s">
        <v>478</v>
      </c>
      <c r="C233" s="1" t="s">
        <v>334</v>
      </c>
      <c r="D233" s="1" t="s">
        <v>229</v>
      </c>
      <c r="E233" s="1"/>
    </row>
    <row r="234" spans="1:5" ht="16">
      <c r="A234" s="1" t="s">
        <v>466</v>
      </c>
      <c r="B234" s="1" t="s">
        <v>479</v>
      </c>
      <c r="C234" s="1" t="s">
        <v>334</v>
      </c>
      <c r="D234" s="1" t="s">
        <v>229</v>
      </c>
      <c r="E234" s="1"/>
    </row>
    <row r="235" spans="1:5" ht="16">
      <c r="A235" s="1" t="s">
        <v>466</v>
      </c>
      <c r="B235" s="1" t="s">
        <v>480</v>
      </c>
      <c r="C235" s="1" t="s">
        <v>334</v>
      </c>
      <c r="D235" s="1" t="s">
        <v>229</v>
      </c>
      <c r="E235" s="1"/>
    </row>
    <row r="236" spans="1:5" ht="16">
      <c r="A236" s="1" t="s">
        <v>466</v>
      </c>
      <c r="B236" s="1" t="s">
        <v>481</v>
      </c>
      <c r="C236" s="1" t="s">
        <v>334</v>
      </c>
      <c r="D236" s="1" t="s">
        <v>229</v>
      </c>
      <c r="E236" s="1"/>
    </row>
    <row r="237" spans="1:5" ht="16">
      <c r="A237" s="1" t="s">
        <v>466</v>
      </c>
      <c r="B237" s="1" t="s">
        <v>482</v>
      </c>
      <c r="C237" s="1" t="s">
        <v>334</v>
      </c>
      <c r="D237" s="1" t="s">
        <v>229</v>
      </c>
      <c r="E237" s="1"/>
    </row>
    <row r="238" spans="1:5" ht="16">
      <c r="A238" s="1" t="s">
        <v>466</v>
      </c>
      <c r="B238" s="1" t="s">
        <v>476</v>
      </c>
      <c r="C238" s="1" t="s">
        <v>334</v>
      </c>
      <c r="D238" s="1" t="s">
        <v>229</v>
      </c>
      <c r="E238" s="1"/>
    </row>
    <row r="239" spans="1:5" ht="16">
      <c r="A239" s="1" t="s">
        <v>466</v>
      </c>
      <c r="B239" s="1" t="s">
        <v>483</v>
      </c>
      <c r="C239" s="1" t="s">
        <v>265</v>
      </c>
      <c r="D239" s="1" t="s">
        <v>229</v>
      </c>
      <c r="E239" s="1"/>
    </row>
    <row r="240" spans="1:5" ht="16">
      <c r="A240" s="1" t="s">
        <v>466</v>
      </c>
      <c r="B240" s="1" t="s">
        <v>484</v>
      </c>
      <c r="C240" s="1" t="s">
        <v>265</v>
      </c>
      <c r="D240" s="1" t="s">
        <v>229</v>
      </c>
      <c r="E240" s="1"/>
    </row>
    <row r="241" spans="1:5" ht="16">
      <c r="A241" s="1" t="s">
        <v>466</v>
      </c>
      <c r="B241" s="1" t="s">
        <v>485</v>
      </c>
      <c r="C241" s="1" t="s">
        <v>307</v>
      </c>
      <c r="D241" s="1" t="s">
        <v>229</v>
      </c>
      <c r="E241" s="1"/>
    </row>
    <row r="242" spans="1:5" ht="16">
      <c r="A242" s="1" t="s">
        <v>466</v>
      </c>
      <c r="B242" s="1" t="s">
        <v>486</v>
      </c>
      <c r="C242" s="1" t="s">
        <v>334</v>
      </c>
      <c r="D242" s="1" t="s">
        <v>229</v>
      </c>
      <c r="E242" s="1"/>
    </row>
    <row r="243" spans="1:5" ht="16">
      <c r="A243" s="1" t="s">
        <v>466</v>
      </c>
      <c r="B243" s="1" t="s">
        <v>486</v>
      </c>
      <c r="C243" s="1" t="s">
        <v>334</v>
      </c>
      <c r="D243" s="1" t="s">
        <v>229</v>
      </c>
      <c r="E243" s="1"/>
    </row>
    <row r="244" spans="1:5" ht="16">
      <c r="A244" s="1" t="s">
        <v>466</v>
      </c>
      <c r="B244" s="1" t="s">
        <v>486</v>
      </c>
      <c r="C244" s="1" t="s">
        <v>334</v>
      </c>
      <c r="D244" s="1" t="s">
        <v>229</v>
      </c>
      <c r="E244" s="1"/>
    </row>
    <row r="245" spans="1:5" ht="16">
      <c r="A245" s="1" t="s">
        <v>466</v>
      </c>
      <c r="B245" s="1" t="s">
        <v>486</v>
      </c>
      <c r="C245" s="1" t="s">
        <v>334</v>
      </c>
      <c r="D245" s="1" t="s">
        <v>229</v>
      </c>
      <c r="E245" s="1"/>
    </row>
    <row r="246" spans="1:5" ht="16">
      <c r="A246" s="1" t="s">
        <v>466</v>
      </c>
      <c r="B246" s="1" t="s">
        <v>487</v>
      </c>
      <c r="C246" s="1" t="s">
        <v>334</v>
      </c>
      <c r="D246" s="1" t="s">
        <v>229</v>
      </c>
      <c r="E246" s="1"/>
    </row>
    <row r="247" spans="1:5" ht="16">
      <c r="A247" s="1" t="s">
        <v>466</v>
      </c>
      <c r="B247" s="1" t="s">
        <v>487</v>
      </c>
      <c r="C247" s="1" t="s">
        <v>334</v>
      </c>
      <c r="D247" s="1" t="s">
        <v>229</v>
      </c>
      <c r="E247" s="1"/>
    </row>
    <row r="248" spans="1:5" ht="16">
      <c r="A248" s="1" t="s">
        <v>466</v>
      </c>
      <c r="B248" s="1" t="s">
        <v>488</v>
      </c>
      <c r="C248" s="1" t="s">
        <v>334</v>
      </c>
      <c r="D248" s="1" t="s">
        <v>229</v>
      </c>
      <c r="E248" s="1"/>
    </row>
    <row r="249" spans="1:5" ht="16">
      <c r="A249" s="1" t="s">
        <v>466</v>
      </c>
      <c r="B249" s="1" t="s">
        <v>489</v>
      </c>
      <c r="C249" s="1" t="s">
        <v>334</v>
      </c>
      <c r="D249" s="1" t="s">
        <v>229</v>
      </c>
      <c r="E249" s="1"/>
    </row>
    <row r="250" spans="1:5" ht="16">
      <c r="A250" s="1" t="s">
        <v>466</v>
      </c>
      <c r="B250" s="1" t="s">
        <v>488</v>
      </c>
      <c r="C250" s="1" t="s">
        <v>334</v>
      </c>
      <c r="D250" s="1" t="s">
        <v>229</v>
      </c>
      <c r="E250" s="1"/>
    </row>
    <row r="251" spans="1:5" ht="16">
      <c r="A251" s="1" t="s">
        <v>466</v>
      </c>
      <c r="B251" s="1" t="s">
        <v>490</v>
      </c>
      <c r="C251" s="1" t="s">
        <v>307</v>
      </c>
      <c r="D251" s="1" t="s">
        <v>229</v>
      </c>
      <c r="E251" s="1"/>
    </row>
    <row r="252" spans="1:5" ht="16">
      <c r="A252" s="1" t="s">
        <v>466</v>
      </c>
      <c r="B252" s="1" t="s">
        <v>491</v>
      </c>
      <c r="C252" s="1" t="s">
        <v>263</v>
      </c>
      <c r="D252" s="1" t="s">
        <v>229</v>
      </c>
      <c r="E252" s="1"/>
    </row>
    <row r="253" spans="1:5" ht="16">
      <c r="A253" s="1" t="s">
        <v>466</v>
      </c>
      <c r="B253" s="1" t="s">
        <v>492</v>
      </c>
      <c r="C253" s="1" t="s">
        <v>265</v>
      </c>
      <c r="D253" s="1" t="s">
        <v>229</v>
      </c>
      <c r="E253" s="1"/>
    </row>
    <row r="254" spans="1:5" ht="16">
      <c r="A254" s="1" t="s">
        <v>466</v>
      </c>
      <c r="B254" s="1" t="s">
        <v>493</v>
      </c>
      <c r="C254" s="1" t="s">
        <v>265</v>
      </c>
      <c r="D254" s="1" t="s">
        <v>229</v>
      </c>
      <c r="E254" s="1"/>
    </row>
    <row r="255" spans="1:5" ht="16">
      <c r="A255" s="1" t="s">
        <v>466</v>
      </c>
      <c r="B255" s="1" t="s">
        <v>494</v>
      </c>
      <c r="C255" s="1" t="s">
        <v>265</v>
      </c>
      <c r="D255" s="1" t="s">
        <v>229</v>
      </c>
      <c r="E255" s="1"/>
    </row>
    <row r="256" spans="1:5" ht="16">
      <c r="A256" s="1" t="s">
        <v>466</v>
      </c>
      <c r="B256" s="1" t="s">
        <v>495</v>
      </c>
      <c r="C256" s="1" t="s">
        <v>265</v>
      </c>
      <c r="D256" s="1" t="s">
        <v>229</v>
      </c>
      <c r="E256" s="1"/>
    </row>
    <row r="257" spans="1:5" ht="16">
      <c r="A257" s="1" t="s">
        <v>466</v>
      </c>
      <c r="B257" s="1" t="s">
        <v>496</v>
      </c>
      <c r="C257" s="1" t="s">
        <v>265</v>
      </c>
      <c r="D257" s="1" t="s">
        <v>229</v>
      </c>
      <c r="E257" s="1"/>
    </row>
    <row r="258" spans="1:5" ht="16">
      <c r="A258" s="1" t="s">
        <v>466</v>
      </c>
      <c r="B258" s="1" t="s">
        <v>497</v>
      </c>
      <c r="C258" s="1" t="s">
        <v>265</v>
      </c>
      <c r="D258" s="1" t="s">
        <v>229</v>
      </c>
      <c r="E258" s="1"/>
    </row>
    <row r="259" spans="1:5" ht="16">
      <c r="A259" s="1" t="s">
        <v>466</v>
      </c>
      <c r="B259" s="1" t="s">
        <v>498</v>
      </c>
      <c r="C259" s="1" t="s">
        <v>265</v>
      </c>
      <c r="D259" s="1" t="s">
        <v>229</v>
      </c>
      <c r="E259" s="1"/>
    </row>
    <row r="260" spans="1:5" ht="16">
      <c r="A260" s="1" t="s">
        <v>466</v>
      </c>
      <c r="B260" s="1" t="s">
        <v>499</v>
      </c>
      <c r="C260" s="1" t="s">
        <v>334</v>
      </c>
      <c r="D260" s="1" t="s">
        <v>229</v>
      </c>
      <c r="E260" s="1" t="s">
        <v>500</v>
      </c>
    </row>
    <row r="261" spans="1:5" ht="16">
      <c r="A261" s="1" t="s">
        <v>466</v>
      </c>
      <c r="B261" s="1" t="s">
        <v>501</v>
      </c>
      <c r="C261" s="1" t="s">
        <v>334</v>
      </c>
      <c r="D261" s="1" t="s">
        <v>229</v>
      </c>
      <c r="E261" s="1" t="s">
        <v>500</v>
      </c>
    </row>
    <row r="262" spans="1:5" ht="16">
      <c r="A262" s="1" t="s">
        <v>466</v>
      </c>
      <c r="B262" s="1" t="s">
        <v>502</v>
      </c>
      <c r="C262" s="1" t="s">
        <v>334</v>
      </c>
      <c r="D262" s="1" t="s">
        <v>229</v>
      </c>
      <c r="E262" s="1" t="s">
        <v>500</v>
      </c>
    </row>
    <row r="263" spans="1:5" ht="16">
      <c r="A263" s="1" t="s">
        <v>466</v>
      </c>
      <c r="B263" s="1" t="s">
        <v>503</v>
      </c>
      <c r="C263" s="1" t="s">
        <v>334</v>
      </c>
      <c r="D263" s="1" t="s">
        <v>229</v>
      </c>
      <c r="E263" s="1" t="s">
        <v>500</v>
      </c>
    </row>
    <row r="264" spans="1:5" ht="16">
      <c r="A264" s="1" t="s">
        <v>466</v>
      </c>
      <c r="B264" s="1" t="s">
        <v>504</v>
      </c>
      <c r="C264" s="1" t="s">
        <v>334</v>
      </c>
      <c r="D264" s="1" t="s">
        <v>229</v>
      </c>
      <c r="E264" s="1" t="s">
        <v>500</v>
      </c>
    </row>
    <row r="265" spans="1:5" ht="16">
      <c r="A265" s="1" t="s">
        <v>466</v>
      </c>
      <c r="B265" s="1" t="s">
        <v>505</v>
      </c>
      <c r="C265" s="1" t="s">
        <v>334</v>
      </c>
      <c r="D265" s="1" t="s">
        <v>229</v>
      </c>
      <c r="E265" s="1" t="s">
        <v>500</v>
      </c>
    </row>
    <row r="266" spans="1:5" ht="16">
      <c r="A266" s="1" t="s">
        <v>466</v>
      </c>
      <c r="B266" s="1" t="s">
        <v>506</v>
      </c>
      <c r="C266" s="1" t="s">
        <v>334</v>
      </c>
      <c r="D266" s="1" t="s">
        <v>229</v>
      </c>
      <c r="E266" s="1" t="s">
        <v>500</v>
      </c>
    </row>
    <row r="267" spans="1:5" ht="16">
      <c r="A267" s="1" t="s">
        <v>466</v>
      </c>
      <c r="B267" s="1" t="s">
        <v>507</v>
      </c>
      <c r="C267" s="1" t="s">
        <v>334</v>
      </c>
      <c r="D267" s="1" t="s">
        <v>229</v>
      </c>
      <c r="E267" s="1" t="s">
        <v>500</v>
      </c>
    </row>
    <row r="268" spans="1:5" ht="16">
      <c r="A268" s="1" t="s">
        <v>466</v>
      </c>
      <c r="B268" s="1" t="s">
        <v>508</v>
      </c>
      <c r="C268" s="1" t="s">
        <v>334</v>
      </c>
      <c r="D268" s="1" t="s">
        <v>229</v>
      </c>
      <c r="E268" s="1" t="s">
        <v>500</v>
      </c>
    </row>
    <row r="269" spans="1:5" ht="16">
      <c r="A269" s="1" t="s">
        <v>466</v>
      </c>
      <c r="B269" s="1" t="s">
        <v>509</v>
      </c>
      <c r="C269" s="1" t="s">
        <v>334</v>
      </c>
      <c r="D269" s="1" t="s">
        <v>229</v>
      </c>
      <c r="E269" s="1" t="s">
        <v>500</v>
      </c>
    </row>
    <row r="270" spans="1:5" ht="16">
      <c r="A270" s="1" t="s">
        <v>466</v>
      </c>
      <c r="B270" s="1" t="s">
        <v>510</v>
      </c>
      <c r="C270" s="1" t="s">
        <v>334</v>
      </c>
      <c r="D270" s="1" t="s">
        <v>229</v>
      </c>
      <c r="E270" s="1" t="s">
        <v>500</v>
      </c>
    </row>
    <row r="271" spans="1:5" ht="16">
      <c r="A271" s="1" t="s">
        <v>466</v>
      </c>
      <c r="B271" s="1" t="s">
        <v>511</v>
      </c>
      <c r="C271" s="1" t="s">
        <v>334</v>
      </c>
      <c r="D271" s="1" t="s">
        <v>229</v>
      </c>
      <c r="E271" s="1" t="s">
        <v>500</v>
      </c>
    </row>
    <row r="272" spans="1:5" ht="16">
      <c r="A272" s="1" t="s">
        <v>466</v>
      </c>
      <c r="B272" s="1" t="s">
        <v>512</v>
      </c>
      <c r="C272" s="1" t="s">
        <v>334</v>
      </c>
      <c r="D272" s="1" t="s">
        <v>229</v>
      </c>
      <c r="E272" s="1" t="s">
        <v>500</v>
      </c>
    </row>
    <row r="273" spans="1:5" ht="16">
      <c r="A273" s="1" t="s">
        <v>466</v>
      </c>
      <c r="B273" s="1" t="s">
        <v>513</v>
      </c>
      <c r="C273" s="1" t="s">
        <v>334</v>
      </c>
      <c r="D273" s="1" t="s">
        <v>229</v>
      </c>
      <c r="E273" s="1" t="s">
        <v>500</v>
      </c>
    </row>
    <row r="274" spans="1:5" ht="16">
      <c r="A274" s="1" t="s">
        <v>466</v>
      </c>
      <c r="B274" s="1" t="s">
        <v>514</v>
      </c>
      <c r="C274" s="1" t="s">
        <v>334</v>
      </c>
      <c r="D274" s="1" t="s">
        <v>229</v>
      </c>
      <c r="E274" s="1" t="s">
        <v>500</v>
      </c>
    </row>
    <row r="275" spans="1:5" ht="16">
      <c r="A275" s="1" t="s">
        <v>466</v>
      </c>
      <c r="B275" s="1" t="s">
        <v>515</v>
      </c>
      <c r="C275" s="1" t="s">
        <v>334</v>
      </c>
      <c r="D275" s="1" t="s">
        <v>229</v>
      </c>
      <c r="E275" s="1" t="s">
        <v>500</v>
      </c>
    </row>
    <row r="276" spans="1:5" ht="16">
      <c r="A276" s="1" t="s">
        <v>466</v>
      </c>
      <c r="B276" s="1" t="s">
        <v>516</v>
      </c>
      <c r="C276" s="1" t="s">
        <v>334</v>
      </c>
      <c r="D276" s="1" t="s">
        <v>229</v>
      </c>
      <c r="E276" s="1" t="s">
        <v>500</v>
      </c>
    </row>
    <row r="277" spans="1:5" ht="16">
      <c r="A277" s="1" t="s">
        <v>466</v>
      </c>
      <c r="B277" s="1" t="s">
        <v>517</v>
      </c>
      <c r="C277" s="1" t="s">
        <v>334</v>
      </c>
      <c r="D277" s="1" t="s">
        <v>229</v>
      </c>
      <c r="E277" s="1" t="s">
        <v>500</v>
      </c>
    </row>
    <row r="278" spans="1:5" ht="16">
      <c r="A278" s="1" t="s">
        <v>466</v>
      </c>
      <c r="B278" s="1" t="s">
        <v>518</v>
      </c>
      <c r="C278" s="1" t="s">
        <v>334</v>
      </c>
      <c r="D278" s="1" t="s">
        <v>229</v>
      </c>
      <c r="E278" s="1" t="s">
        <v>500</v>
      </c>
    </row>
    <row r="279" spans="1:5" ht="16">
      <c r="A279" s="1" t="s">
        <v>466</v>
      </c>
      <c r="B279" s="1" t="s">
        <v>519</v>
      </c>
      <c r="C279" s="1" t="s">
        <v>334</v>
      </c>
      <c r="D279" s="1" t="s">
        <v>229</v>
      </c>
      <c r="E279" s="1" t="s">
        <v>500</v>
      </c>
    </row>
    <row r="280" spans="1:5" ht="16">
      <c r="A280" s="1" t="s">
        <v>466</v>
      </c>
      <c r="B280" s="1" t="s">
        <v>520</v>
      </c>
      <c r="C280" s="1" t="s">
        <v>334</v>
      </c>
      <c r="D280" s="1" t="s">
        <v>229</v>
      </c>
      <c r="E280" s="1" t="s">
        <v>500</v>
      </c>
    </row>
    <row r="281" spans="1:5" ht="16">
      <c r="A281" s="1" t="s">
        <v>466</v>
      </c>
      <c r="B281" s="1" t="s">
        <v>521</v>
      </c>
      <c r="C281" s="1" t="s">
        <v>334</v>
      </c>
      <c r="D281" s="1" t="s">
        <v>229</v>
      </c>
      <c r="E281" s="1" t="s">
        <v>500</v>
      </c>
    </row>
    <row r="282" spans="1:5" ht="16">
      <c r="A282" s="1" t="s">
        <v>466</v>
      </c>
      <c r="B282" s="1" t="s">
        <v>522</v>
      </c>
      <c r="C282" s="1" t="s">
        <v>334</v>
      </c>
      <c r="D282" s="1" t="s">
        <v>229</v>
      </c>
      <c r="E282" s="1" t="s">
        <v>500</v>
      </c>
    </row>
    <row r="283" spans="1:5" ht="16">
      <c r="A283" s="1" t="s">
        <v>466</v>
      </c>
      <c r="B283" s="1" t="s">
        <v>523</v>
      </c>
      <c r="C283" s="1" t="s">
        <v>334</v>
      </c>
      <c r="D283" s="1" t="s">
        <v>229</v>
      </c>
      <c r="E283" s="1" t="s">
        <v>500</v>
      </c>
    </row>
    <row r="284" spans="1:5" ht="16">
      <c r="A284" s="1" t="s">
        <v>466</v>
      </c>
      <c r="B284" s="1" t="s">
        <v>489</v>
      </c>
      <c r="C284" s="1" t="s">
        <v>334</v>
      </c>
      <c r="D284" s="1" t="s">
        <v>229</v>
      </c>
      <c r="E284" s="1"/>
    </row>
    <row r="285" spans="1:5" ht="16">
      <c r="A285" s="1" t="s">
        <v>466</v>
      </c>
      <c r="B285" s="1" t="s">
        <v>489</v>
      </c>
      <c r="C285" s="1" t="s">
        <v>334</v>
      </c>
      <c r="D285" s="1" t="s">
        <v>229</v>
      </c>
      <c r="E285" s="1"/>
    </row>
    <row r="286" spans="1:5" ht="16">
      <c r="A286" s="1" t="s">
        <v>466</v>
      </c>
      <c r="B286" s="1" t="s">
        <v>489</v>
      </c>
      <c r="C286" s="1" t="s">
        <v>334</v>
      </c>
      <c r="D286" s="1" t="s">
        <v>229</v>
      </c>
      <c r="E286" s="1"/>
    </row>
    <row r="287" spans="1:5" ht="16">
      <c r="A287" s="1" t="s">
        <v>466</v>
      </c>
      <c r="B287" s="1" t="s">
        <v>489</v>
      </c>
      <c r="C287" s="1" t="s">
        <v>334</v>
      </c>
      <c r="D287" s="1" t="s">
        <v>229</v>
      </c>
      <c r="E287" s="1"/>
    </row>
    <row r="288" spans="1:5" ht="16">
      <c r="A288" s="1" t="s">
        <v>466</v>
      </c>
      <c r="B288" s="1" t="s">
        <v>489</v>
      </c>
      <c r="C288" s="1" t="s">
        <v>334</v>
      </c>
      <c r="D288" s="1" t="s">
        <v>229</v>
      </c>
      <c r="E288" s="1"/>
    </row>
    <row r="289" spans="1:5" ht="16">
      <c r="A289" s="1" t="s">
        <v>466</v>
      </c>
      <c r="B289" s="1" t="s">
        <v>489</v>
      </c>
      <c r="C289" s="1" t="s">
        <v>334</v>
      </c>
      <c r="D289" s="1" t="s">
        <v>229</v>
      </c>
      <c r="E289" s="1"/>
    </row>
    <row r="290" spans="1:5" ht="16">
      <c r="A290" s="1" t="s">
        <v>466</v>
      </c>
      <c r="B290" s="1" t="s">
        <v>524</v>
      </c>
      <c r="C290" s="1" t="s">
        <v>263</v>
      </c>
      <c r="D290" s="1" t="s">
        <v>229</v>
      </c>
      <c r="E290" s="1"/>
    </row>
    <row r="291" spans="1:5" ht="16">
      <c r="A291" s="1" t="s">
        <v>466</v>
      </c>
      <c r="B291" s="1" t="s">
        <v>487</v>
      </c>
      <c r="C291" s="1" t="s">
        <v>334</v>
      </c>
      <c r="D291" s="1" t="s">
        <v>229</v>
      </c>
      <c r="E291" s="1"/>
    </row>
    <row r="292" spans="1:5" ht="16">
      <c r="A292" s="1" t="s">
        <v>466</v>
      </c>
      <c r="B292" s="1" t="s">
        <v>487</v>
      </c>
      <c r="C292" s="1" t="s">
        <v>334</v>
      </c>
      <c r="D292" s="1" t="s">
        <v>229</v>
      </c>
      <c r="E292" s="1"/>
    </row>
    <row r="293" spans="1:5" ht="16">
      <c r="A293" s="1" t="s">
        <v>466</v>
      </c>
      <c r="B293" s="1" t="s">
        <v>487</v>
      </c>
      <c r="C293" s="1" t="s">
        <v>334</v>
      </c>
      <c r="D293" s="1" t="s">
        <v>229</v>
      </c>
      <c r="E293" s="1"/>
    </row>
    <row r="294" spans="1:5" ht="16">
      <c r="A294" s="1" t="s">
        <v>466</v>
      </c>
      <c r="B294" s="1" t="s">
        <v>487</v>
      </c>
      <c r="C294" s="1" t="s">
        <v>334</v>
      </c>
      <c r="D294" s="1" t="s">
        <v>229</v>
      </c>
      <c r="E294" s="1"/>
    </row>
    <row r="295" spans="1:5" ht="16">
      <c r="A295" s="1" t="s">
        <v>466</v>
      </c>
      <c r="B295" s="1" t="s">
        <v>487</v>
      </c>
      <c r="C295" s="1" t="s">
        <v>334</v>
      </c>
      <c r="D295" s="1" t="s">
        <v>229</v>
      </c>
      <c r="E295" s="1"/>
    </row>
    <row r="296" spans="1:5" ht="16">
      <c r="A296" s="1" t="s">
        <v>466</v>
      </c>
      <c r="B296" s="1" t="s">
        <v>525</v>
      </c>
      <c r="C296" s="1" t="s">
        <v>265</v>
      </c>
      <c r="D296" s="1" t="s">
        <v>229</v>
      </c>
      <c r="E296" s="1"/>
    </row>
    <row r="297" spans="1:5" ht="16">
      <c r="A297" s="1" t="s">
        <v>466</v>
      </c>
      <c r="B297" s="1" t="s">
        <v>526</v>
      </c>
      <c r="C297" s="1" t="s">
        <v>334</v>
      </c>
      <c r="D297" s="1" t="s">
        <v>229</v>
      </c>
      <c r="E297" s="1" t="s">
        <v>500</v>
      </c>
    </row>
    <row r="298" spans="1:5" ht="16">
      <c r="A298" s="1" t="s">
        <v>466</v>
      </c>
      <c r="B298" s="1" t="s">
        <v>527</v>
      </c>
      <c r="C298" s="1" t="s">
        <v>334</v>
      </c>
      <c r="D298" s="1" t="s">
        <v>229</v>
      </c>
      <c r="E298" s="1"/>
    </row>
    <row r="299" spans="1:5" ht="16">
      <c r="A299" s="1" t="s">
        <v>466</v>
      </c>
      <c r="B299" s="1" t="s">
        <v>528</v>
      </c>
      <c r="C299" s="1" t="s">
        <v>265</v>
      </c>
      <c r="D299" s="1" t="s">
        <v>229</v>
      </c>
      <c r="E299" s="1"/>
    </row>
    <row r="300" spans="1:5" ht="16">
      <c r="A300" s="1" t="s">
        <v>466</v>
      </c>
      <c r="B300" s="1" t="s">
        <v>529</v>
      </c>
      <c r="C300" s="1" t="s">
        <v>265</v>
      </c>
      <c r="D300" s="1" t="s">
        <v>229</v>
      </c>
      <c r="E300" s="1"/>
    </row>
    <row r="301" spans="1:5" ht="16">
      <c r="A301" s="1" t="s">
        <v>466</v>
      </c>
      <c r="B301" s="1" t="s">
        <v>530</v>
      </c>
      <c r="C301" s="1" t="s">
        <v>265</v>
      </c>
      <c r="D301" s="1" t="s">
        <v>229</v>
      </c>
      <c r="E301" s="1"/>
    </row>
    <row r="302" spans="1:5" ht="16">
      <c r="A302" s="1" t="s">
        <v>466</v>
      </c>
      <c r="B302" s="1" t="s">
        <v>531</v>
      </c>
      <c r="C302" s="1" t="s">
        <v>334</v>
      </c>
      <c r="D302" s="1" t="s">
        <v>229</v>
      </c>
      <c r="E302" s="1"/>
    </row>
    <row r="303" spans="1:5" ht="16">
      <c r="A303" s="1" t="s">
        <v>466</v>
      </c>
      <c r="B303" s="1" t="s">
        <v>531</v>
      </c>
      <c r="C303" s="1" t="s">
        <v>334</v>
      </c>
      <c r="D303" s="1" t="s">
        <v>229</v>
      </c>
      <c r="E303" s="1"/>
    </row>
    <row r="304" spans="1:5" ht="16">
      <c r="A304" s="1" t="s">
        <v>466</v>
      </c>
      <c r="B304" s="1" t="s">
        <v>532</v>
      </c>
      <c r="C304" s="1" t="s">
        <v>334</v>
      </c>
      <c r="D304" s="1" t="s">
        <v>229</v>
      </c>
      <c r="E304" s="1"/>
    </row>
    <row r="305" spans="1:5" ht="16">
      <c r="A305" s="1" t="s">
        <v>466</v>
      </c>
      <c r="B305" s="1" t="s">
        <v>533</v>
      </c>
      <c r="C305" s="1" t="s">
        <v>334</v>
      </c>
      <c r="D305" s="1" t="s">
        <v>229</v>
      </c>
      <c r="E305" s="1"/>
    </row>
    <row r="306" spans="1:5" ht="16">
      <c r="A306" s="1" t="s">
        <v>466</v>
      </c>
      <c r="B306" s="1" t="s">
        <v>531</v>
      </c>
      <c r="C306" s="1" t="s">
        <v>334</v>
      </c>
      <c r="D306" s="1" t="s">
        <v>229</v>
      </c>
      <c r="E306" s="1"/>
    </row>
    <row r="307" spans="1:5" ht="16">
      <c r="A307" s="1" t="s">
        <v>466</v>
      </c>
      <c r="B307" s="1" t="s">
        <v>532</v>
      </c>
      <c r="C307" s="1" t="s">
        <v>334</v>
      </c>
      <c r="D307" s="1" t="s">
        <v>229</v>
      </c>
      <c r="E307" s="1"/>
    </row>
    <row r="308" spans="1:5" ht="16">
      <c r="A308" s="1" t="s">
        <v>466</v>
      </c>
      <c r="B308" s="1" t="s">
        <v>532</v>
      </c>
      <c r="C308" s="1" t="s">
        <v>334</v>
      </c>
      <c r="D308" s="1" t="s">
        <v>229</v>
      </c>
      <c r="E308" s="1"/>
    </row>
    <row r="309" spans="1:5" ht="16">
      <c r="A309" s="1" t="s">
        <v>466</v>
      </c>
      <c r="B309" s="1" t="s">
        <v>532</v>
      </c>
      <c r="C309" s="1" t="s">
        <v>334</v>
      </c>
      <c r="D309" s="1" t="s">
        <v>229</v>
      </c>
      <c r="E309" s="1"/>
    </row>
    <row r="310" spans="1:5" ht="16">
      <c r="A310" s="1" t="s">
        <v>466</v>
      </c>
      <c r="B310" s="1" t="s">
        <v>533</v>
      </c>
      <c r="C310" s="1" t="s">
        <v>334</v>
      </c>
      <c r="D310" s="1" t="s">
        <v>229</v>
      </c>
      <c r="E310" s="1"/>
    </row>
    <row r="311" spans="1:5" ht="16">
      <c r="A311" s="1" t="s">
        <v>466</v>
      </c>
      <c r="B311" s="1" t="s">
        <v>532</v>
      </c>
      <c r="C311" s="1" t="s">
        <v>334</v>
      </c>
      <c r="D311" s="1" t="s">
        <v>229</v>
      </c>
      <c r="E311" s="1"/>
    </row>
    <row r="312" spans="1:5" ht="16">
      <c r="A312" s="1" t="s">
        <v>466</v>
      </c>
      <c r="B312" s="1" t="s">
        <v>532</v>
      </c>
      <c r="C312" s="1" t="s">
        <v>334</v>
      </c>
      <c r="D312" s="1" t="s">
        <v>229</v>
      </c>
      <c r="E312" s="1"/>
    </row>
    <row r="313" spans="1:5" ht="16">
      <c r="A313" s="1" t="s">
        <v>466</v>
      </c>
      <c r="B313" s="1" t="s">
        <v>534</v>
      </c>
      <c r="C313" s="1" t="s">
        <v>334</v>
      </c>
      <c r="D313" s="1" t="s">
        <v>229</v>
      </c>
      <c r="E313" s="1" t="s">
        <v>500</v>
      </c>
    </row>
    <row r="314" spans="1:5" ht="16">
      <c r="A314" s="1" t="s">
        <v>466</v>
      </c>
      <c r="B314" s="1" t="s">
        <v>535</v>
      </c>
      <c r="C314" s="1" t="s">
        <v>334</v>
      </c>
      <c r="D314" s="1" t="s">
        <v>229</v>
      </c>
      <c r="E314" s="1" t="s">
        <v>500</v>
      </c>
    </row>
    <row r="315" spans="1:5" ht="16">
      <c r="A315" s="1" t="s">
        <v>466</v>
      </c>
      <c r="B315" s="1" t="s">
        <v>536</v>
      </c>
      <c r="C315" s="1" t="s">
        <v>334</v>
      </c>
      <c r="D315" s="1" t="s">
        <v>229</v>
      </c>
      <c r="E315" s="1"/>
    </row>
    <row r="316" spans="1:5" ht="16">
      <c r="A316" s="1" t="s">
        <v>466</v>
      </c>
      <c r="B316" s="1" t="s">
        <v>537</v>
      </c>
      <c r="C316" s="1" t="s">
        <v>265</v>
      </c>
      <c r="D316" s="1" t="s">
        <v>229</v>
      </c>
      <c r="E316" s="1"/>
    </row>
    <row r="317" spans="1:5" ht="16">
      <c r="A317" s="1" t="s">
        <v>466</v>
      </c>
      <c r="B317" s="1" t="s">
        <v>538</v>
      </c>
      <c r="C317" s="1" t="s">
        <v>307</v>
      </c>
      <c r="D317" s="1" t="s">
        <v>229</v>
      </c>
      <c r="E317" s="1"/>
    </row>
    <row r="318" spans="1:5" ht="16">
      <c r="A318" s="1" t="s">
        <v>466</v>
      </c>
      <c r="B318" s="1" t="s">
        <v>539</v>
      </c>
      <c r="C318" s="1" t="s">
        <v>265</v>
      </c>
      <c r="D318" s="1" t="s">
        <v>229</v>
      </c>
      <c r="E318" s="1"/>
    </row>
    <row r="319" spans="1:5" ht="16">
      <c r="A319" s="1" t="s">
        <v>466</v>
      </c>
      <c r="B319" s="1" t="s">
        <v>540</v>
      </c>
      <c r="C319" s="1" t="s">
        <v>265</v>
      </c>
      <c r="D319" s="1" t="s">
        <v>229</v>
      </c>
      <c r="E319" s="1"/>
    </row>
    <row r="320" spans="1:5" ht="16">
      <c r="A320" s="1" t="s">
        <v>466</v>
      </c>
      <c r="B320" s="1" t="s">
        <v>541</v>
      </c>
      <c r="C320" s="1" t="s">
        <v>234</v>
      </c>
      <c r="D320" s="1" t="s">
        <v>229</v>
      </c>
      <c r="E320" s="1"/>
    </row>
    <row r="321" spans="1:5" ht="16">
      <c r="A321" s="1" t="s">
        <v>466</v>
      </c>
      <c r="B321" s="1" t="s">
        <v>542</v>
      </c>
      <c r="C321" s="1" t="s">
        <v>234</v>
      </c>
      <c r="D321" s="1" t="s">
        <v>229</v>
      </c>
      <c r="E321" s="1"/>
    </row>
    <row r="322" spans="1:5" ht="16">
      <c r="A322" s="1" t="s">
        <v>466</v>
      </c>
      <c r="B322" s="1" t="s">
        <v>543</v>
      </c>
      <c r="C322" s="1" t="s">
        <v>234</v>
      </c>
      <c r="D322" s="1" t="s">
        <v>229</v>
      </c>
      <c r="E322" s="1"/>
    </row>
    <row r="323" spans="1:5" ht="16">
      <c r="A323" s="1" t="s">
        <v>466</v>
      </c>
      <c r="B323" s="1" t="s">
        <v>544</v>
      </c>
      <c r="C323" s="1" t="s">
        <v>234</v>
      </c>
      <c r="D323" s="1" t="s">
        <v>229</v>
      </c>
      <c r="E323" s="1"/>
    </row>
    <row r="324" spans="1:5" ht="16">
      <c r="A324" s="1" t="s">
        <v>466</v>
      </c>
      <c r="B324" s="1" t="s">
        <v>545</v>
      </c>
      <c r="C324" s="1" t="s">
        <v>234</v>
      </c>
      <c r="D324" s="1" t="s">
        <v>229</v>
      </c>
      <c r="E324" s="1"/>
    </row>
    <row r="325" spans="1:5" ht="16">
      <c r="A325" s="1" t="s">
        <v>466</v>
      </c>
      <c r="B325" s="1" t="s">
        <v>546</v>
      </c>
      <c r="C325" s="1" t="s">
        <v>234</v>
      </c>
      <c r="D325" s="1" t="s">
        <v>229</v>
      </c>
      <c r="E325" s="1"/>
    </row>
    <row r="326" spans="1:5" ht="16">
      <c r="A326" s="1" t="s">
        <v>466</v>
      </c>
      <c r="B326" s="1" t="s">
        <v>545</v>
      </c>
      <c r="C326" s="1" t="s">
        <v>234</v>
      </c>
      <c r="D326" s="1" t="s">
        <v>229</v>
      </c>
      <c r="E326" s="1"/>
    </row>
    <row r="327" spans="1:5" ht="16">
      <c r="A327" s="1" t="s">
        <v>466</v>
      </c>
      <c r="B327" s="1" t="s">
        <v>547</v>
      </c>
      <c r="C327" s="1" t="s">
        <v>234</v>
      </c>
      <c r="D327" s="1" t="s">
        <v>229</v>
      </c>
      <c r="E327" s="1"/>
    </row>
    <row r="328" spans="1:5" ht="16">
      <c r="A328" s="1" t="s">
        <v>466</v>
      </c>
      <c r="B328" s="1" t="s">
        <v>547</v>
      </c>
      <c r="C328" s="1" t="s">
        <v>265</v>
      </c>
      <c r="D328" s="1" t="s">
        <v>229</v>
      </c>
      <c r="E328" s="1"/>
    </row>
    <row r="329" spans="1:5" ht="16">
      <c r="A329" s="1" t="s">
        <v>466</v>
      </c>
      <c r="B329" s="1" t="s">
        <v>548</v>
      </c>
      <c r="C329" s="1" t="s">
        <v>234</v>
      </c>
      <c r="D329" s="1" t="s">
        <v>229</v>
      </c>
      <c r="E329" s="1"/>
    </row>
    <row r="330" spans="1:5" ht="16">
      <c r="A330" s="1" t="s">
        <v>466</v>
      </c>
      <c r="B330" s="1" t="s">
        <v>549</v>
      </c>
      <c r="C330" s="1" t="s">
        <v>234</v>
      </c>
      <c r="D330" s="1" t="s">
        <v>229</v>
      </c>
      <c r="E330" s="1"/>
    </row>
    <row r="331" spans="1:5" ht="16">
      <c r="A331" s="1" t="s">
        <v>466</v>
      </c>
      <c r="B331" s="1" t="s">
        <v>550</v>
      </c>
      <c r="C331" s="1" t="s">
        <v>334</v>
      </c>
      <c r="D331" s="1" t="s">
        <v>229</v>
      </c>
      <c r="E331" s="1"/>
    </row>
    <row r="332" spans="1:5" ht="16">
      <c r="A332" s="1" t="s">
        <v>466</v>
      </c>
      <c r="B332" s="1" t="s">
        <v>551</v>
      </c>
      <c r="C332" s="1" t="s">
        <v>334</v>
      </c>
      <c r="D332" s="1" t="s">
        <v>229</v>
      </c>
      <c r="E332" s="1"/>
    </row>
    <row r="333" spans="1:5" ht="16">
      <c r="A333" s="1" t="s">
        <v>466</v>
      </c>
      <c r="B333" s="1" t="s">
        <v>552</v>
      </c>
      <c r="C333" s="1" t="s">
        <v>334</v>
      </c>
      <c r="D333" s="1" t="s">
        <v>229</v>
      </c>
      <c r="E333" s="1"/>
    </row>
    <row r="334" spans="1:5" ht="16">
      <c r="A334" s="1" t="s">
        <v>466</v>
      </c>
      <c r="B334" s="1" t="s">
        <v>553</v>
      </c>
      <c r="C334" s="1" t="s">
        <v>334</v>
      </c>
      <c r="D334" s="1" t="s">
        <v>229</v>
      </c>
      <c r="E334" s="1"/>
    </row>
    <row r="335" spans="1:5" ht="16">
      <c r="A335" s="1" t="s">
        <v>466</v>
      </c>
      <c r="B335" s="1" t="s">
        <v>554</v>
      </c>
      <c r="C335" s="1" t="s">
        <v>334</v>
      </c>
      <c r="D335" s="1" t="s">
        <v>229</v>
      </c>
      <c r="E335" s="1"/>
    </row>
    <row r="336" spans="1:5" ht="16">
      <c r="A336" s="1" t="s">
        <v>466</v>
      </c>
      <c r="B336" s="1" t="s">
        <v>486</v>
      </c>
      <c r="C336" s="1" t="s">
        <v>334</v>
      </c>
      <c r="D336" s="1" t="s">
        <v>229</v>
      </c>
      <c r="E336" s="1"/>
    </row>
    <row r="337" spans="1:5" ht="16">
      <c r="A337" s="1" t="s">
        <v>466</v>
      </c>
      <c r="B337" s="1" t="s">
        <v>555</v>
      </c>
      <c r="C337" s="1" t="s">
        <v>265</v>
      </c>
      <c r="D337" s="1" t="s">
        <v>229</v>
      </c>
      <c r="E337" s="1"/>
    </row>
    <row r="338" spans="1:5" ht="16">
      <c r="A338" s="1" t="s">
        <v>466</v>
      </c>
      <c r="B338" s="1" t="s">
        <v>556</v>
      </c>
      <c r="C338" s="1" t="s">
        <v>265</v>
      </c>
      <c r="D338" s="1" t="s">
        <v>229</v>
      </c>
      <c r="E338" s="1"/>
    </row>
    <row r="339" spans="1:5" ht="16">
      <c r="A339" s="1" t="s">
        <v>466</v>
      </c>
      <c r="B339" s="1" t="s">
        <v>532</v>
      </c>
      <c r="C339" s="1" t="s">
        <v>334</v>
      </c>
      <c r="D339" s="1" t="s">
        <v>229</v>
      </c>
      <c r="E339" s="1"/>
    </row>
    <row r="340" spans="1:5" ht="16">
      <c r="A340" s="1" t="s">
        <v>466</v>
      </c>
      <c r="B340" s="1" t="s">
        <v>532</v>
      </c>
      <c r="C340" s="1" t="s">
        <v>334</v>
      </c>
      <c r="D340" s="1" t="s">
        <v>229</v>
      </c>
      <c r="E340" s="1"/>
    </row>
    <row r="341" spans="1:5" ht="16">
      <c r="A341" s="1" t="s">
        <v>466</v>
      </c>
      <c r="B341" s="1" t="s">
        <v>486</v>
      </c>
      <c r="C341" s="1" t="s">
        <v>334</v>
      </c>
      <c r="D341" s="1" t="s">
        <v>229</v>
      </c>
      <c r="E341" s="1"/>
    </row>
    <row r="342" spans="1:5" ht="16">
      <c r="A342" s="1" t="s">
        <v>466</v>
      </c>
      <c r="B342" s="1" t="s">
        <v>489</v>
      </c>
      <c r="C342" s="1" t="s">
        <v>334</v>
      </c>
      <c r="D342" s="1" t="s">
        <v>229</v>
      </c>
      <c r="E342" s="1"/>
    </row>
    <row r="343" spans="1:5" ht="16">
      <c r="A343" s="1" t="s">
        <v>466</v>
      </c>
      <c r="B343" s="1" t="s">
        <v>487</v>
      </c>
      <c r="C343" s="1" t="s">
        <v>334</v>
      </c>
      <c r="D343" s="1" t="s">
        <v>229</v>
      </c>
      <c r="E343" s="1"/>
    </row>
    <row r="344" spans="1:5" ht="16">
      <c r="A344" s="1" t="s">
        <v>466</v>
      </c>
      <c r="B344" s="1" t="s">
        <v>557</v>
      </c>
      <c r="C344" s="1" t="s">
        <v>265</v>
      </c>
      <c r="D344" s="1" t="s">
        <v>229</v>
      </c>
      <c r="E344" s="1"/>
    </row>
    <row r="345" spans="1:5" ht="16">
      <c r="A345" s="1" t="s">
        <v>466</v>
      </c>
      <c r="B345" s="1" t="s">
        <v>558</v>
      </c>
      <c r="C345" s="1" t="s">
        <v>265</v>
      </c>
      <c r="D345" s="1" t="s">
        <v>229</v>
      </c>
      <c r="E345" s="1"/>
    </row>
    <row r="346" spans="1:5" ht="16">
      <c r="A346" s="1" t="s">
        <v>466</v>
      </c>
      <c r="B346" s="1" t="s">
        <v>559</v>
      </c>
      <c r="C346" s="1" t="s">
        <v>265</v>
      </c>
      <c r="D346" s="1" t="s">
        <v>229</v>
      </c>
      <c r="E346" s="1"/>
    </row>
    <row r="347" spans="1:5" ht="16">
      <c r="A347" s="1" t="s">
        <v>466</v>
      </c>
      <c r="B347" s="1" t="s">
        <v>560</v>
      </c>
      <c r="C347" s="1" t="s">
        <v>228</v>
      </c>
      <c r="D347" s="1" t="s">
        <v>229</v>
      </c>
      <c r="E347" s="1"/>
    </row>
    <row r="348" spans="1:5" ht="16">
      <c r="A348" s="1" t="s">
        <v>466</v>
      </c>
      <c r="B348" s="1" t="s">
        <v>561</v>
      </c>
      <c r="C348" s="1" t="s">
        <v>265</v>
      </c>
      <c r="D348" s="1" t="s">
        <v>229</v>
      </c>
      <c r="E348" s="1"/>
    </row>
    <row r="349" spans="1:5" ht="16">
      <c r="A349" s="1" t="s">
        <v>466</v>
      </c>
      <c r="B349" s="1" t="s">
        <v>562</v>
      </c>
      <c r="C349" s="1" t="s">
        <v>263</v>
      </c>
      <c r="D349" s="1" t="s">
        <v>229</v>
      </c>
      <c r="E349" s="1"/>
    </row>
    <row r="350" spans="1:5" ht="16">
      <c r="A350" s="1" t="s">
        <v>466</v>
      </c>
      <c r="B350" s="1" t="s">
        <v>563</v>
      </c>
      <c r="C350" s="1" t="s">
        <v>265</v>
      </c>
      <c r="D350" s="1" t="s">
        <v>229</v>
      </c>
      <c r="E350" s="1"/>
    </row>
    <row r="351" spans="1:5" ht="16">
      <c r="A351" s="1" t="s">
        <v>466</v>
      </c>
      <c r="B351" s="1" t="s">
        <v>564</v>
      </c>
      <c r="C351" s="1" t="s">
        <v>265</v>
      </c>
      <c r="D351" s="1" t="s">
        <v>229</v>
      </c>
      <c r="E351" s="1"/>
    </row>
    <row r="352" spans="1:5" ht="16">
      <c r="A352" s="1" t="s">
        <v>466</v>
      </c>
      <c r="B352" s="1" t="s">
        <v>565</v>
      </c>
      <c r="C352" s="1" t="s">
        <v>265</v>
      </c>
      <c r="D352" s="1" t="s">
        <v>229</v>
      </c>
      <c r="E352" s="1"/>
    </row>
    <row r="353" spans="1:5" ht="16">
      <c r="A353" s="1" t="s">
        <v>466</v>
      </c>
      <c r="B353" s="1" t="s">
        <v>566</v>
      </c>
      <c r="C353" s="1" t="s">
        <v>265</v>
      </c>
      <c r="D353" s="1" t="s">
        <v>229</v>
      </c>
      <c r="E353" s="1"/>
    </row>
    <row r="354" spans="1:5" ht="16">
      <c r="A354" s="1" t="s">
        <v>466</v>
      </c>
      <c r="B354" s="1" t="s">
        <v>567</v>
      </c>
      <c r="C354" s="1" t="s">
        <v>334</v>
      </c>
      <c r="D354" s="1" t="s">
        <v>229</v>
      </c>
      <c r="E354" s="1"/>
    </row>
    <row r="355" spans="1:5" ht="16">
      <c r="A355" s="1" t="s">
        <v>466</v>
      </c>
      <c r="B355" s="1" t="s">
        <v>568</v>
      </c>
      <c r="C355" s="1" t="s">
        <v>334</v>
      </c>
      <c r="D355" s="1" t="s">
        <v>229</v>
      </c>
      <c r="E355" s="1"/>
    </row>
    <row r="356" spans="1:5" ht="16">
      <c r="A356" s="1" t="s">
        <v>466</v>
      </c>
      <c r="B356" s="1" t="s">
        <v>569</v>
      </c>
      <c r="C356" s="1" t="s">
        <v>334</v>
      </c>
      <c r="D356" s="1" t="s">
        <v>229</v>
      </c>
      <c r="E356" s="1"/>
    </row>
    <row r="357" spans="1:5" ht="16">
      <c r="A357" s="1" t="s">
        <v>466</v>
      </c>
      <c r="B357" s="1" t="s">
        <v>570</v>
      </c>
      <c r="C357" s="1" t="s">
        <v>334</v>
      </c>
      <c r="D357" s="1" t="s">
        <v>229</v>
      </c>
      <c r="E357" s="1"/>
    </row>
    <row r="358" spans="1:5" ht="16">
      <c r="A358" s="1" t="s">
        <v>466</v>
      </c>
      <c r="B358" s="1" t="s">
        <v>571</v>
      </c>
      <c r="C358" s="1" t="s">
        <v>334</v>
      </c>
      <c r="D358" s="1" t="s">
        <v>229</v>
      </c>
      <c r="E358" s="1"/>
    </row>
    <row r="359" spans="1:5" ht="16">
      <c r="A359" s="1" t="s">
        <v>466</v>
      </c>
      <c r="B359" s="1" t="s">
        <v>552</v>
      </c>
      <c r="C359" s="1" t="s">
        <v>334</v>
      </c>
      <c r="D359" s="1" t="s">
        <v>229</v>
      </c>
      <c r="E359" s="1"/>
    </row>
    <row r="360" spans="1:5" ht="16">
      <c r="A360" s="1" t="s">
        <v>466</v>
      </c>
      <c r="B360" s="1" t="s">
        <v>572</v>
      </c>
      <c r="C360" s="1" t="s">
        <v>334</v>
      </c>
      <c r="D360" s="1" t="s">
        <v>229</v>
      </c>
      <c r="E360" s="1"/>
    </row>
    <row r="361" spans="1:5" ht="16">
      <c r="A361" s="1" t="s">
        <v>466</v>
      </c>
      <c r="B361" s="1" t="s">
        <v>573</v>
      </c>
      <c r="C361" s="1" t="s">
        <v>334</v>
      </c>
      <c r="D361" s="1" t="s">
        <v>229</v>
      </c>
      <c r="E361" s="1"/>
    </row>
    <row r="362" spans="1:5" ht="16">
      <c r="A362" s="1" t="s">
        <v>466</v>
      </c>
      <c r="B362" s="1" t="s">
        <v>574</v>
      </c>
      <c r="C362" s="1" t="s">
        <v>334</v>
      </c>
      <c r="D362" s="1" t="s">
        <v>229</v>
      </c>
      <c r="E362" s="1"/>
    </row>
    <row r="363" spans="1:5" ht="16">
      <c r="A363" s="1" t="s">
        <v>466</v>
      </c>
      <c r="B363" s="1" t="s">
        <v>575</v>
      </c>
      <c r="C363" s="1" t="s">
        <v>334</v>
      </c>
      <c r="D363" s="1" t="s">
        <v>229</v>
      </c>
      <c r="E363" s="1"/>
    </row>
    <row r="364" spans="1:5" ht="16">
      <c r="A364" s="1" t="s">
        <v>466</v>
      </c>
      <c r="B364" s="1" t="s">
        <v>576</v>
      </c>
      <c r="C364" s="1" t="s">
        <v>334</v>
      </c>
      <c r="D364" s="1" t="s">
        <v>229</v>
      </c>
      <c r="E364" s="1"/>
    </row>
    <row r="365" spans="1:5" ht="16">
      <c r="A365" s="1" t="s">
        <v>466</v>
      </c>
      <c r="B365" s="1" t="s">
        <v>577</v>
      </c>
      <c r="C365" s="1" t="s">
        <v>334</v>
      </c>
      <c r="D365" s="1" t="s">
        <v>229</v>
      </c>
      <c r="E365" s="1"/>
    </row>
    <row r="366" spans="1:5" ht="16">
      <c r="A366" s="1" t="s">
        <v>466</v>
      </c>
      <c r="B366" s="1" t="s">
        <v>578</v>
      </c>
      <c r="C366" s="1" t="s">
        <v>334</v>
      </c>
      <c r="D366" s="1" t="s">
        <v>229</v>
      </c>
      <c r="E366" s="1"/>
    </row>
    <row r="367" spans="1:5" ht="16">
      <c r="A367" s="1" t="s">
        <v>466</v>
      </c>
      <c r="B367" s="1" t="s">
        <v>579</v>
      </c>
      <c r="C367" s="1" t="s">
        <v>334</v>
      </c>
      <c r="D367" s="1" t="s">
        <v>229</v>
      </c>
      <c r="E367" s="1"/>
    </row>
    <row r="368" spans="1:5" ht="16">
      <c r="A368" s="1" t="s">
        <v>466</v>
      </c>
      <c r="B368" s="1" t="s">
        <v>580</v>
      </c>
      <c r="C368" s="1" t="s">
        <v>334</v>
      </c>
      <c r="D368" s="1" t="s">
        <v>229</v>
      </c>
      <c r="E368" s="1"/>
    </row>
    <row r="369" spans="1:5" ht="16">
      <c r="A369" s="1" t="s">
        <v>466</v>
      </c>
      <c r="B369" s="1" t="s">
        <v>581</v>
      </c>
      <c r="C369" s="1" t="s">
        <v>334</v>
      </c>
      <c r="D369" s="1" t="s">
        <v>229</v>
      </c>
      <c r="E369" s="1"/>
    </row>
    <row r="370" spans="1:5" ht="16">
      <c r="A370" s="1" t="s">
        <v>466</v>
      </c>
      <c r="B370" s="1" t="s">
        <v>582</v>
      </c>
      <c r="C370" s="1" t="s">
        <v>334</v>
      </c>
      <c r="D370" s="1" t="s">
        <v>229</v>
      </c>
      <c r="E370" s="1"/>
    </row>
    <row r="371" spans="1:5" ht="16">
      <c r="A371" s="1" t="s">
        <v>466</v>
      </c>
      <c r="B371" s="1" t="s">
        <v>583</v>
      </c>
      <c r="C371" s="1" t="s">
        <v>334</v>
      </c>
      <c r="D371" s="1" t="s">
        <v>229</v>
      </c>
      <c r="E371" s="1"/>
    </row>
    <row r="372" spans="1:5" ht="16">
      <c r="A372" s="1" t="s">
        <v>466</v>
      </c>
      <c r="B372" s="1" t="s">
        <v>584</v>
      </c>
      <c r="C372" s="1" t="s">
        <v>334</v>
      </c>
      <c r="D372" s="1" t="s">
        <v>229</v>
      </c>
      <c r="E372" s="1"/>
    </row>
    <row r="373" spans="1:5" ht="16">
      <c r="A373" s="1" t="s">
        <v>466</v>
      </c>
      <c r="B373" s="1" t="s">
        <v>585</v>
      </c>
      <c r="C373" s="1" t="s">
        <v>334</v>
      </c>
      <c r="D373" s="1" t="s">
        <v>229</v>
      </c>
      <c r="E373" s="1"/>
    </row>
    <row r="374" spans="1:5" ht="16">
      <c r="A374" s="1" t="s">
        <v>466</v>
      </c>
      <c r="B374" s="1" t="s">
        <v>586</v>
      </c>
      <c r="C374" s="1" t="s">
        <v>334</v>
      </c>
      <c r="D374" s="1" t="s">
        <v>229</v>
      </c>
      <c r="E374" s="1"/>
    </row>
    <row r="375" spans="1:5" ht="16">
      <c r="A375" s="1" t="s">
        <v>466</v>
      </c>
      <c r="B375" s="1" t="s">
        <v>587</v>
      </c>
      <c r="C375" s="1" t="s">
        <v>334</v>
      </c>
      <c r="D375" s="1" t="s">
        <v>229</v>
      </c>
      <c r="E375" s="1" t="s">
        <v>500</v>
      </c>
    </row>
    <row r="376" spans="1:5" ht="16">
      <c r="A376" s="1" t="s">
        <v>466</v>
      </c>
      <c r="B376" s="1" t="s">
        <v>588</v>
      </c>
      <c r="C376" s="1" t="s">
        <v>334</v>
      </c>
      <c r="D376" s="1" t="s">
        <v>229</v>
      </c>
      <c r="E376" s="1"/>
    </row>
    <row r="377" spans="1:5" ht="16">
      <c r="A377" s="1" t="s">
        <v>466</v>
      </c>
      <c r="B377" s="1" t="s">
        <v>589</v>
      </c>
      <c r="C377" s="1" t="s">
        <v>334</v>
      </c>
      <c r="D377" s="1" t="s">
        <v>229</v>
      </c>
      <c r="E377" s="1"/>
    </row>
    <row r="378" spans="1:5" ht="16">
      <c r="A378" s="1" t="s">
        <v>466</v>
      </c>
      <c r="B378" s="1" t="s">
        <v>590</v>
      </c>
      <c r="C378" s="1" t="s">
        <v>334</v>
      </c>
      <c r="D378" s="1" t="s">
        <v>229</v>
      </c>
      <c r="E378" s="1"/>
    </row>
    <row r="379" spans="1:5" ht="16">
      <c r="A379" s="1" t="s">
        <v>466</v>
      </c>
      <c r="B379" s="1" t="s">
        <v>591</v>
      </c>
      <c r="C379" s="1" t="s">
        <v>334</v>
      </c>
      <c r="D379" s="1" t="s">
        <v>229</v>
      </c>
      <c r="E379" s="1"/>
    </row>
    <row r="380" spans="1:5" ht="16">
      <c r="A380" s="1" t="s">
        <v>466</v>
      </c>
      <c r="B380" s="1" t="s">
        <v>592</v>
      </c>
      <c r="C380" s="1" t="s">
        <v>334</v>
      </c>
      <c r="D380" s="1" t="s">
        <v>229</v>
      </c>
      <c r="E380" s="1"/>
    </row>
    <row r="381" spans="1:5" ht="16">
      <c r="A381" s="1" t="s">
        <v>466</v>
      </c>
      <c r="B381" s="1" t="s">
        <v>593</v>
      </c>
      <c r="C381" s="1" t="s">
        <v>334</v>
      </c>
      <c r="D381" s="1" t="s">
        <v>229</v>
      </c>
      <c r="E381" s="1" t="s">
        <v>500</v>
      </c>
    </row>
    <row r="382" spans="1:5" ht="16">
      <c r="A382" s="1" t="s">
        <v>466</v>
      </c>
      <c r="B382" s="1" t="s">
        <v>594</v>
      </c>
      <c r="C382" s="1" t="s">
        <v>334</v>
      </c>
      <c r="D382" s="1" t="s">
        <v>229</v>
      </c>
      <c r="E382" s="1" t="s">
        <v>500</v>
      </c>
    </row>
    <row r="383" spans="1:5" ht="16">
      <c r="A383" s="1" t="s">
        <v>466</v>
      </c>
      <c r="B383" s="1" t="s">
        <v>595</v>
      </c>
      <c r="C383" s="1" t="s">
        <v>263</v>
      </c>
      <c r="D383" s="1" t="s">
        <v>229</v>
      </c>
      <c r="E383" s="1"/>
    </row>
    <row r="384" spans="1:5" ht="16">
      <c r="A384" s="1" t="s">
        <v>466</v>
      </c>
      <c r="B384" s="1" t="s">
        <v>596</v>
      </c>
      <c r="C384" s="1" t="s">
        <v>265</v>
      </c>
      <c r="D384" s="1" t="s">
        <v>229</v>
      </c>
      <c r="E384" s="1"/>
    </row>
    <row r="385" spans="1:5" ht="16">
      <c r="A385" s="1" t="s">
        <v>466</v>
      </c>
      <c r="B385" s="1" t="s">
        <v>597</v>
      </c>
      <c r="C385" s="1" t="s">
        <v>265</v>
      </c>
      <c r="D385" s="1" t="s">
        <v>229</v>
      </c>
      <c r="E385" s="1"/>
    </row>
    <row r="386" spans="1:5" ht="16">
      <c r="A386" s="1" t="s">
        <v>466</v>
      </c>
      <c r="B386" s="1" t="s">
        <v>598</v>
      </c>
      <c r="C386" s="1" t="s">
        <v>263</v>
      </c>
      <c r="D386" s="1" t="s">
        <v>229</v>
      </c>
      <c r="E386" s="1"/>
    </row>
    <row r="387" spans="1:5" ht="16">
      <c r="A387" s="1" t="s">
        <v>466</v>
      </c>
      <c r="B387" s="1" t="s">
        <v>599</v>
      </c>
      <c r="C387" s="1" t="s">
        <v>334</v>
      </c>
      <c r="D387" s="1" t="s">
        <v>229</v>
      </c>
      <c r="E387" s="1"/>
    </row>
    <row r="388" spans="1:5" ht="16">
      <c r="A388" s="1" t="s">
        <v>466</v>
      </c>
      <c r="B388" s="1" t="s">
        <v>600</v>
      </c>
      <c r="C388" s="1" t="s">
        <v>334</v>
      </c>
      <c r="D388" s="1" t="s">
        <v>229</v>
      </c>
      <c r="E388" s="1"/>
    </row>
    <row r="389" spans="1:5" ht="16">
      <c r="A389" s="1" t="s">
        <v>466</v>
      </c>
      <c r="B389" s="1" t="s">
        <v>601</v>
      </c>
      <c r="C389" s="1" t="s">
        <v>334</v>
      </c>
      <c r="D389" s="1" t="s">
        <v>229</v>
      </c>
      <c r="E389" s="1"/>
    </row>
    <row r="390" spans="1:5" ht="16">
      <c r="A390" s="1" t="s">
        <v>466</v>
      </c>
      <c r="B390" s="1" t="s">
        <v>602</v>
      </c>
      <c r="C390" s="1" t="s">
        <v>334</v>
      </c>
      <c r="D390" s="1" t="s">
        <v>229</v>
      </c>
      <c r="E390" s="1"/>
    </row>
    <row r="391" spans="1:5" ht="16">
      <c r="A391" s="1" t="s">
        <v>466</v>
      </c>
      <c r="B391" s="1" t="s">
        <v>603</v>
      </c>
      <c r="C391" s="1" t="s">
        <v>334</v>
      </c>
      <c r="D391" s="1" t="s">
        <v>229</v>
      </c>
      <c r="E391" s="1"/>
    </row>
    <row r="392" spans="1:5" ht="16">
      <c r="A392" s="1" t="s">
        <v>466</v>
      </c>
      <c r="B392" s="1" t="s">
        <v>604</v>
      </c>
      <c r="C392" s="1" t="s">
        <v>334</v>
      </c>
      <c r="D392" s="1" t="s">
        <v>229</v>
      </c>
      <c r="E392" s="1"/>
    </row>
    <row r="393" spans="1:5" ht="16">
      <c r="A393" s="1" t="s">
        <v>466</v>
      </c>
      <c r="B393" s="1" t="s">
        <v>605</v>
      </c>
      <c r="C393" s="1" t="s">
        <v>334</v>
      </c>
      <c r="D393" s="1" t="s">
        <v>229</v>
      </c>
      <c r="E393" s="1"/>
    </row>
    <row r="394" spans="1:5" ht="16">
      <c r="A394" s="1" t="s">
        <v>466</v>
      </c>
      <c r="B394" s="1" t="s">
        <v>606</v>
      </c>
      <c r="C394" s="1" t="s">
        <v>334</v>
      </c>
      <c r="D394" s="1" t="s">
        <v>229</v>
      </c>
      <c r="E394" s="1" t="s">
        <v>500</v>
      </c>
    </row>
    <row r="395" spans="1:5" ht="16">
      <c r="A395" s="1" t="s">
        <v>466</v>
      </c>
      <c r="B395" s="1" t="s">
        <v>607</v>
      </c>
      <c r="C395" s="1" t="s">
        <v>334</v>
      </c>
      <c r="D395" s="1" t="s">
        <v>229</v>
      </c>
      <c r="E395" s="1"/>
    </row>
    <row r="396" spans="1:5" ht="16">
      <c r="A396" s="1" t="s">
        <v>466</v>
      </c>
      <c r="B396" s="1" t="s">
        <v>608</v>
      </c>
      <c r="C396" s="1" t="s">
        <v>334</v>
      </c>
      <c r="D396" s="1" t="s">
        <v>229</v>
      </c>
      <c r="E396" s="1"/>
    </row>
    <row r="397" spans="1:5" ht="16">
      <c r="A397" s="1" t="s">
        <v>466</v>
      </c>
      <c r="B397" s="1" t="s">
        <v>609</v>
      </c>
      <c r="C397" s="1" t="s">
        <v>334</v>
      </c>
      <c r="D397" s="1" t="s">
        <v>229</v>
      </c>
      <c r="E397" s="1"/>
    </row>
    <row r="398" spans="1:5" ht="16">
      <c r="A398" s="1" t="s">
        <v>466</v>
      </c>
      <c r="B398" s="1" t="s">
        <v>610</v>
      </c>
      <c r="C398" s="1" t="s">
        <v>334</v>
      </c>
      <c r="D398" s="1" t="s">
        <v>229</v>
      </c>
      <c r="E398" s="1"/>
    </row>
    <row r="399" spans="1:5" ht="16">
      <c r="A399" s="1" t="s">
        <v>466</v>
      </c>
      <c r="B399" s="1" t="s">
        <v>611</v>
      </c>
      <c r="C399" s="1" t="s">
        <v>334</v>
      </c>
      <c r="D399" s="1" t="s">
        <v>229</v>
      </c>
      <c r="E399" s="1"/>
    </row>
    <row r="400" spans="1:5" ht="16">
      <c r="A400" s="1" t="s">
        <v>466</v>
      </c>
      <c r="B400" s="1" t="s">
        <v>612</v>
      </c>
      <c r="C400" s="1" t="s">
        <v>334</v>
      </c>
      <c r="D400" s="1" t="s">
        <v>229</v>
      </c>
      <c r="E400" s="1"/>
    </row>
    <row r="401" spans="1:5" ht="16">
      <c r="A401" s="1" t="s">
        <v>466</v>
      </c>
      <c r="B401" s="1" t="s">
        <v>613</v>
      </c>
      <c r="C401" s="1" t="s">
        <v>334</v>
      </c>
      <c r="D401" s="1" t="s">
        <v>229</v>
      </c>
      <c r="E401" s="1"/>
    </row>
    <row r="402" spans="1:5" ht="16">
      <c r="A402" s="1" t="s">
        <v>466</v>
      </c>
      <c r="B402" s="1" t="s">
        <v>609</v>
      </c>
      <c r="C402" s="1" t="s">
        <v>334</v>
      </c>
      <c r="D402" s="1" t="s">
        <v>229</v>
      </c>
      <c r="E402" s="1"/>
    </row>
    <row r="403" spans="1:5" ht="16">
      <c r="A403" s="1" t="s">
        <v>466</v>
      </c>
      <c r="B403" s="1" t="s">
        <v>614</v>
      </c>
      <c r="C403" s="1" t="s">
        <v>334</v>
      </c>
      <c r="D403" s="1" t="s">
        <v>229</v>
      </c>
      <c r="E403" s="1"/>
    </row>
    <row r="404" spans="1:5" ht="16">
      <c r="A404" s="1" t="s">
        <v>466</v>
      </c>
      <c r="B404" s="1" t="s">
        <v>615</v>
      </c>
      <c r="C404" s="1" t="s">
        <v>334</v>
      </c>
      <c r="D404" s="1" t="s">
        <v>229</v>
      </c>
      <c r="E404" s="1"/>
    </row>
    <row r="405" spans="1:5" ht="16">
      <c r="A405" s="1" t="s">
        <v>466</v>
      </c>
      <c r="B405" s="1" t="s">
        <v>612</v>
      </c>
      <c r="C405" s="1" t="s">
        <v>334</v>
      </c>
      <c r="D405" s="1" t="s">
        <v>229</v>
      </c>
      <c r="E405" s="1"/>
    </row>
    <row r="406" spans="1:5" ht="16">
      <c r="A406" s="1" t="s">
        <v>466</v>
      </c>
      <c r="B406" s="1" t="s">
        <v>486</v>
      </c>
      <c r="C406" s="1" t="s">
        <v>334</v>
      </c>
      <c r="D406" s="1" t="s">
        <v>229</v>
      </c>
      <c r="E406" s="1"/>
    </row>
    <row r="407" spans="1:5" ht="16">
      <c r="A407" s="1" t="s">
        <v>466</v>
      </c>
      <c r="B407" s="1" t="s">
        <v>486</v>
      </c>
      <c r="C407" s="1" t="s">
        <v>334</v>
      </c>
      <c r="D407" s="1" t="s">
        <v>229</v>
      </c>
      <c r="E407" s="1"/>
    </row>
    <row r="408" spans="1:5" ht="16">
      <c r="A408" s="1" t="s">
        <v>466</v>
      </c>
      <c r="B408" s="1" t="s">
        <v>486</v>
      </c>
      <c r="C408" s="1" t="s">
        <v>334</v>
      </c>
      <c r="D408" s="1" t="s">
        <v>229</v>
      </c>
      <c r="E408" s="1"/>
    </row>
    <row r="409" spans="1:5" ht="16">
      <c r="A409" s="1" t="s">
        <v>466</v>
      </c>
      <c r="B409" s="1" t="s">
        <v>489</v>
      </c>
      <c r="C409" s="1" t="s">
        <v>334</v>
      </c>
      <c r="D409" s="1" t="s">
        <v>229</v>
      </c>
      <c r="E409" s="1"/>
    </row>
    <row r="410" spans="1:5" ht="16">
      <c r="A410" s="1" t="s">
        <v>466</v>
      </c>
      <c r="B410" s="1" t="s">
        <v>489</v>
      </c>
      <c r="C410" s="1" t="s">
        <v>334</v>
      </c>
      <c r="D410" s="1" t="s">
        <v>229</v>
      </c>
      <c r="E410" s="1"/>
    </row>
    <row r="411" spans="1:5" ht="16">
      <c r="A411" s="1" t="s">
        <v>466</v>
      </c>
      <c r="B411" s="1" t="s">
        <v>489</v>
      </c>
      <c r="C411" s="1" t="s">
        <v>334</v>
      </c>
      <c r="D411" s="1" t="s">
        <v>229</v>
      </c>
      <c r="E411" s="1"/>
    </row>
    <row r="412" spans="1:5" ht="16">
      <c r="A412" s="1" t="s">
        <v>466</v>
      </c>
      <c r="B412" s="1" t="s">
        <v>489</v>
      </c>
      <c r="C412" s="1" t="s">
        <v>334</v>
      </c>
      <c r="D412" s="1" t="s">
        <v>229</v>
      </c>
      <c r="E412" s="1"/>
    </row>
    <row r="413" spans="1:5" ht="16">
      <c r="A413" s="1" t="s">
        <v>466</v>
      </c>
      <c r="B413" s="1" t="s">
        <v>489</v>
      </c>
      <c r="C413" s="1" t="s">
        <v>334</v>
      </c>
      <c r="D413" s="1" t="s">
        <v>229</v>
      </c>
      <c r="E413" s="1"/>
    </row>
    <row r="414" spans="1:5" ht="16">
      <c r="A414" s="1" t="s">
        <v>466</v>
      </c>
      <c r="B414" s="1" t="s">
        <v>489</v>
      </c>
      <c r="C414" s="1" t="s">
        <v>334</v>
      </c>
      <c r="D414" s="1" t="s">
        <v>229</v>
      </c>
      <c r="E414" s="1"/>
    </row>
    <row r="415" spans="1:5" ht="16">
      <c r="A415" s="1" t="s">
        <v>466</v>
      </c>
      <c r="B415" s="1" t="s">
        <v>616</v>
      </c>
      <c r="C415" s="1" t="s">
        <v>263</v>
      </c>
      <c r="D415" s="1" t="s">
        <v>229</v>
      </c>
      <c r="E415" s="1"/>
    </row>
    <row r="416" spans="1:5" ht="16">
      <c r="A416" s="1" t="s">
        <v>466</v>
      </c>
      <c r="B416" s="1" t="s">
        <v>489</v>
      </c>
      <c r="C416" s="1" t="s">
        <v>334</v>
      </c>
      <c r="D416" s="1" t="s">
        <v>229</v>
      </c>
      <c r="E416" s="1"/>
    </row>
    <row r="417" spans="1:5" ht="16">
      <c r="A417" s="1" t="s">
        <v>466</v>
      </c>
      <c r="B417" s="1" t="s">
        <v>489</v>
      </c>
      <c r="C417" s="1" t="s">
        <v>334</v>
      </c>
      <c r="D417" s="1" t="s">
        <v>229</v>
      </c>
      <c r="E417" s="1"/>
    </row>
    <row r="418" spans="1:5" ht="16">
      <c r="A418" s="1" t="s">
        <v>466</v>
      </c>
      <c r="B418" s="1" t="s">
        <v>489</v>
      </c>
      <c r="C418" s="1" t="s">
        <v>334</v>
      </c>
      <c r="D418" s="1" t="s">
        <v>229</v>
      </c>
      <c r="E418" s="1"/>
    </row>
    <row r="419" spans="1:5" ht="16">
      <c r="A419" s="1" t="s">
        <v>466</v>
      </c>
      <c r="B419" s="1" t="s">
        <v>489</v>
      </c>
      <c r="C419" s="1" t="s">
        <v>334</v>
      </c>
      <c r="D419" s="1" t="s">
        <v>229</v>
      </c>
      <c r="E419" s="1"/>
    </row>
    <row r="420" spans="1:5" ht="16">
      <c r="A420" s="1" t="s">
        <v>466</v>
      </c>
      <c r="B420" s="1" t="s">
        <v>489</v>
      </c>
      <c r="C420" s="1" t="s">
        <v>334</v>
      </c>
      <c r="D420" s="1" t="s">
        <v>229</v>
      </c>
      <c r="E420" s="1"/>
    </row>
    <row r="421" spans="1:5" ht="16">
      <c r="A421" s="1" t="s">
        <v>466</v>
      </c>
      <c r="B421" s="1" t="s">
        <v>489</v>
      </c>
      <c r="C421" s="1" t="s">
        <v>334</v>
      </c>
      <c r="D421" s="1" t="s">
        <v>229</v>
      </c>
      <c r="E421" s="1"/>
    </row>
    <row r="422" spans="1:5" ht="16">
      <c r="A422" s="1" t="s">
        <v>466</v>
      </c>
      <c r="B422" s="1" t="s">
        <v>486</v>
      </c>
      <c r="C422" s="1" t="s">
        <v>334</v>
      </c>
      <c r="D422" s="1" t="s">
        <v>229</v>
      </c>
      <c r="E422" s="1"/>
    </row>
    <row r="423" spans="1:5" ht="16">
      <c r="A423" s="1" t="s">
        <v>466</v>
      </c>
      <c r="B423" s="1" t="s">
        <v>486</v>
      </c>
      <c r="C423" s="1" t="s">
        <v>334</v>
      </c>
      <c r="D423" s="1" t="s">
        <v>229</v>
      </c>
      <c r="E423" s="1"/>
    </row>
    <row r="424" spans="1:5" ht="16">
      <c r="A424" s="1" t="s">
        <v>466</v>
      </c>
      <c r="B424" s="1" t="s">
        <v>486</v>
      </c>
      <c r="C424" s="1" t="s">
        <v>334</v>
      </c>
      <c r="D424" s="1" t="s">
        <v>229</v>
      </c>
      <c r="E424" s="1"/>
    </row>
    <row r="425" spans="1:5" ht="16">
      <c r="A425" s="1" t="s">
        <v>466</v>
      </c>
      <c r="B425" s="1" t="s">
        <v>617</v>
      </c>
      <c r="C425" s="1" t="s">
        <v>263</v>
      </c>
      <c r="D425" s="1" t="s">
        <v>229</v>
      </c>
      <c r="E425" s="1"/>
    </row>
    <row r="426" spans="1:5" ht="16">
      <c r="A426" s="1" t="s">
        <v>466</v>
      </c>
      <c r="B426" s="1" t="s">
        <v>618</v>
      </c>
      <c r="C426" s="1" t="s">
        <v>263</v>
      </c>
      <c r="D426" s="1" t="s">
        <v>229</v>
      </c>
      <c r="E426" s="1"/>
    </row>
    <row r="427" spans="1:5" ht="16">
      <c r="A427" s="1" t="s">
        <v>466</v>
      </c>
      <c r="B427" s="1" t="s">
        <v>619</v>
      </c>
      <c r="C427" s="1" t="s">
        <v>263</v>
      </c>
      <c r="D427" s="1" t="s">
        <v>229</v>
      </c>
      <c r="E427" s="1"/>
    </row>
    <row r="428" spans="1:5" ht="16">
      <c r="A428" s="1" t="s">
        <v>466</v>
      </c>
      <c r="B428" s="1" t="s">
        <v>620</v>
      </c>
      <c r="C428" s="1" t="s">
        <v>263</v>
      </c>
      <c r="D428" s="1" t="s">
        <v>229</v>
      </c>
      <c r="E428" s="1"/>
    </row>
    <row r="429" spans="1:5" ht="16">
      <c r="A429" s="1" t="s">
        <v>466</v>
      </c>
      <c r="B429" s="1" t="s">
        <v>621</v>
      </c>
      <c r="C429" s="1" t="s">
        <v>263</v>
      </c>
      <c r="D429" s="1" t="s">
        <v>229</v>
      </c>
      <c r="E429" s="1"/>
    </row>
    <row r="430" spans="1:5" ht="16">
      <c r="A430" s="1" t="s">
        <v>622</v>
      </c>
      <c r="B430" s="1" t="s">
        <v>623</v>
      </c>
      <c r="C430" s="1" t="s">
        <v>334</v>
      </c>
      <c r="D430" s="1" t="s">
        <v>229</v>
      </c>
      <c r="E430" s="1"/>
    </row>
    <row r="431" spans="1:5" ht="16">
      <c r="A431" s="1" t="s">
        <v>622</v>
      </c>
      <c r="B431" s="1" t="s">
        <v>623</v>
      </c>
      <c r="C431" s="1" t="s">
        <v>624</v>
      </c>
      <c r="D431" s="1" t="s">
        <v>229</v>
      </c>
      <c r="E431" s="1"/>
    </row>
    <row r="432" spans="1:5" ht="16">
      <c r="A432" s="1" t="s">
        <v>622</v>
      </c>
      <c r="B432" s="1" t="s">
        <v>625</v>
      </c>
      <c r="C432" s="1" t="s">
        <v>624</v>
      </c>
      <c r="D432" s="1" t="s">
        <v>229</v>
      </c>
      <c r="E432" s="1"/>
    </row>
    <row r="433" spans="1:5" ht="16">
      <c r="A433" s="1" t="s">
        <v>622</v>
      </c>
      <c r="B433" s="1" t="s">
        <v>625</v>
      </c>
      <c r="C433" s="1" t="s">
        <v>334</v>
      </c>
      <c r="D433" s="1" t="s">
        <v>229</v>
      </c>
      <c r="E433" s="1"/>
    </row>
    <row r="434" spans="1:5" ht="16">
      <c r="A434" s="1" t="s">
        <v>622</v>
      </c>
      <c r="B434" s="1" t="s">
        <v>626</v>
      </c>
      <c r="C434" s="1" t="s">
        <v>624</v>
      </c>
      <c r="D434" s="1" t="s">
        <v>229</v>
      </c>
      <c r="E434" s="1" t="s">
        <v>500</v>
      </c>
    </row>
    <row r="435" spans="1:5" ht="16">
      <c r="A435" s="1" t="s">
        <v>622</v>
      </c>
      <c r="B435" s="1" t="s">
        <v>627</v>
      </c>
      <c r="C435" s="1" t="s">
        <v>334</v>
      </c>
      <c r="D435" s="1" t="s">
        <v>229</v>
      </c>
      <c r="E435" s="1" t="s">
        <v>500</v>
      </c>
    </row>
    <row r="436" spans="1:5" ht="16">
      <c r="A436" s="1" t="s">
        <v>622</v>
      </c>
      <c r="B436" s="1" t="s">
        <v>627</v>
      </c>
      <c r="C436" s="1" t="s">
        <v>624</v>
      </c>
      <c r="D436" s="1" t="s">
        <v>229</v>
      </c>
      <c r="E436" s="1" t="s">
        <v>500</v>
      </c>
    </row>
    <row r="437" spans="1:5" ht="16">
      <c r="A437" s="1" t="s">
        <v>622</v>
      </c>
      <c r="B437" s="1" t="s">
        <v>626</v>
      </c>
      <c r="C437" s="1" t="s">
        <v>334</v>
      </c>
      <c r="D437" s="1" t="s">
        <v>229</v>
      </c>
      <c r="E437" s="1" t="s">
        <v>500</v>
      </c>
    </row>
    <row r="438" spans="1:5" ht="16">
      <c r="A438" s="1" t="s">
        <v>622</v>
      </c>
      <c r="B438" s="1" t="s">
        <v>628</v>
      </c>
      <c r="C438" s="1" t="s">
        <v>334</v>
      </c>
      <c r="D438" s="1" t="s">
        <v>355</v>
      </c>
      <c r="E438" s="1"/>
    </row>
    <row r="439" spans="1:5" ht="16">
      <c r="A439" s="1" t="s">
        <v>622</v>
      </c>
      <c r="B439" s="1" t="s">
        <v>629</v>
      </c>
      <c r="C439" s="1" t="s">
        <v>334</v>
      </c>
      <c r="D439" s="1" t="s">
        <v>229</v>
      </c>
      <c r="E439" s="1" t="s">
        <v>500</v>
      </c>
    </row>
    <row r="440" spans="1:5" ht="16">
      <c r="A440" s="1" t="s">
        <v>622</v>
      </c>
      <c r="B440" s="1" t="s">
        <v>629</v>
      </c>
      <c r="C440" s="1" t="s">
        <v>624</v>
      </c>
      <c r="D440" s="1" t="s">
        <v>229</v>
      </c>
      <c r="E440" s="1" t="s">
        <v>500</v>
      </c>
    </row>
    <row r="441" spans="1:5" ht="16">
      <c r="A441" s="1" t="s">
        <v>622</v>
      </c>
      <c r="B441" s="1" t="s">
        <v>630</v>
      </c>
      <c r="C441" s="1" t="s">
        <v>624</v>
      </c>
      <c r="D441" s="1" t="s">
        <v>229</v>
      </c>
      <c r="E441" s="1" t="s">
        <v>500</v>
      </c>
    </row>
    <row r="442" spans="1:5" ht="16">
      <c r="A442" s="1" t="s">
        <v>622</v>
      </c>
      <c r="B442" s="1" t="s">
        <v>631</v>
      </c>
      <c r="C442" s="1" t="s">
        <v>624</v>
      </c>
      <c r="D442" s="1" t="s">
        <v>229</v>
      </c>
      <c r="E442" s="1" t="s">
        <v>500</v>
      </c>
    </row>
    <row r="443" spans="1:5" ht="16">
      <c r="A443" s="1" t="s">
        <v>622</v>
      </c>
      <c r="B443" s="1" t="s">
        <v>630</v>
      </c>
      <c r="C443" s="1" t="s">
        <v>334</v>
      </c>
      <c r="D443" s="1" t="s">
        <v>229</v>
      </c>
      <c r="E443" s="1" t="s">
        <v>500</v>
      </c>
    </row>
    <row r="444" spans="1:5" ht="16">
      <c r="A444" s="1" t="s">
        <v>622</v>
      </c>
      <c r="B444" s="1" t="s">
        <v>631</v>
      </c>
      <c r="C444" s="1" t="s">
        <v>334</v>
      </c>
      <c r="D444" s="1" t="s">
        <v>229</v>
      </c>
      <c r="E444" s="1" t="s">
        <v>500</v>
      </c>
    </row>
    <row r="445" spans="1:5" ht="16">
      <c r="A445" s="1" t="s">
        <v>622</v>
      </c>
      <c r="B445" s="1" t="s">
        <v>632</v>
      </c>
      <c r="C445" s="1" t="s">
        <v>624</v>
      </c>
      <c r="D445" s="1" t="s">
        <v>229</v>
      </c>
      <c r="E445" s="1" t="s">
        <v>500</v>
      </c>
    </row>
    <row r="446" spans="1:5" ht="16">
      <c r="A446" s="1" t="s">
        <v>622</v>
      </c>
      <c r="B446" s="1" t="s">
        <v>633</v>
      </c>
      <c r="C446" s="1" t="s">
        <v>624</v>
      </c>
      <c r="D446" s="1" t="s">
        <v>229</v>
      </c>
      <c r="E446" s="1" t="s">
        <v>500</v>
      </c>
    </row>
    <row r="447" spans="1:5" ht="16">
      <c r="A447" s="1" t="s">
        <v>622</v>
      </c>
      <c r="B447" s="1" t="s">
        <v>634</v>
      </c>
      <c r="C447" s="1" t="s">
        <v>624</v>
      </c>
      <c r="D447" s="1" t="s">
        <v>229</v>
      </c>
      <c r="E447" s="1" t="s">
        <v>500</v>
      </c>
    </row>
    <row r="448" spans="1:5" ht="16">
      <c r="A448" s="1" t="s">
        <v>622</v>
      </c>
      <c r="B448" s="1" t="s">
        <v>635</v>
      </c>
      <c r="C448" s="1" t="s">
        <v>624</v>
      </c>
      <c r="D448" s="1" t="s">
        <v>229</v>
      </c>
      <c r="E448" s="1" t="s">
        <v>500</v>
      </c>
    </row>
    <row r="449" spans="1:5" ht="16">
      <c r="A449" s="1" t="s">
        <v>622</v>
      </c>
      <c r="B449" s="1" t="s">
        <v>632</v>
      </c>
      <c r="C449" s="1" t="s">
        <v>334</v>
      </c>
      <c r="D449" s="1" t="s">
        <v>229</v>
      </c>
      <c r="E449" s="1" t="s">
        <v>500</v>
      </c>
    </row>
    <row r="450" spans="1:5" ht="16">
      <c r="A450" s="1" t="s">
        <v>622</v>
      </c>
      <c r="B450" s="1" t="s">
        <v>633</v>
      </c>
      <c r="C450" s="1" t="s">
        <v>334</v>
      </c>
      <c r="D450" s="1" t="s">
        <v>229</v>
      </c>
      <c r="E450" s="1" t="s">
        <v>500</v>
      </c>
    </row>
    <row r="451" spans="1:5" ht="16">
      <c r="A451" s="1" t="s">
        <v>622</v>
      </c>
      <c r="B451" s="1" t="s">
        <v>634</v>
      </c>
      <c r="C451" s="1" t="s">
        <v>334</v>
      </c>
      <c r="D451" s="1" t="s">
        <v>229</v>
      </c>
      <c r="E451" s="1" t="s">
        <v>500</v>
      </c>
    </row>
    <row r="452" spans="1:5" ht="16">
      <c r="A452" s="1" t="s">
        <v>622</v>
      </c>
      <c r="B452" s="1" t="s">
        <v>635</v>
      </c>
      <c r="C452" s="1" t="s">
        <v>334</v>
      </c>
      <c r="D452" s="1" t="s">
        <v>229</v>
      </c>
      <c r="E452" s="1" t="s">
        <v>500</v>
      </c>
    </row>
    <row r="453" spans="1:5" ht="16">
      <c r="A453" s="1" t="s">
        <v>622</v>
      </c>
      <c r="B453" s="1" t="s">
        <v>636</v>
      </c>
      <c r="C453" s="1" t="s">
        <v>228</v>
      </c>
      <c r="D453" s="1" t="s">
        <v>229</v>
      </c>
      <c r="E453" s="1"/>
    </row>
    <row r="454" spans="1:5" ht="16">
      <c r="A454" s="1" t="s">
        <v>622</v>
      </c>
      <c r="B454" s="1" t="s">
        <v>637</v>
      </c>
      <c r="C454" s="1" t="s">
        <v>228</v>
      </c>
      <c r="D454" s="1" t="s">
        <v>229</v>
      </c>
      <c r="E454" s="1"/>
    </row>
    <row r="455" spans="1:5" ht="16">
      <c r="A455" s="1" t="s">
        <v>622</v>
      </c>
      <c r="B455" s="1" t="s">
        <v>638</v>
      </c>
      <c r="C455" s="1" t="s">
        <v>228</v>
      </c>
      <c r="D455" s="1" t="s">
        <v>229</v>
      </c>
      <c r="E455" s="1"/>
    </row>
    <row r="456" spans="1:5" ht="16">
      <c r="A456" s="1" t="s">
        <v>622</v>
      </c>
      <c r="B456" s="1" t="s">
        <v>639</v>
      </c>
      <c r="C456" s="1" t="s">
        <v>228</v>
      </c>
      <c r="D456" s="1" t="s">
        <v>229</v>
      </c>
      <c r="E456" s="1"/>
    </row>
    <row r="457" spans="1:5" ht="16">
      <c r="A457" s="1" t="s">
        <v>622</v>
      </c>
      <c r="B457" s="1" t="s">
        <v>640</v>
      </c>
      <c r="C457" s="1" t="s">
        <v>234</v>
      </c>
      <c r="D457" s="1" t="s">
        <v>229</v>
      </c>
      <c r="E457" s="1"/>
    </row>
    <row r="458" spans="1:5" ht="16">
      <c r="A458" s="1" t="s">
        <v>622</v>
      </c>
      <c r="B458" s="1" t="s">
        <v>641</v>
      </c>
      <c r="C458" s="1" t="s">
        <v>234</v>
      </c>
      <c r="D458" s="1" t="s">
        <v>229</v>
      </c>
      <c r="E458" s="1"/>
    </row>
    <row r="459" spans="1:5" ht="16">
      <c r="A459" s="1" t="s">
        <v>622</v>
      </c>
      <c r="B459" s="1" t="s">
        <v>642</v>
      </c>
      <c r="C459" s="1" t="s">
        <v>234</v>
      </c>
      <c r="D459" s="1" t="s">
        <v>229</v>
      </c>
      <c r="E459" s="1"/>
    </row>
    <row r="460" spans="1:5" ht="16">
      <c r="A460" s="1" t="s">
        <v>622</v>
      </c>
      <c r="B460" s="1" t="s">
        <v>643</v>
      </c>
      <c r="C460" s="1" t="s">
        <v>234</v>
      </c>
      <c r="D460" s="1" t="s">
        <v>229</v>
      </c>
      <c r="E460" s="1"/>
    </row>
    <row r="461" spans="1:5" ht="16">
      <c r="A461" s="1" t="s">
        <v>622</v>
      </c>
      <c r="B461" s="1" t="s">
        <v>644</v>
      </c>
      <c r="C461" s="1" t="s">
        <v>228</v>
      </c>
      <c r="D461" s="1" t="s">
        <v>229</v>
      </c>
      <c r="E461" s="1"/>
    </row>
    <row r="462" spans="1:5" ht="16">
      <c r="A462" s="1" t="s">
        <v>622</v>
      </c>
      <c r="B462" s="1" t="s">
        <v>645</v>
      </c>
      <c r="C462" s="1" t="s">
        <v>228</v>
      </c>
      <c r="D462" s="1" t="s">
        <v>229</v>
      </c>
      <c r="E462" s="1"/>
    </row>
    <row r="463" spans="1:5" ht="16">
      <c r="A463" s="1" t="s">
        <v>622</v>
      </c>
      <c r="B463" s="1" t="s">
        <v>646</v>
      </c>
      <c r="C463" s="1" t="s">
        <v>228</v>
      </c>
      <c r="D463" s="1" t="s">
        <v>229</v>
      </c>
      <c r="E463" s="1"/>
    </row>
    <row r="464" spans="1:5" ht="16">
      <c r="A464" s="1" t="s">
        <v>622</v>
      </c>
      <c r="B464" s="1" t="s">
        <v>637</v>
      </c>
      <c r="C464" s="1" t="s">
        <v>228</v>
      </c>
      <c r="D464" s="1" t="s">
        <v>229</v>
      </c>
      <c r="E464" s="1"/>
    </row>
    <row r="465" spans="1:5" ht="16">
      <c r="A465" s="1" t="s">
        <v>622</v>
      </c>
      <c r="B465" s="1" t="s">
        <v>638</v>
      </c>
      <c r="C465" s="1" t="s">
        <v>228</v>
      </c>
      <c r="D465" s="1" t="s">
        <v>229</v>
      </c>
      <c r="E465" s="1"/>
    </row>
    <row r="466" spans="1:5" ht="16">
      <c r="A466" s="1" t="s">
        <v>622</v>
      </c>
      <c r="B466" s="1" t="s">
        <v>647</v>
      </c>
      <c r="C466" s="1" t="s">
        <v>624</v>
      </c>
      <c r="D466" s="1" t="s">
        <v>229</v>
      </c>
      <c r="E466" s="1" t="s">
        <v>500</v>
      </c>
    </row>
    <row r="467" spans="1:5" ht="16">
      <c r="A467" s="1" t="s">
        <v>622</v>
      </c>
      <c r="B467" s="1" t="s">
        <v>648</v>
      </c>
      <c r="C467" s="1" t="s">
        <v>334</v>
      </c>
      <c r="D467" s="1" t="s">
        <v>355</v>
      </c>
      <c r="E467" s="1"/>
    </row>
    <row r="468" spans="1:5" ht="16">
      <c r="A468" s="1" t="s">
        <v>622</v>
      </c>
      <c r="B468" s="1" t="s">
        <v>649</v>
      </c>
      <c r="C468" s="1" t="s">
        <v>334</v>
      </c>
      <c r="D468" s="1" t="s">
        <v>355</v>
      </c>
      <c r="E468" s="1"/>
    </row>
    <row r="469" spans="1:5" ht="16">
      <c r="A469" s="1" t="s">
        <v>622</v>
      </c>
      <c r="B469" s="1" t="s">
        <v>650</v>
      </c>
      <c r="C469" s="1" t="s">
        <v>334</v>
      </c>
      <c r="D469" s="1" t="s">
        <v>355</v>
      </c>
      <c r="E469" s="1"/>
    </row>
    <row r="470" spans="1:5" ht="16">
      <c r="A470" s="1" t="s">
        <v>622</v>
      </c>
      <c r="B470" s="1" t="s">
        <v>651</v>
      </c>
      <c r="C470" s="1" t="s">
        <v>334</v>
      </c>
      <c r="D470" s="1" t="s">
        <v>355</v>
      </c>
      <c r="E470" s="1"/>
    </row>
    <row r="471" spans="1:5" ht="16">
      <c r="A471" s="1" t="s">
        <v>622</v>
      </c>
      <c r="B471" s="1" t="s">
        <v>652</v>
      </c>
      <c r="C471" s="1" t="s">
        <v>228</v>
      </c>
      <c r="D471" s="1" t="s">
        <v>229</v>
      </c>
      <c r="E471" s="1"/>
    </row>
    <row r="472" spans="1:5" ht="16">
      <c r="A472" s="1" t="s">
        <v>622</v>
      </c>
      <c r="B472" s="1" t="s">
        <v>653</v>
      </c>
      <c r="C472" s="1" t="s">
        <v>228</v>
      </c>
      <c r="D472" s="1" t="s">
        <v>229</v>
      </c>
      <c r="E472" s="1"/>
    </row>
    <row r="473" spans="1:5" ht="16">
      <c r="A473" s="1" t="s">
        <v>622</v>
      </c>
      <c r="B473" s="1" t="s">
        <v>654</v>
      </c>
      <c r="C473" s="1" t="s">
        <v>334</v>
      </c>
      <c r="D473" s="1" t="s">
        <v>229</v>
      </c>
      <c r="E473" s="1"/>
    </row>
    <row r="474" spans="1:5" ht="16">
      <c r="A474" s="1" t="s">
        <v>622</v>
      </c>
      <c r="B474" s="1" t="s">
        <v>655</v>
      </c>
      <c r="C474" s="1" t="s">
        <v>334</v>
      </c>
      <c r="D474" s="1" t="s">
        <v>229</v>
      </c>
      <c r="E474" s="1"/>
    </row>
    <row r="475" spans="1:5" ht="16">
      <c r="A475" s="1" t="s">
        <v>622</v>
      </c>
      <c r="B475" s="1" t="s">
        <v>656</v>
      </c>
      <c r="C475" s="1" t="s">
        <v>334</v>
      </c>
      <c r="D475" s="1" t="s">
        <v>229</v>
      </c>
      <c r="E475" s="1" t="s">
        <v>500</v>
      </c>
    </row>
    <row r="476" spans="1:5" ht="16">
      <c r="A476" s="1" t="s">
        <v>622</v>
      </c>
      <c r="B476" s="1" t="s">
        <v>657</v>
      </c>
      <c r="C476" s="1" t="s">
        <v>624</v>
      </c>
      <c r="D476" s="1" t="s">
        <v>229</v>
      </c>
      <c r="E476" s="1"/>
    </row>
    <row r="477" spans="1:5" ht="16">
      <c r="A477" s="1" t="s">
        <v>622</v>
      </c>
      <c r="B477" s="1" t="s">
        <v>657</v>
      </c>
      <c r="C477" s="1" t="s">
        <v>334</v>
      </c>
      <c r="D477" s="1" t="s">
        <v>229</v>
      </c>
      <c r="E477" s="1"/>
    </row>
    <row r="478" spans="1:5" ht="16">
      <c r="A478" s="1" t="s">
        <v>622</v>
      </c>
      <c r="B478" s="1" t="s">
        <v>658</v>
      </c>
      <c r="C478" s="1" t="s">
        <v>234</v>
      </c>
      <c r="D478" s="1" t="s">
        <v>229</v>
      </c>
      <c r="E478" s="1"/>
    </row>
    <row r="479" spans="1:5" ht="16">
      <c r="A479" s="1" t="s">
        <v>622</v>
      </c>
      <c r="B479" s="1" t="s">
        <v>659</v>
      </c>
      <c r="C479" s="1" t="s">
        <v>334</v>
      </c>
      <c r="D479" s="1" t="s">
        <v>355</v>
      </c>
      <c r="E479" s="1"/>
    </row>
    <row r="480" spans="1:5" ht="16">
      <c r="A480" s="1" t="s">
        <v>622</v>
      </c>
      <c r="B480" s="1" t="s">
        <v>660</v>
      </c>
      <c r="C480" s="1" t="s">
        <v>234</v>
      </c>
      <c r="D480" s="1" t="s">
        <v>229</v>
      </c>
      <c r="E480" s="1"/>
    </row>
    <row r="481" spans="1:5" ht="16">
      <c r="A481" s="1" t="s">
        <v>622</v>
      </c>
      <c r="B481" s="1" t="s">
        <v>661</v>
      </c>
      <c r="C481" s="1" t="s">
        <v>234</v>
      </c>
      <c r="D481" s="1" t="s">
        <v>229</v>
      </c>
      <c r="E481" s="1"/>
    </row>
    <row r="482" spans="1:5" ht="16">
      <c r="A482" s="1" t="s">
        <v>622</v>
      </c>
      <c r="B482" s="1" t="s">
        <v>662</v>
      </c>
      <c r="C482" s="1" t="s">
        <v>332</v>
      </c>
      <c r="D482" s="1" t="s">
        <v>229</v>
      </c>
      <c r="E482" s="1"/>
    </row>
    <row r="483" spans="1:5" ht="16">
      <c r="A483" s="1" t="s">
        <v>622</v>
      </c>
      <c r="B483" s="1" t="s">
        <v>663</v>
      </c>
      <c r="C483" s="1" t="s">
        <v>332</v>
      </c>
      <c r="D483" s="1" t="s">
        <v>229</v>
      </c>
      <c r="E483" s="1"/>
    </row>
    <row r="484" spans="1:5" ht="16">
      <c r="A484" s="1" t="s">
        <v>622</v>
      </c>
      <c r="B484" s="1" t="s">
        <v>664</v>
      </c>
      <c r="C484" s="1" t="s">
        <v>332</v>
      </c>
      <c r="D484" s="1" t="s">
        <v>229</v>
      </c>
      <c r="E484" s="1"/>
    </row>
    <row r="485" spans="1:5" ht="16">
      <c r="A485" s="1" t="s">
        <v>622</v>
      </c>
      <c r="B485" s="1" t="s">
        <v>665</v>
      </c>
      <c r="C485" s="1" t="s">
        <v>332</v>
      </c>
      <c r="D485" s="1" t="s">
        <v>229</v>
      </c>
      <c r="E485" s="1"/>
    </row>
    <row r="486" spans="1:5" ht="16">
      <c r="A486" s="1" t="s">
        <v>622</v>
      </c>
      <c r="B486" s="1" t="s">
        <v>666</v>
      </c>
      <c r="C486" s="1" t="s">
        <v>332</v>
      </c>
      <c r="D486" s="1" t="s">
        <v>229</v>
      </c>
      <c r="E486" s="1"/>
    </row>
    <row r="487" spans="1:5" ht="16">
      <c r="A487" s="1" t="s">
        <v>622</v>
      </c>
      <c r="B487" s="1" t="s">
        <v>667</v>
      </c>
      <c r="C487" s="1" t="s">
        <v>332</v>
      </c>
      <c r="D487" s="1" t="s">
        <v>229</v>
      </c>
      <c r="E487" s="1"/>
    </row>
    <row r="488" spans="1:5" ht="16">
      <c r="A488" s="1" t="s">
        <v>622</v>
      </c>
      <c r="B488" s="1" t="s">
        <v>668</v>
      </c>
      <c r="C488" s="1" t="s">
        <v>332</v>
      </c>
      <c r="D488" s="1" t="s">
        <v>229</v>
      </c>
      <c r="E488" s="1"/>
    </row>
    <row r="489" spans="1:5" ht="16">
      <c r="A489" s="1" t="s">
        <v>622</v>
      </c>
      <c r="B489" s="1" t="s">
        <v>669</v>
      </c>
      <c r="C489" s="1" t="s">
        <v>332</v>
      </c>
      <c r="D489" s="1" t="s">
        <v>229</v>
      </c>
      <c r="E489" s="1"/>
    </row>
    <row r="490" spans="1:5" ht="16">
      <c r="A490" s="1" t="s">
        <v>622</v>
      </c>
      <c r="B490" s="1" t="s">
        <v>670</v>
      </c>
      <c r="C490" s="1" t="s">
        <v>307</v>
      </c>
      <c r="D490" s="1" t="s">
        <v>229</v>
      </c>
      <c r="E490" s="1"/>
    </row>
    <row r="491" spans="1:5" ht="16">
      <c r="A491" s="1" t="s">
        <v>622</v>
      </c>
      <c r="B491" s="1" t="s">
        <v>671</v>
      </c>
      <c r="C491" s="1" t="s">
        <v>307</v>
      </c>
      <c r="D491" s="1" t="s">
        <v>229</v>
      </c>
      <c r="E491" s="1"/>
    </row>
    <row r="492" spans="1:5" ht="16">
      <c r="A492" s="1" t="s">
        <v>622</v>
      </c>
      <c r="B492" s="1" t="s">
        <v>672</v>
      </c>
      <c r="C492" s="1" t="s">
        <v>334</v>
      </c>
      <c r="D492" s="1" t="s">
        <v>355</v>
      </c>
      <c r="E492" s="1"/>
    </row>
    <row r="493" spans="1:5" ht="16">
      <c r="A493" s="1" t="s">
        <v>622</v>
      </c>
      <c r="B493" s="1" t="s">
        <v>673</v>
      </c>
      <c r="C493" s="1" t="s">
        <v>307</v>
      </c>
      <c r="D493" s="1" t="s">
        <v>229</v>
      </c>
      <c r="E493" s="1"/>
    </row>
    <row r="494" spans="1:5" ht="16">
      <c r="A494" s="1" t="s">
        <v>622</v>
      </c>
      <c r="B494" s="1" t="s">
        <v>674</v>
      </c>
      <c r="C494" s="1" t="s">
        <v>332</v>
      </c>
      <c r="D494" s="1" t="s">
        <v>229</v>
      </c>
      <c r="E494" s="1"/>
    </row>
    <row r="495" spans="1:5" ht="16">
      <c r="A495" s="1" t="s">
        <v>622</v>
      </c>
      <c r="B495" s="1" t="s">
        <v>675</v>
      </c>
      <c r="C495" s="1" t="s">
        <v>332</v>
      </c>
      <c r="D495" s="1" t="s">
        <v>229</v>
      </c>
      <c r="E495" s="1"/>
    </row>
    <row r="496" spans="1:5" ht="16">
      <c r="A496" s="1" t="s">
        <v>622</v>
      </c>
      <c r="B496" s="1" t="s">
        <v>676</v>
      </c>
      <c r="C496" s="1" t="s">
        <v>332</v>
      </c>
      <c r="D496" s="1" t="s">
        <v>229</v>
      </c>
      <c r="E496" s="1"/>
    </row>
    <row r="497" spans="1:5" ht="16">
      <c r="A497" s="1" t="s">
        <v>622</v>
      </c>
      <c r="B497" s="1" t="s">
        <v>677</v>
      </c>
      <c r="C497" s="1" t="s">
        <v>332</v>
      </c>
      <c r="D497" s="1" t="s">
        <v>229</v>
      </c>
      <c r="E497" s="1"/>
    </row>
    <row r="498" spans="1:5" ht="16">
      <c r="A498" s="1" t="s">
        <v>622</v>
      </c>
      <c r="B498" s="1" t="s">
        <v>678</v>
      </c>
      <c r="C498" s="1" t="s">
        <v>332</v>
      </c>
      <c r="D498" s="1" t="s">
        <v>229</v>
      </c>
      <c r="E498" s="1"/>
    </row>
    <row r="499" spans="1:5" ht="16">
      <c r="A499" s="1" t="s">
        <v>622</v>
      </c>
      <c r="B499" s="1" t="s">
        <v>679</v>
      </c>
      <c r="C499" s="1" t="s">
        <v>332</v>
      </c>
      <c r="D499" s="1" t="s">
        <v>229</v>
      </c>
      <c r="E499" s="1"/>
    </row>
    <row r="500" spans="1:5" ht="16">
      <c r="A500" s="1" t="s">
        <v>622</v>
      </c>
      <c r="B500" s="1" t="s">
        <v>680</v>
      </c>
      <c r="C500" s="1" t="s">
        <v>332</v>
      </c>
      <c r="D500" s="1" t="s">
        <v>229</v>
      </c>
      <c r="E500" s="1"/>
    </row>
    <row r="501" spans="1:5" ht="16">
      <c r="A501" s="1" t="s">
        <v>622</v>
      </c>
      <c r="B501" s="1" t="s">
        <v>681</v>
      </c>
      <c r="C501" s="1" t="s">
        <v>332</v>
      </c>
      <c r="D501" s="1" t="s">
        <v>229</v>
      </c>
      <c r="E501" s="1"/>
    </row>
    <row r="502" spans="1:5" ht="16">
      <c r="A502" s="1" t="s">
        <v>622</v>
      </c>
      <c r="B502" s="1" t="s">
        <v>682</v>
      </c>
      <c r="C502" s="1" t="s">
        <v>332</v>
      </c>
      <c r="D502" s="1" t="s">
        <v>229</v>
      </c>
      <c r="E502" s="1"/>
    </row>
    <row r="503" spans="1:5" ht="16">
      <c r="A503" s="1" t="s">
        <v>622</v>
      </c>
      <c r="B503" s="1" t="s">
        <v>683</v>
      </c>
      <c r="C503" s="1" t="s">
        <v>332</v>
      </c>
      <c r="D503" s="1" t="s">
        <v>229</v>
      </c>
      <c r="E503" s="1"/>
    </row>
    <row r="504" spans="1:5" ht="16">
      <c r="A504" s="1" t="s">
        <v>622</v>
      </c>
      <c r="B504" s="1" t="s">
        <v>684</v>
      </c>
      <c r="C504" s="1" t="s">
        <v>332</v>
      </c>
      <c r="D504" s="1" t="s">
        <v>229</v>
      </c>
      <c r="E504" s="1"/>
    </row>
    <row r="505" spans="1:5" ht="16">
      <c r="A505" s="1" t="s">
        <v>622</v>
      </c>
      <c r="B505" s="1" t="s">
        <v>685</v>
      </c>
      <c r="C505" s="1" t="s">
        <v>332</v>
      </c>
      <c r="D505" s="1" t="s">
        <v>229</v>
      </c>
      <c r="E505" s="1"/>
    </row>
    <row r="506" spans="1:5" ht="16">
      <c r="A506" s="1" t="s">
        <v>622</v>
      </c>
      <c r="B506" s="1" t="s">
        <v>686</v>
      </c>
      <c r="C506" s="1" t="s">
        <v>332</v>
      </c>
      <c r="D506" s="1" t="s">
        <v>229</v>
      </c>
      <c r="E506" s="1"/>
    </row>
    <row r="507" spans="1:5" ht="16">
      <c r="A507" s="1" t="s">
        <v>622</v>
      </c>
      <c r="B507" s="1" t="s">
        <v>687</v>
      </c>
      <c r="C507" s="1" t="s">
        <v>332</v>
      </c>
      <c r="D507" s="1" t="s">
        <v>229</v>
      </c>
      <c r="E507" s="1"/>
    </row>
    <row r="508" spans="1:5" ht="16">
      <c r="A508" s="1" t="s">
        <v>622</v>
      </c>
      <c r="B508" s="1" t="s">
        <v>688</v>
      </c>
      <c r="C508" s="1" t="s">
        <v>332</v>
      </c>
      <c r="D508" s="1" t="s">
        <v>229</v>
      </c>
      <c r="E508" s="1"/>
    </row>
    <row r="509" spans="1:5" ht="16">
      <c r="A509" s="1" t="s">
        <v>622</v>
      </c>
      <c r="B509" s="1" t="s">
        <v>689</v>
      </c>
      <c r="C509" s="1" t="s">
        <v>332</v>
      </c>
      <c r="D509" s="1" t="s">
        <v>229</v>
      </c>
      <c r="E509" s="1"/>
    </row>
    <row r="510" spans="1:5" ht="16">
      <c r="A510" s="1" t="s">
        <v>622</v>
      </c>
      <c r="B510" s="1" t="s">
        <v>690</v>
      </c>
      <c r="C510" s="1" t="s">
        <v>332</v>
      </c>
      <c r="D510" s="1" t="s">
        <v>229</v>
      </c>
      <c r="E510" s="1"/>
    </row>
    <row r="511" spans="1:5" ht="16">
      <c r="A511" s="1" t="s">
        <v>622</v>
      </c>
      <c r="B511" s="1" t="s">
        <v>691</v>
      </c>
      <c r="C511" s="1" t="s">
        <v>332</v>
      </c>
      <c r="D511" s="1" t="s">
        <v>229</v>
      </c>
      <c r="E511" s="1"/>
    </row>
    <row r="512" spans="1:5" ht="16">
      <c r="A512" s="1" t="s">
        <v>622</v>
      </c>
      <c r="B512" s="1" t="s">
        <v>692</v>
      </c>
      <c r="C512" s="1" t="s">
        <v>332</v>
      </c>
      <c r="D512" s="1" t="s">
        <v>229</v>
      </c>
      <c r="E512" s="1"/>
    </row>
    <row r="513" spans="1:5" ht="16">
      <c r="A513" s="1" t="s">
        <v>622</v>
      </c>
      <c r="B513" s="1" t="s">
        <v>693</v>
      </c>
      <c r="C513" s="1" t="s">
        <v>228</v>
      </c>
      <c r="D513" s="1" t="s">
        <v>229</v>
      </c>
      <c r="E513" s="1"/>
    </row>
    <row r="514" spans="1:5" ht="16">
      <c r="A514" s="1" t="s">
        <v>622</v>
      </c>
      <c r="B514" s="1" t="s">
        <v>694</v>
      </c>
      <c r="C514" s="1" t="s">
        <v>234</v>
      </c>
      <c r="D514" s="1" t="s">
        <v>229</v>
      </c>
      <c r="E514" s="1"/>
    </row>
    <row r="515" spans="1:5" ht="16">
      <c r="A515" s="1" t="s">
        <v>622</v>
      </c>
      <c r="B515" s="1" t="s">
        <v>695</v>
      </c>
      <c r="C515" s="1" t="s">
        <v>624</v>
      </c>
      <c r="D515" s="1" t="s">
        <v>229</v>
      </c>
      <c r="E515" s="1"/>
    </row>
    <row r="516" spans="1:5" ht="16">
      <c r="A516" s="1" t="s">
        <v>622</v>
      </c>
      <c r="B516" s="1" t="s">
        <v>696</v>
      </c>
      <c r="C516" s="1" t="s">
        <v>624</v>
      </c>
      <c r="D516" s="1" t="s">
        <v>229</v>
      </c>
      <c r="E516" s="1"/>
    </row>
    <row r="517" spans="1:5" ht="16">
      <c r="A517" s="1" t="s">
        <v>622</v>
      </c>
      <c r="B517" s="1" t="s">
        <v>697</v>
      </c>
      <c r="C517" s="1" t="s">
        <v>624</v>
      </c>
      <c r="D517" s="1" t="s">
        <v>229</v>
      </c>
      <c r="E517" s="1"/>
    </row>
    <row r="518" spans="1:5" ht="16">
      <c r="A518" s="1" t="s">
        <v>622</v>
      </c>
      <c r="B518" s="1" t="s">
        <v>698</v>
      </c>
      <c r="C518" s="1" t="s">
        <v>624</v>
      </c>
      <c r="D518" s="1" t="s">
        <v>229</v>
      </c>
      <c r="E518" s="1"/>
    </row>
    <row r="519" spans="1:5" ht="16">
      <c r="A519" s="1" t="s">
        <v>622</v>
      </c>
      <c r="B519" s="1" t="s">
        <v>699</v>
      </c>
      <c r="C519" s="1" t="s">
        <v>624</v>
      </c>
      <c r="D519" s="1" t="s">
        <v>229</v>
      </c>
      <c r="E519" s="1"/>
    </row>
    <row r="520" spans="1:5" ht="16">
      <c r="A520" s="1" t="s">
        <v>622</v>
      </c>
      <c r="B520" s="1" t="s">
        <v>700</v>
      </c>
      <c r="C520" s="1" t="s">
        <v>624</v>
      </c>
      <c r="D520" s="1" t="s">
        <v>229</v>
      </c>
      <c r="E520" s="1"/>
    </row>
    <row r="521" spans="1:5" ht="16">
      <c r="A521" s="1" t="s">
        <v>622</v>
      </c>
      <c r="B521" s="1" t="s">
        <v>701</v>
      </c>
      <c r="C521" s="1"/>
      <c r="D521" s="1"/>
      <c r="E521" s="1"/>
    </row>
    <row r="522" spans="1:5" ht="16">
      <c r="A522" s="1" t="s">
        <v>702</v>
      </c>
      <c r="B522" s="1" t="s">
        <v>332</v>
      </c>
      <c r="C522" s="1" t="s">
        <v>229</v>
      </c>
      <c r="D522" s="1"/>
      <c r="E522" s="1"/>
    </row>
    <row r="523" spans="1:5" ht="16">
      <c r="A523" s="1" t="s">
        <v>622</v>
      </c>
      <c r="B523" s="1" t="s">
        <v>701</v>
      </c>
      <c r="C523" s="1"/>
      <c r="D523" s="1"/>
      <c r="E523" s="1"/>
    </row>
    <row r="524" spans="1:5" ht="16">
      <c r="A524" s="1" t="s">
        <v>703</v>
      </c>
      <c r="B524" s="1" t="s">
        <v>332</v>
      </c>
      <c r="C524" s="1" t="s">
        <v>229</v>
      </c>
      <c r="D524" s="1"/>
      <c r="E524" s="1"/>
    </row>
    <row r="525" spans="1:5" ht="16">
      <c r="A525" s="1" t="s">
        <v>622</v>
      </c>
      <c r="B525" s="1" t="s">
        <v>701</v>
      </c>
      <c r="C525" s="1"/>
      <c r="D525" s="1"/>
      <c r="E525" s="1"/>
    </row>
    <row r="526" spans="1:5" ht="16">
      <c r="A526" s="1" t="s">
        <v>704</v>
      </c>
      <c r="B526" s="1" t="s">
        <v>332</v>
      </c>
      <c r="C526" s="1" t="s">
        <v>229</v>
      </c>
      <c r="D526" s="1"/>
      <c r="E526" s="1"/>
    </row>
    <row r="527" spans="1:5" ht="16">
      <c r="A527" s="1" t="s">
        <v>622</v>
      </c>
      <c r="B527" s="1" t="s">
        <v>705</v>
      </c>
      <c r="C527" s="1"/>
      <c r="D527" s="1"/>
      <c r="E527" s="1"/>
    </row>
    <row r="528" spans="1:5" ht="16">
      <c r="A528" s="1" t="s">
        <v>706</v>
      </c>
      <c r="B528" s="1" t="s">
        <v>332</v>
      </c>
      <c r="C528" s="1" t="s">
        <v>229</v>
      </c>
      <c r="D528" s="1"/>
      <c r="E528" s="1"/>
    </row>
    <row r="529" spans="1:5" ht="16">
      <c r="A529" s="1" t="s">
        <v>622</v>
      </c>
      <c r="B529" s="1" t="s">
        <v>705</v>
      </c>
      <c r="C529" s="1"/>
      <c r="D529" s="1"/>
      <c r="E529" s="1"/>
    </row>
    <row r="530" spans="1:5" ht="16">
      <c r="A530" s="1" t="s">
        <v>707</v>
      </c>
      <c r="B530" s="1" t="s">
        <v>332</v>
      </c>
      <c r="C530" s="1" t="s">
        <v>229</v>
      </c>
      <c r="D530" s="1"/>
      <c r="E530" s="1"/>
    </row>
    <row r="531" spans="1:5" ht="16">
      <c r="A531" s="1" t="s">
        <v>622</v>
      </c>
      <c r="B531" s="1" t="s">
        <v>708</v>
      </c>
      <c r="C531" s="1"/>
      <c r="D531" s="1"/>
      <c r="E531" s="1"/>
    </row>
    <row r="532" spans="1:5" ht="16">
      <c r="A532" s="1" t="s">
        <v>709</v>
      </c>
      <c r="B532" s="1" t="s">
        <v>332</v>
      </c>
      <c r="C532" s="1" t="s">
        <v>229</v>
      </c>
      <c r="D532" s="1"/>
      <c r="E532" s="1"/>
    </row>
    <row r="533" spans="1:5" ht="16">
      <c r="A533" s="1" t="s">
        <v>622</v>
      </c>
      <c r="B533" s="1" t="s">
        <v>708</v>
      </c>
      <c r="C533" s="1"/>
      <c r="D533" s="1"/>
      <c r="E533" s="1"/>
    </row>
    <row r="534" spans="1:5" ht="16">
      <c r="A534" s="1" t="s">
        <v>710</v>
      </c>
      <c r="B534" s="1" t="s">
        <v>332</v>
      </c>
      <c r="C534" s="1" t="s">
        <v>229</v>
      </c>
      <c r="D534" s="1"/>
      <c r="E534" s="1"/>
    </row>
    <row r="535" spans="1:5" ht="16">
      <c r="A535" s="1" t="s">
        <v>622</v>
      </c>
      <c r="B535" s="1" t="s">
        <v>711</v>
      </c>
      <c r="C535" s="1"/>
      <c r="D535" s="1"/>
      <c r="E535" s="1"/>
    </row>
    <row r="536" spans="1:5" ht="16">
      <c r="A536" s="1" t="s">
        <v>712</v>
      </c>
      <c r="B536" s="1" t="s">
        <v>332</v>
      </c>
      <c r="C536" s="1" t="s">
        <v>229</v>
      </c>
      <c r="D536" s="1"/>
      <c r="E536" s="1"/>
    </row>
    <row r="537" spans="1:5" ht="16">
      <c r="A537" s="1" t="s">
        <v>622</v>
      </c>
      <c r="B537" s="1" t="s">
        <v>713</v>
      </c>
      <c r="C537" s="1" t="s">
        <v>332</v>
      </c>
      <c r="D537" s="1" t="s">
        <v>229</v>
      </c>
      <c r="E537" s="1"/>
    </row>
    <row r="538" spans="1:5" ht="16">
      <c r="A538" s="1" t="s">
        <v>622</v>
      </c>
      <c r="B538" s="1" t="s">
        <v>714</v>
      </c>
      <c r="C538" s="1" t="s">
        <v>332</v>
      </c>
      <c r="D538" s="1" t="s">
        <v>229</v>
      </c>
      <c r="E538" s="1"/>
    </row>
    <row r="539" spans="1:5" ht="16">
      <c r="A539" s="1" t="s">
        <v>622</v>
      </c>
      <c r="B539" s="1" t="s">
        <v>715</v>
      </c>
      <c r="C539" s="1" t="s">
        <v>332</v>
      </c>
      <c r="D539" s="1" t="s">
        <v>229</v>
      </c>
      <c r="E539" s="1"/>
    </row>
    <row r="540" spans="1:5" ht="16">
      <c r="A540" s="1" t="s">
        <v>622</v>
      </c>
      <c r="B540" s="1" t="s">
        <v>716</v>
      </c>
      <c r="C540" s="1" t="s">
        <v>332</v>
      </c>
      <c r="D540" s="1" t="s">
        <v>229</v>
      </c>
      <c r="E540" s="1"/>
    </row>
    <row r="541" spans="1:5" ht="16">
      <c r="A541" s="1" t="s">
        <v>622</v>
      </c>
      <c r="B541" s="1" t="s">
        <v>717</v>
      </c>
      <c r="C541" s="1" t="s">
        <v>332</v>
      </c>
      <c r="D541" s="1" t="s">
        <v>229</v>
      </c>
      <c r="E541" s="1"/>
    </row>
    <row r="542" spans="1:5" ht="16">
      <c r="A542" s="1" t="s">
        <v>622</v>
      </c>
      <c r="B542" s="1" t="s">
        <v>718</v>
      </c>
      <c r="C542" s="1" t="s">
        <v>332</v>
      </c>
      <c r="D542" s="1" t="s">
        <v>229</v>
      </c>
      <c r="E542" s="1"/>
    </row>
    <row r="543" spans="1:5" ht="16">
      <c r="A543" s="1" t="s">
        <v>622</v>
      </c>
      <c r="B543" s="1" t="s">
        <v>719</v>
      </c>
      <c r="C543" s="1" t="s">
        <v>332</v>
      </c>
      <c r="D543" s="1" t="s">
        <v>229</v>
      </c>
      <c r="E543" s="1"/>
    </row>
    <row r="544" spans="1:5" ht="16">
      <c r="A544" s="1" t="s">
        <v>622</v>
      </c>
      <c r="B544" s="1" t="s">
        <v>720</v>
      </c>
      <c r="C544" s="1" t="s">
        <v>332</v>
      </c>
      <c r="D544" s="1" t="s">
        <v>229</v>
      </c>
      <c r="E544" s="1"/>
    </row>
    <row r="545" spans="1:5" ht="16">
      <c r="A545" s="1" t="s">
        <v>622</v>
      </c>
      <c r="B545" s="1" t="s">
        <v>721</v>
      </c>
      <c r="C545" s="1" t="s">
        <v>332</v>
      </c>
      <c r="D545" s="1" t="s">
        <v>229</v>
      </c>
      <c r="E545" s="1"/>
    </row>
    <row r="546" spans="1:5" ht="16">
      <c r="A546" s="1" t="s">
        <v>622</v>
      </c>
      <c r="B546" s="1" t="s">
        <v>722</v>
      </c>
      <c r="C546" s="1" t="s">
        <v>332</v>
      </c>
      <c r="D546" s="1" t="s">
        <v>229</v>
      </c>
      <c r="E546" s="1"/>
    </row>
    <row r="547" spans="1:5" ht="16">
      <c r="A547" s="1" t="s">
        <v>622</v>
      </c>
      <c r="B547" s="1" t="s">
        <v>723</v>
      </c>
      <c r="C547" s="1"/>
      <c r="D547" s="1"/>
      <c r="E547" s="1"/>
    </row>
    <row r="548" spans="1:5" ht="16">
      <c r="A548" s="1" t="s">
        <v>724</v>
      </c>
      <c r="B548" s="1" t="s">
        <v>332</v>
      </c>
      <c r="C548" s="1" t="s">
        <v>229</v>
      </c>
      <c r="D548" s="1"/>
      <c r="E548" s="1"/>
    </row>
    <row r="549" spans="1:5" ht="16">
      <c r="A549" s="1" t="s">
        <v>622</v>
      </c>
      <c r="B549" s="1" t="s">
        <v>723</v>
      </c>
      <c r="C549" s="1"/>
      <c r="D549" s="1"/>
      <c r="E549" s="1"/>
    </row>
    <row r="550" spans="1:5" ht="16">
      <c r="A550" s="1" t="s">
        <v>725</v>
      </c>
      <c r="B550" s="1" t="s">
        <v>332</v>
      </c>
      <c r="C550" s="1" t="s">
        <v>229</v>
      </c>
      <c r="D550" s="1"/>
      <c r="E550" s="1"/>
    </row>
    <row r="551" spans="1:5" ht="16">
      <c r="A551" s="1" t="s">
        <v>622</v>
      </c>
      <c r="B551" s="1" t="s">
        <v>726</v>
      </c>
      <c r="C551" s="1"/>
      <c r="D551" s="1"/>
      <c r="E551" s="1"/>
    </row>
    <row r="552" spans="1:5" ht="16">
      <c r="A552" s="1" t="s">
        <v>727</v>
      </c>
      <c r="B552" s="1" t="s">
        <v>332</v>
      </c>
      <c r="C552" s="1" t="s">
        <v>229</v>
      </c>
      <c r="D552" s="1"/>
      <c r="E552" s="1"/>
    </row>
    <row r="553" spans="1:5" ht="16">
      <c r="A553" s="1" t="s">
        <v>622</v>
      </c>
      <c r="B553" s="1" t="s">
        <v>726</v>
      </c>
      <c r="C553" s="1"/>
      <c r="D553" s="1"/>
      <c r="E553" s="1"/>
    </row>
    <row r="554" spans="1:5" ht="16">
      <c r="A554" s="1" t="s">
        <v>728</v>
      </c>
      <c r="B554" s="1" t="s">
        <v>332</v>
      </c>
      <c r="C554" s="1" t="s">
        <v>229</v>
      </c>
      <c r="D554" s="1"/>
      <c r="E554" s="1"/>
    </row>
    <row r="555" spans="1:5" ht="16">
      <c r="A555" s="1" t="s">
        <v>622</v>
      </c>
      <c r="B555" s="1" t="s">
        <v>729</v>
      </c>
      <c r="C555" s="1"/>
      <c r="D555" s="1"/>
      <c r="E555" s="1"/>
    </row>
    <row r="556" spans="1:5" ht="16">
      <c r="A556" s="1" t="s">
        <v>730</v>
      </c>
      <c r="B556" s="1" t="s">
        <v>332</v>
      </c>
      <c r="C556" s="1" t="s">
        <v>229</v>
      </c>
      <c r="D556" s="1"/>
      <c r="E556" s="1"/>
    </row>
    <row r="557" spans="1:5" ht="16">
      <c r="A557" s="1" t="s">
        <v>622</v>
      </c>
      <c r="B557" s="1" t="s">
        <v>729</v>
      </c>
      <c r="C557" s="1"/>
      <c r="D557" s="1"/>
      <c r="E557" s="1"/>
    </row>
    <row r="558" spans="1:5" ht="16">
      <c r="A558" s="1" t="s">
        <v>731</v>
      </c>
      <c r="B558" s="1" t="s">
        <v>332</v>
      </c>
      <c r="C558" s="1" t="s">
        <v>229</v>
      </c>
      <c r="D558" s="1"/>
      <c r="E558" s="1"/>
    </row>
    <row r="559" spans="1:5" ht="16">
      <c r="A559" s="1" t="s">
        <v>622</v>
      </c>
      <c r="B559" s="1" t="s">
        <v>697</v>
      </c>
      <c r="C559" s="1" t="s">
        <v>334</v>
      </c>
      <c r="D559" s="1" t="s">
        <v>229</v>
      </c>
      <c r="E559" s="1"/>
    </row>
    <row r="560" spans="1:5" ht="16">
      <c r="A560" s="1" t="s">
        <v>622</v>
      </c>
      <c r="B560" s="1" t="s">
        <v>696</v>
      </c>
      <c r="C560" s="1" t="s">
        <v>334</v>
      </c>
      <c r="D560" s="1" t="s">
        <v>229</v>
      </c>
      <c r="E560" s="1"/>
    </row>
    <row r="561" spans="1:5" ht="16">
      <c r="A561" s="1" t="s">
        <v>622</v>
      </c>
      <c r="B561" s="1" t="s">
        <v>695</v>
      </c>
      <c r="C561" s="1" t="s">
        <v>334</v>
      </c>
      <c r="D561" s="1" t="s">
        <v>229</v>
      </c>
      <c r="E561" s="1"/>
    </row>
    <row r="562" spans="1:5" ht="16">
      <c r="A562" s="1" t="s">
        <v>622</v>
      </c>
      <c r="B562" s="1" t="s">
        <v>698</v>
      </c>
      <c r="C562" s="1" t="s">
        <v>334</v>
      </c>
      <c r="D562" s="1" t="s">
        <v>229</v>
      </c>
      <c r="E562" s="1"/>
    </row>
    <row r="563" spans="1:5" ht="16">
      <c r="A563" s="1" t="s">
        <v>622</v>
      </c>
      <c r="B563" s="1" t="s">
        <v>699</v>
      </c>
      <c r="C563" s="1" t="s">
        <v>334</v>
      </c>
      <c r="D563" s="1" t="s">
        <v>229</v>
      </c>
      <c r="E563" s="1"/>
    </row>
    <row r="564" spans="1:5" ht="16">
      <c r="A564" s="1" t="s">
        <v>622</v>
      </c>
      <c r="B564" s="1" t="s">
        <v>700</v>
      </c>
      <c r="C564" s="1" t="s">
        <v>334</v>
      </c>
      <c r="D564" s="1" t="s">
        <v>229</v>
      </c>
      <c r="E564" s="1"/>
    </row>
    <row r="565" spans="1:5" ht="16">
      <c r="A565" s="1" t="s">
        <v>622</v>
      </c>
      <c r="B565" s="1" t="s">
        <v>732</v>
      </c>
      <c r="C565" s="1" t="s">
        <v>624</v>
      </c>
      <c r="D565" s="1" t="s">
        <v>229</v>
      </c>
      <c r="E565" s="1"/>
    </row>
    <row r="566" spans="1:5" ht="16">
      <c r="A566" s="1" t="s">
        <v>622</v>
      </c>
      <c r="B566" s="1" t="s">
        <v>733</v>
      </c>
      <c r="C566" s="1" t="s">
        <v>332</v>
      </c>
      <c r="D566" s="1" t="s">
        <v>229</v>
      </c>
      <c r="E566" s="1"/>
    </row>
    <row r="567" spans="1:5" ht="16">
      <c r="A567" s="1" t="s">
        <v>622</v>
      </c>
      <c r="B567" s="1" t="s">
        <v>734</v>
      </c>
      <c r="C567" s="1" t="s">
        <v>332</v>
      </c>
      <c r="D567" s="1" t="s">
        <v>229</v>
      </c>
      <c r="E567" s="1"/>
    </row>
    <row r="568" spans="1:5" ht="16">
      <c r="A568" s="1" t="s">
        <v>622</v>
      </c>
      <c r="B568" s="1" t="s">
        <v>735</v>
      </c>
      <c r="C568" s="1" t="s">
        <v>332</v>
      </c>
      <c r="D568" s="1" t="s">
        <v>229</v>
      </c>
      <c r="E568" s="1"/>
    </row>
    <row r="569" spans="1:5" ht="16">
      <c r="A569" s="1" t="s">
        <v>622</v>
      </c>
      <c r="B569" s="1" t="s">
        <v>736</v>
      </c>
      <c r="C569" s="1" t="s">
        <v>332</v>
      </c>
      <c r="D569" s="1" t="s">
        <v>229</v>
      </c>
      <c r="E569" s="1"/>
    </row>
    <row r="570" spans="1:5" ht="16">
      <c r="A570" s="1" t="s">
        <v>622</v>
      </c>
      <c r="B570" s="1" t="s">
        <v>737</v>
      </c>
      <c r="C570" s="1" t="s">
        <v>332</v>
      </c>
      <c r="D570" s="1" t="s">
        <v>229</v>
      </c>
      <c r="E570" s="1" t="s">
        <v>500</v>
      </c>
    </row>
    <row r="571" spans="1:5" ht="16">
      <c r="A571" s="1" t="s">
        <v>622</v>
      </c>
      <c r="B571" s="1" t="s">
        <v>738</v>
      </c>
      <c r="C571" s="1" t="s">
        <v>332</v>
      </c>
      <c r="D571" s="1" t="s">
        <v>229</v>
      </c>
      <c r="E571" s="1" t="s">
        <v>500</v>
      </c>
    </row>
    <row r="572" spans="1:5" ht="16">
      <c r="A572" s="1" t="s">
        <v>622</v>
      </c>
      <c r="B572" s="1" t="s">
        <v>739</v>
      </c>
      <c r="C572" s="1" t="s">
        <v>332</v>
      </c>
      <c r="D572" s="1" t="s">
        <v>229</v>
      </c>
      <c r="E572" s="1" t="s">
        <v>500</v>
      </c>
    </row>
    <row r="573" spans="1:5" ht="16">
      <c r="A573" s="1" t="s">
        <v>622</v>
      </c>
      <c r="B573" s="1" t="s">
        <v>740</v>
      </c>
      <c r="C573" s="1" t="s">
        <v>332</v>
      </c>
      <c r="D573" s="1" t="s">
        <v>229</v>
      </c>
      <c r="E573" s="1" t="s">
        <v>500</v>
      </c>
    </row>
    <row r="574" spans="1:5" ht="16">
      <c r="A574" s="1" t="s">
        <v>622</v>
      </c>
      <c r="B574" s="1" t="s">
        <v>741</v>
      </c>
      <c r="C574" s="1" t="s">
        <v>332</v>
      </c>
      <c r="D574" s="1" t="s">
        <v>229</v>
      </c>
      <c r="E574" s="1" t="s">
        <v>500</v>
      </c>
    </row>
    <row r="575" spans="1:5" ht="16">
      <c r="A575" s="1" t="s">
        <v>622</v>
      </c>
      <c r="B575" s="1" t="s">
        <v>742</v>
      </c>
      <c r="C575" s="1" t="s">
        <v>332</v>
      </c>
      <c r="D575" s="1" t="s">
        <v>229</v>
      </c>
      <c r="E575" s="1" t="s">
        <v>500</v>
      </c>
    </row>
    <row r="576" spans="1:5" ht="16">
      <c r="A576" s="1" t="s">
        <v>622</v>
      </c>
      <c r="B576" s="1" t="s">
        <v>743</v>
      </c>
      <c r="C576" s="1" t="s">
        <v>265</v>
      </c>
      <c r="D576" s="1" t="s">
        <v>229</v>
      </c>
      <c r="E576" s="1"/>
    </row>
    <row r="577" spans="1:5" ht="16">
      <c r="A577" s="1" t="s">
        <v>622</v>
      </c>
      <c r="B577" s="1" t="s">
        <v>744</v>
      </c>
      <c r="C577" s="1" t="s">
        <v>234</v>
      </c>
      <c r="D577" s="1" t="s">
        <v>229</v>
      </c>
      <c r="E577" s="1"/>
    </row>
    <row r="578" spans="1:5" ht="16">
      <c r="A578" s="1" t="s">
        <v>622</v>
      </c>
      <c r="B578" s="1" t="s">
        <v>745</v>
      </c>
      <c r="C578" s="1" t="s">
        <v>332</v>
      </c>
      <c r="D578" s="1" t="s">
        <v>229</v>
      </c>
      <c r="E578" s="1"/>
    </row>
    <row r="579" spans="1:5" ht="16">
      <c r="A579" s="1" t="s">
        <v>622</v>
      </c>
      <c r="B579" s="1" t="s">
        <v>746</v>
      </c>
      <c r="C579" s="1" t="s">
        <v>332</v>
      </c>
      <c r="D579" s="1" t="s">
        <v>229</v>
      </c>
      <c r="E579" s="1"/>
    </row>
    <row r="580" spans="1:5" ht="16">
      <c r="A580" s="1" t="s">
        <v>622</v>
      </c>
      <c r="B580" s="1" t="s">
        <v>747</v>
      </c>
      <c r="C580" s="1" t="s">
        <v>332</v>
      </c>
      <c r="D580" s="1" t="s">
        <v>229</v>
      </c>
      <c r="E580" s="1"/>
    </row>
    <row r="581" spans="1:5" ht="16">
      <c r="A581" s="1" t="s">
        <v>622</v>
      </c>
      <c r="B581" s="1" t="s">
        <v>748</v>
      </c>
      <c r="C581" s="1" t="s">
        <v>332</v>
      </c>
      <c r="D581" s="1" t="s">
        <v>229</v>
      </c>
      <c r="E581" s="1"/>
    </row>
    <row r="582" spans="1:5" ht="16">
      <c r="A582" s="1" t="s">
        <v>622</v>
      </c>
      <c r="B582" s="1" t="s">
        <v>749</v>
      </c>
      <c r="C582" s="1" t="s">
        <v>334</v>
      </c>
      <c r="D582" s="1" t="s">
        <v>229</v>
      </c>
      <c r="E582" s="1"/>
    </row>
    <row r="583" spans="1:5" ht="16">
      <c r="A583" s="1" t="s">
        <v>622</v>
      </c>
      <c r="B583" s="1" t="s">
        <v>750</v>
      </c>
      <c r="C583" s="1"/>
      <c r="D583" s="1"/>
      <c r="E583" s="1"/>
    </row>
    <row r="584" spans="1:5" ht="16">
      <c r="A584" s="1" t="s">
        <v>751</v>
      </c>
      <c r="B584" s="1" t="s">
        <v>332</v>
      </c>
      <c r="C584" s="1" t="s">
        <v>229</v>
      </c>
      <c r="D584" s="1"/>
      <c r="E584" s="1"/>
    </row>
    <row r="585" spans="1:5" ht="16">
      <c r="A585" s="1" t="s">
        <v>622</v>
      </c>
      <c r="B585" s="1" t="s">
        <v>752</v>
      </c>
      <c r="C585" s="1"/>
      <c r="D585" s="1"/>
      <c r="E585" s="1"/>
    </row>
    <row r="586" spans="1:5" ht="16">
      <c r="A586" s="1" t="s">
        <v>753</v>
      </c>
      <c r="B586" s="1" t="s">
        <v>332</v>
      </c>
      <c r="C586" s="1" t="s">
        <v>229</v>
      </c>
      <c r="D586" s="1"/>
      <c r="E586" s="1"/>
    </row>
    <row r="587" spans="1:5" ht="16">
      <c r="A587" s="1" t="s">
        <v>622</v>
      </c>
      <c r="B587" s="1" t="s">
        <v>752</v>
      </c>
      <c r="C587" s="1"/>
      <c r="D587" s="1"/>
      <c r="E587" s="1"/>
    </row>
    <row r="588" spans="1:5" ht="16">
      <c r="A588" s="1" t="s">
        <v>754</v>
      </c>
      <c r="B588" s="1" t="s">
        <v>332</v>
      </c>
      <c r="C588" s="1" t="s">
        <v>229</v>
      </c>
      <c r="D588" s="1"/>
      <c r="E588" s="1"/>
    </row>
    <row r="589" spans="1:5" ht="16">
      <c r="A589" s="1" t="s">
        <v>622</v>
      </c>
      <c r="B589" s="1" t="s">
        <v>752</v>
      </c>
      <c r="C589" s="1"/>
      <c r="D589" s="1"/>
      <c r="E589" s="1"/>
    </row>
    <row r="590" spans="1:5" ht="16">
      <c r="A590" s="1" t="s">
        <v>755</v>
      </c>
      <c r="B590" s="1" t="s">
        <v>332</v>
      </c>
      <c r="C590" s="1" t="s">
        <v>229</v>
      </c>
      <c r="D590" s="1"/>
      <c r="E590" s="1"/>
    </row>
    <row r="591" spans="1:5" ht="16">
      <c r="A591" s="1" t="s">
        <v>622</v>
      </c>
      <c r="B591" s="1" t="s">
        <v>756</v>
      </c>
      <c r="C591" s="1"/>
      <c r="D591" s="1"/>
      <c r="E591" s="1"/>
    </row>
    <row r="592" spans="1:5" ht="16">
      <c r="A592" s="1" t="s">
        <v>757</v>
      </c>
      <c r="B592" s="1" t="s">
        <v>332</v>
      </c>
      <c r="C592" s="1" t="s">
        <v>229</v>
      </c>
      <c r="D592" s="1"/>
      <c r="E592" s="1"/>
    </row>
    <row r="593" spans="1:5" ht="16">
      <c r="A593" s="1" t="s">
        <v>622</v>
      </c>
      <c r="B593" s="1" t="s">
        <v>756</v>
      </c>
      <c r="C593" s="1"/>
      <c r="D593" s="1"/>
      <c r="E593" s="1"/>
    </row>
    <row r="594" spans="1:5" ht="16">
      <c r="A594" s="1" t="s">
        <v>758</v>
      </c>
      <c r="B594" s="1" t="s">
        <v>332</v>
      </c>
      <c r="C594" s="1" t="s">
        <v>229</v>
      </c>
      <c r="D594" s="1"/>
      <c r="E594" s="1"/>
    </row>
    <row r="595" spans="1:5" ht="16">
      <c r="A595" s="1" t="s">
        <v>622</v>
      </c>
      <c r="B595" s="1" t="s">
        <v>759</v>
      </c>
      <c r="C595" s="1"/>
      <c r="D595" s="1"/>
      <c r="E595" s="1"/>
    </row>
    <row r="596" spans="1:5" ht="16">
      <c r="A596" s="1" t="s">
        <v>760</v>
      </c>
      <c r="B596" s="1" t="s">
        <v>332</v>
      </c>
      <c r="C596" s="1" t="s">
        <v>229</v>
      </c>
      <c r="D596" s="1"/>
      <c r="E596" s="1"/>
    </row>
    <row r="597" spans="1:5" ht="16">
      <c r="A597" s="1" t="s">
        <v>622</v>
      </c>
      <c r="B597" s="1" t="s">
        <v>759</v>
      </c>
      <c r="C597" s="1"/>
      <c r="D597" s="1"/>
      <c r="E597" s="1"/>
    </row>
    <row r="598" spans="1:5" ht="16">
      <c r="A598" s="1" t="s">
        <v>761</v>
      </c>
      <c r="B598" s="1" t="s">
        <v>332</v>
      </c>
      <c r="C598" s="1" t="s">
        <v>229</v>
      </c>
      <c r="D598" s="1"/>
      <c r="E598" s="1"/>
    </row>
    <row r="599" spans="1:5" ht="16">
      <c r="A599" s="1" t="s">
        <v>622</v>
      </c>
      <c r="B599" s="1" t="s">
        <v>750</v>
      </c>
      <c r="C599" s="1"/>
      <c r="D599" s="1"/>
      <c r="E599" s="1"/>
    </row>
    <row r="600" spans="1:5" ht="16">
      <c r="A600" s="1" t="s">
        <v>762</v>
      </c>
      <c r="B600" s="1" t="s">
        <v>332</v>
      </c>
      <c r="C600" s="1" t="s">
        <v>229</v>
      </c>
      <c r="D600" s="1"/>
      <c r="E600" s="1"/>
    </row>
    <row r="601" spans="1:5" ht="16">
      <c r="A601" s="1" t="s">
        <v>622</v>
      </c>
      <c r="B601" s="1" t="s">
        <v>750</v>
      </c>
      <c r="C601" s="1"/>
      <c r="D601" s="1"/>
      <c r="E601" s="1"/>
    </row>
    <row r="602" spans="1:5" ht="16">
      <c r="A602" s="1" t="s">
        <v>763</v>
      </c>
      <c r="B602" s="1" t="s">
        <v>332</v>
      </c>
      <c r="C602" s="1" t="s">
        <v>229</v>
      </c>
      <c r="D602" s="1"/>
      <c r="E602" s="1"/>
    </row>
    <row r="603" spans="1:5" ht="16">
      <c r="A603" s="1" t="s">
        <v>622</v>
      </c>
      <c r="B603" s="1" t="s">
        <v>764</v>
      </c>
      <c r="C603" s="1"/>
      <c r="D603" s="1"/>
      <c r="E603" s="1"/>
    </row>
    <row r="604" spans="1:5" ht="16">
      <c r="A604" s="1" t="s">
        <v>765</v>
      </c>
      <c r="B604" s="1" t="s">
        <v>332</v>
      </c>
      <c r="C604" s="1" t="s">
        <v>229</v>
      </c>
      <c r="D604" s="1"/>
      <c r="E604" s="1"/>
    </row>
    <row r="605" spans="1:5" ht="16">
      <c r="A605" s="1" t="s">
        <v>622</v>
      </c>
      <c r="B605" s="1" t="s">
        <v>764</v>
      </c>
      <c r="C605" s="1"/>
      <c r="D605" s="1"/>
      <c r="E605" s="1"/>
    </row>
    <row r="606" spans="1:5" ht="16">
      <c r="A606" s="1" t="s">
        <v>766</v>
      </c>
      <c r="B606" s="1" t="s">
        <v>332</v>
      </c>
      <c r="C606" s="1" t="s">
        <v>229</v>
      </c>
      <c r="D606" s="1"/>
      <c r="E606" s="1"/>
    </row>
    <row r="607" spans="1:5" ht="16">
      <c r="A607" s="1" t="s">
        <v>622</v>
      </c>
      <c r="B607" s="1" t="s">
        <v>767</v>
      </c>
      <c r="C607" s="1"/>
      <c r="D607" s="1"/>
      <c r="E607" s="1"/>
    </row>
    <row r="608" spans="1:5" ht="16">
      <c r="A608" s="1" t="s">
        <v>768</v>
      </c>
      <c r="B608" s="1" t="s">
        <v>332</v>
      </c>
      <c r="C608" s="1" t="s">
        <v>229</v>
      </c>
      <c r="D608" s="1"/>
      <c r="E608" s="1"/>
    </row>
    <row r="609" spans="1:5" ht="16">
      <c r="A609" s="1" t="s">
        <v>622</v>
      </c>
      <c r="B609" s="1" t="s">
        <v>767</v>
      </c>
      <c r="C609" s="1"/>
      <c r="D609" s="1"/>
      <c r="E609" s="1"/>
    </row>
    <row r="610" spans="1:5" ht="16">
      <c r="A610" s="1" t="s">
        <v>769</v>
      </c>
      <c r="B610" s="1" t="s">
        <v>332</v>
      </c>
      <c r="C610" s="1" t="s">
        <v>229</v>
      </c>
      <c r="D610" s="1"/>
      <c r="E610" s="1"/>
    </row>
    <row r="611" spans="1:5" ht="16">
      <c r="A611" s="1" t="s">
        <v>622</v>
      </c>
      <c r="B611" s="1" t="s">
        <v>770</v>
      </c>
      <c r="C611" s="1" t="s">
        <v>334</v>
      </c>
      <c r="D611" s="1" t="s">
        <v>229</v>
      </c>
      <c r="E611" s="1"/>
    </row>
    <row r="612" spans="1:5" ht="16">
      <c r="A612" s="1" t="s">
        <v>622</v>
      </c>
      <c r="B612" s="1" t="s">
        <v>771</v>
      </c>
      <c r="C612" s="1" t="s">
        <v>334</v>
      </c>
      <c r="D612" s="1" t="s">
        <v>229</v>
      </c>
      <c r="E612" s="1"/>
    </row>
    <row r="613" spans="1:5" ht="16">
      <c r="A613" s="1" t="s">
        <v>622</v>
      </c>
      <c r="B613" s="1" t="s">
        <v>772</v>
      </c>
      <c r="C613" s="1" t="s">
        <v>334</v>
      </c>
      <c r="D613" s="1" t="s">
        <v>229</v>
      </c>
      <c r="E613" s="1"/>
    </row>
    <row r="614" spans="1:5" ht="16">
      <c r="A614" s="1" t="s">
        <v>622</v>
      </c>
      <c r="B614" s="1" t="s">
        <v>773</v>
      </c>
      <c r="C614" s="1" t="s">
        <v>334</v>
      </c>
      <c r="D614" s="1" t="s">
        <v>229</v>
      </c>
      <c r="E614" s="1"/>
    </row>
    <row r="615" spans="1:5" ht="16">
      <c r="A615" s="1" t="s">
        <v>622</v>
      </c>
      <c r="B615" s="1" t="s">
        <v>774</v>
      </c>
      <c r="C615" s="1" t="s">
        <v>332</v>
      </c>
      <c r="D615" s="1" t="s">
        <v>229</v>
      </c>
      <c r="E615" s="1"/>
    </row>
    <row r="616" spans="1:5" ht="16">
      <c r="A616" s="1" t="s">
        <v>622</v>
      </c>
      <c r="B616" s="1" t="s">
        <v>775</v>
      </c>
      <c r="C616" s="1" t="s">
        <v>332</v>
      </c>
      <c r="D616" s="1" t="s">
        <v>229</v>
      </c>
      <c r="E616" s="1"/>
    </row>
    <row r="617" spans="1:5" ht="16">
      <c r="A617" s="1" t="s">
        <v>622</v>
      </c>
      <c r="B617" s="1" t="s">
        <v>776</v>
      </c>
      <c r="C617" s="1" t="s">
        <v>332</v>
      </c>
      <c r="D617" s="1" t="s">
        <v>229</v>
      </c>
      <c r="E617" s="1"/>
    </row>
    <row r="618" spans="1:5" ht="16">
      <c r="A618" s="1" t="s">
        <v>622</v>
      </c>
      <c r="B618" s="1" t="s">
        <v>777</v>
      </c>
      <c r="C618" s="1" t="s">
        <v>332</v>
      </c>
      <c r="D618" s="1" t="s">
        <v>229</v>
      </c>
      <c r="E618" s="1"/>
    </row>
    <row r="619" spans="1:5" ht="16">
      <c r="A619" s="1" t="s">
        <v>622</v>
      </c>
      <c r="B619" s="1" t="s">
        <v>778</v>
      </c>
      <c r="C619" s="1" t="s">
        <v>332</v>
      </c>
      <c r="D619" s="1" t="s">
        <v>229</v>
      </c>
      <c r="E619" s="1"/>
    </row>
    <row r="620" spans="1:5" ht="16">
      <c r="A620" s="1" t="s">
        <v>622</v>
      </c>
      <c r="B620" s="1" t="s">
        <v>779</v>
      </c>
      <c r="C620" s="1" t="s">
        <v>332</v>
      </c>
      <c r="D620" s="1" t="s">
        <v>229</v>
      </c>
      <c r="E620" s="1"/>
    </row>
    <row r="621" spans="1:5" ht="16">
      <c r="A621" s="1" t="s">
        <v>622</v>
      </c>
      <c r="B621" s="1" t="s">
        <v>780</v>
      </c>
      <c r="C621" s="1" t="s">
        <v>364</v>
      </c>
      <c r="D621" s="1" t="s">
        <v>229</v>
      </c>
      <c r="E621" s="1"/>
    </row>
    <row r="622" spans="1:5" ht="16">
      <c r="A622" s="1" t="s">
        <v>622</v>
      </c>
      <c r="B622" s="1" t="s">
        <v>781</v>
      </c>
      <c r="C622" s="1" t="s">
        <v>228</v>
      </c>
      <c r="D622" s="1" t="s">
        <v>229</v>
      </c>
      <c r="E622" s="1"/>
    </row>
    <row r="623" spans="1:5" ht="16">
      <c r="A623" s="1" t="s">
        <v>622</v>
      </c>
      <c r="B623" s="1" t="s">
        <v>782</v>
      </c>
      <c r="C623" s="1" t="s">
        <v>307</v>
      </c>
      <c r="D623" s="1" t="s">
        <v>229</v>
      </c>
      <c r="E623" s="1"/>
    </row>
    <row r="624" spans="1:5" ht="16">
      <c r="A624" s="1" t="s">
        <v>622</v>
      </c>
      <c r="B624" s="1" t="s">
        <v>783</v>
      </c>
      <c r="C624" s="1" t="s">
        <v>307</v>
      </c>
      <c r="D624" s="1" t="s">
        <v>229</v>
      </c>
      <c r="E624" s="1"/>
    </row>
    <row r="625" spans="1:5" ht="16">
      <c r="A625" s="1" t="s">
        <v>622</v>
      </c>
      <c r="B625" s="1" t="s">
        <v>784</v>
      </c>
      <c r="C625" s="1" t="s">
        <v>307</v>
      </c>
      <c r="D625" s="1" t="s">
        <v>229</v>
      </c>
      <c r="E625" s="1"/>
    </row>
    <row r="626" spans="1:5" ht="16">
      <c r="A626" s="1" t="s">
        <v>622</v>
      </c>
      <c r="B626" s="1" t="s">
        <v>785</v>
      </c>
      <c r="C626" s="1" t="s">
        <v>307</v>
      </c>
      <c r="D626" s="1" t="s">
        <v>229</v>
      </c>
      <c r="E626" s="1"/>
    </row>
    <row r="627" spans="1:5" ht="16">
      <c r="A627" s="1" t="s">
        <v>622</v>
      </c>
      <c r="B627" s="1" t="s">
        <v>786</v>
      </c>
      <c r="C627" s="1" t="s">
        <v>334</v>
      </c>
      <c r="D627" s="1" t="s">
        <v>355</v>
      </c>
      <c r="E627" s="1"/>
    </row>
    <row r="628" spans="1:5" ht="16">
      <c r="A628" s="1" t="s">
        <v>622</v>
      </c>
      <c r="B628" s="1" t="s">
        <v>787</v>
      </c>
      <c r="C628" s="1" t="s">
        <v>334</v>
      </c>
      <c r="D628" s="1" t="s">
        <v>355</v>
      </c>
      <c r="E628" s="1"/>
    </row>
    <row r="629" spans="1:5" ht="16">
      <c r="A629" s="1" t="s">
        <v>622</v>
      </c>
      <c r="B629" s="1" t="s">
        <v>788</v>
      </c>
      <c r="C629" s="1" t="s">
        <v>334</v>
      </c>
      <c r="D629" s="1" t="s">
        <v>355</v>
      </c>
      <c r="E629" s="1"/>
    </row>
    <row r="630" spans="1:5" ht="16">
      <c r="A630" s="1" t="s">
        <v>622</v>
      </c>
      <c r="B630" s="1" t="s">
        <v>789</v>
      </c>
      <c r="C630" s="1" t="s">
        <v>334</v>
      </c>
      <c r="D630" s="1" t="s">
        <v>355</v>
      </c>
      <c r="E630" s="1"/>
    </row>
    <row r="631" spans="1:5" ht="16">
      <c r="A631" s="1" t="s">
        <v>622</v>
      </c>
      <c r="B631" s="1" t="s">
        <v>790</v>
      </c>
      <c r="C631" s="1" t="s">
        <v>334</v>
      </c>
      <c r="D631" s="1" t="s">
        <v>355</v>
      </c>
      <c r="E631" s="1"/>
    </row>
    <row r="632" spans="1:5" ht="16">
      <c r="A632" s="1" t="s">
        <v>622</v>
      </c>
      <c r="B632" s="1" t="s">
        <v>791</v>
      </c>
      <c r="C632" s="1" t="s">
        <v>334</v>
      </c>
      <c r="D632" s="1" t="s">
        <v>355</v>
      </c>
      <c r="E632" s="1"/>
    </row>
    <row r="633" spans="1:5" ht="16">
      <c r="A633" s="1" t="s">
        <v>622</v>
      </c>
      <c r="B633" s="1" t="s">
        <v>792</v>
      </c>
      <c r="C633" s="1" t="s">
        <v>334</v>
      </c>
      <c r="D633" s="1" t="s">
        <v>229</v>
      </c>
      <c r="E633" s="1"/>
    </row>
    <row r="634" spans="1:5" ht="16">
      <c r="A634" s="1" t="s">
        <v>622</v>
      </c>
      <c r="B634" s="1" t="s">
        <v>792</v>
      </c>
      <c r="C634" s="1" t="s">
        <v>334</v>
      </c>
      <c r="D634" s="1" t="s">
        <v>229</v>
      </c>
      <c r="E634" s="1"/>
    </row>
    <row r="635" spans="1:5" ht="16">
      <c r="A635" s="1" t="s">
        <v>622</v>
      </c>
      <c r="B635" s="1" t="s">
        <v>793</v>
      </c>
      <c r="C635" s="1" t="s">
        <v>265</v>
      </c>
      <c r="D635" s="1" t="s">
        <v>229</v>
      </c>
      <c r="E635" s="1"/>
    </row>
    <row r="636" spans="1:5" ht="16">
      <c r="A636" s="1" t="s">
        <v>622</v>
      </c>
      <c r="B636" s="1" t="s">
        <v>794</v>
      </c>
      <c r="C636" s="1" t="s">
        <v>265</v>
      </c>
      <c r="D636" s="1" t="s">
        <v>229</v>
      </c>
      <c r="E636" s="1"/>
    </row>
    <row r="637" spans="1:5" ht="16">
      <c r="A637" s="1" t="s">
        <v>622</v>
      </c>
      <c r="B637" s="1" t="s">
        <v>795</v>
      </c>
      <c r="C637" s="1" t="s">
        <v>265</v>
      </c>
      <c r="D637" s="1" t="s">
        <v>229</v>
      </c>
      <c r="E637" s="1"/>
    </row>
    <row r="638" spans="1:5" ht="16">
      <c r="A638" s="1" t="s">
        <v>622</v>
      </c>
      <c r="B638" s="1" t="s">
        <v>796</v>
      </c>
      <c r="C638" s="1"/>
      <c r="D638" s="1"/>
      <c r="E638" s="1"/>
    </row>
    <row r="639" spans="1:5" ht="16">
      <c r="A639" s="1" t="s">
        <v>797</v>
      </c>
      <c r="B639" s="1" t="s">
        <v>332</v>
      </c>
      <c r="C639" s="1" t="s">
        <v>229</v>
      </c>
      <c r="D639" s="1"/>
      <c r="E639" s="1"/>
    </row>
    <row r="640" spans="1:5" ht="16">
      <c r="A640" s="1" t="s">
        <v>622</v>
      </c>
      <c r="B640" s="1" t="s">
        <v>798</v>
      </c>
      <c r="C640" s="1"/>
      <c r="D640" s="1"/>
      <c r="E640" s="1"/>
    </row>
    <row r="641" spans="1:5" ht="16">
      <c r="A641" s="1" t="s">
        <v>799</v>
      </c>
      <c r="B641" s="1" t="s">
        <v>332</v>
      </c>
      <c r="C641" s="1" t="s">
        <v>229</v>
      </c>
      <c r="D641" s="1"/>
      <c r="E641" s="1"/>
    </row>
    <row r="642" spans="1:5" ht="16">
      <c r="A642" s="1" t="s">
        <v>622</v>
      </c>
      <c r="B642" s="1" t="s">
        <v>800</v>
      </c>
      <c r="C642" s="1"/>
      <c r="D642" s="1"/>
      <c r="E642" s="1"/>
    </row>
    <row r="643" spans="1:5" ht="16">
      <c r="A643" s="1" t="s">
        <v>801</v>
      </c>
      <c r="B643" s="1" t="s">
        <v>332</v>
      </c>
      <c r="C643" s="1" t="s">
        <v>229</v>
      </c>
      <c r="D643" s="1"/>
      <c r="E643" s="1"/>
    </row>
    <row r="644" spans="1:5" ht="16">
      <c r="A644" s="1" t="s">
        <v>622</v>
      </c>
      <c r="B644" s="1" t="s">
        <v>802</v>
      </c>
      <c r="C644" s="1"/>
      <c r="D644" s="1"/>
      <c r="E644" s="1"/>
    </row>
    <row r="645" spans="1:5" ht="16">
      <c r="A645" s="1" t="s">
        <v>803</v>
      </c>
      <c r="B645" s="1" t="s">
        <v>332</v>
      </c>
      <c r="C645" s="1" t="s">
        <v>229</v>
      </c>
      <c r="D645" s="1"/>
      <c r="E645" s="1"/>
    </row>
    <row r="646" spans="1:5" ht="16">
      <c r="A646" s="1" t="s">
        <v>622</v>
      </c>
      <c r="B646" s="1" t="s">
        <v>804</v>
      </c>
      <c r="C646" s="1"/>
      <c r="D646" s="1"/>
      <c r="E646" s="1"/>
    </row>
    <row r="647" spans="1:5" ht="16">
      <c r="A647" s="1" t="s">
        <v>805</v>
      </c>
      <c r="B647" s="1" t="s">
        <v>332</v>
      </c>
      <c r="C647" s="1" t="s">
        <v>229</v>
      </c>
      <c r="D647" s="1"/>
      <c r="E647" s="1"/>
    </row>
    <row r="648" spans="1:5" ht="16">
      <c r="A648" s="1" t="s">
        <v>622</v>
      </c>
      <c r="B648" s="1" t="s">
        <v>806</v>
      </c>
      <c r="C648" s="1"/>
      <c r="D648" s="1"/>
      <c r="E648" s="1"/>
    </row>
    <row r="649" spans="1:5" ht="16">
      <c r="A649" s="1" t="s">
        <v>807</v>
      </c>
      <c r="B649" s="1" t="s">
        <v>332</v>
      </c>
      <c r="C649" s="1" t="s">
        <v>229</v>
      </c>
      <c r="D649" s="1"/>
      <c r="E649" s="1"/>
    </row>
    <row r="650" spans="1:5" ht="16">
      <c r="A650" s="1" t="s">
        <v>622</v>
      </c>
      <c r="B650" s="1" t="s">
        <v>808</v>
      </c>
      <c r="C650" s="1" t="s">
        <v>624</v>
      </c>
      <c r="D650" s="1" t="s">
        <v>229</v>
      </c>
      <c r="E650" s="1"/>
    </row>
    <row r="651" spans="1:5" ht="16">
      <c r="A651" s="1" t="s">
        <v>622</v>
      </c>
      <c r="B651" s="1" t="s">
        <v>809</v>
      </c>
      <c r="C651" s="1" t="s">
        <v>624</v>
      </c>
      <c r="D651" s="1" t="s">
        <v>229</v>
      </c>
      <c r="E651" s="1"/>
    </row>
    <row r="652" spans="1:5" ht="16">
      <c r="A652" s="1" t="s">
        <v>622</v>
      </c>
      <c r="B652" s="1" t="s">
        <v>808</v>
      </c>
      <c r="C652" s="1" t="s">
        <v>334</v>
      </c>
      <c r="D652" s="1" t="s">
        <v>229</v>
      </c>
      <c r="E652" s="1"/>
    </row>
    <row r="653" spans="1:5" ht="16">
      <c r="A653" s="1" t="s">
        <v>622</v>
      </c>
      <c r="B653" s="1" t="s">
        <v>809</v>
      </c>
      <c r="C653" s="1" t="s">
        <v>334</v>
      </c>
      <c r="D653" s="1" t="s">
        <v>229</v>
      </c>
      <c r="E653" s="1"/>
    </row>
    <row r="654" spans="1:5" ht="16">
      <c r="A654" s="1" t="s">
        <v>622</v>
      </c>
      <c r="B654" s="1" t="s">
        <v>810</v>
      </c>
      <c r="C654" s="1" t="s">
        <v>332</v>
      </c>
      <c r="D654" s="1" t="s">
        <v>229</v>
      </c>
      <c r="E654" s="1"/>
    </row>
    <row r="655" spans="1:5" ht="16">
      <c r="A655" s="1" t="s">
        <v>622</v>
      </c>
      <c r="B655" s="1" t="s">
        <v>811</v>
      </c>
      <c r="C655" s="1" t="s">
        <v>332</v>
      </c>
      <c r="D655" s="1" t="s">
        <v>229</v>
      </c>
      <c r="E655" s="1"/>
    </row>
    <row r="656" spans="1:5" ht="16">
      <c r="A656" s="1" t="s">
        <v>622</v>
      </c>
      <c r="B656" s="1" t="s">
        <v>812</v>
      </c>
      <c r="C656" s="1" t="s">
        <v>332</v>
      </c>
      <c r="D656" s="1" t="s">
        <v>229</v>
      </c>
      <c r="E656" s="1"/>
    </row>
    <row r="657" spans="1:5" ht="16">
      <c r="A657" s="1" t="s">
        <v>622</v>
      </c>
      <c r="B657" s="1" t="s">
        <v>813</v>
      </c>
      <c r="C657" s="1" t="s">
        <v>332</v>
      </c>
      <c r="D657" s="1" t="s">
        <v>229</v>
      </c>
      <c r="E657" s="1"/>
    </row>
    <row r="658" spans="1:5" ht="16">
      <c r="A658" s="1" t="s">
        <v>622</v>
      </c>
      <c r="B658" s="1" t="s">
        <v>814</v>
      </c>
      <c r="C658" s="1" t="s">
        <v>332</v>
      </c>
      <c r="D658" s="1" t="s">
        <v>229</v>
      </c>
      <c r="E658" s="1"/>
    </row>
    <row r="659" spans="1:5" ht="16">
      <c r="A659" s="1" t="s">
        <v>622</v>
      </c>
      <c r="B659" s="1" t="s">
        <v>815</v>
      </c>
      <c r="C659" s="1" t="s">
        <v>624</v>
      </c>
      <c r="D659" s="1" t="s">
        <v>229</v>
      </c>
      <c r="E659" s="1"/>
    </row>
    <row r="660" spans="1:5" ht="16">
      <c r="A660" s="1" t="s">
        <v>622</v>
      </c>
      <c r="B660" s="1" t="s">
        <v>815</v>
      </c>
      <c r="C660" s="1" t="s">
        <v>334</v>
      </c>
      <c r="D660" s="1" t="s">
        <v>229</v>
      </c>
      <c r="E660" s="1"/>
    </row>
    <row r="661" spans="1:5" ht="16">
      <c r="A661" s="1" t="s">
        <v>622</v>
      </c>
      <c r="B661" s="1" t="s">
        <v>816</v>
      </c>
      <c r="C661" s="1" t="s">
        <v>334</v>
      </c>
      <c r="D661" s="1" t="s">
        <v>229</v>
      </c>
      <c r="E661" s="1"/>
    </row>
    <row r="662" spans="1:5" ht="16">
      <c r="A662" s="1" t="s">
        <v>622</v>
      </c>
      <c r="B662" s="1" t="s">
        <v>816</v>
      </c>
      <c r="C662" s="1" t="s">
        <v>624</v>
      </c>
      <c r="D662" s="1" t="s">
        <v>229</v>
      </c>
      <c r="E662" s="1"/>
    </row>
    <row r="663" spans="1:5" ht="16">
      <c r="A663" s="1" t="s">
        <v>622</v>
      </c>
      <c r="B663" s="1" t="s">
        <v>817</v>
      </c>
      <c r="C663" s="1" t="s">
        <v>332</v>
      </c>
      <c r="D663" s="1" t="s">
        <v>229</v>
      </c>
      <c r="E663" s="1"/>
    </row>
    <row r="664" spans="1:5" ht="16">
      <c r="A664" s="1" t="s">
        <v>622</v>
      </c>
      <c r="B664" s="1" t="s">
        <v>818</v>
      </c>
      <c r="C664" s="1" t="s">
        <v>332</v>
      </c>
      <c r="D664" s="1" t="s">
        <v>229</v>
      </c>
      <c r="E664" s="1"/>
    </row>
    <row r="665" spans="1:5" ht="16">
      <c r="A665" s="1" t="s">
        <v>622</v>
      </c>
      <c r="B665" s="1" t="s">
        <v>819</v>
      </c>
      <c r="C665" s="1" t="s">
        <v>334</v>
      </c>
      <c r="D665" s="1" t="s">
        <v>229</v>
      </c>
      <c r="E665" s="1"/>
    </row>
    <row r="666" spans="1:5" ht="16">
      <c r="A666" s="1" t="s">
        <v>622</v>
      </c>
      <c r="B666" s="1" t="s">
        <v>819</v>
      </c>
      <c r="C666" s="1" t="s">
        <v>624</v>
      </c>
      <c r="D666" s="1" t="s">
        <v>229</v>
      </c>
      <c r="E666" s="1"/>
    </row>
    <row r="667" spans="1:5" ht="16">
      <c r="A667" s="1" t="s">
        <v>622</v>
      </c>
      <c r="B667" s="1" t="s">
        <v>820</v>
      </c>
      <c r="C667" s="1" t="s">
        <v>334</v>
      </c>
      <c r="D667" s="1" t="s">
        <v>355</v>
      </c>
      <c r="E667" s="1"/>
    </row>
    <row r="668" spans="1:5" ht="16">
      <c r="A668" s="1" t="s">
        <v>622</v>
      </c>
      <c r="B668" s="1" t="s">
        <v>821</v>
      </c>
      <c r="C668" s="1" t="s">
        <v>334</v>
      </c>
      <c r="D668" s="1" t="s">
        <v>229</v>
      </c>
      <c r="E668" s="1"/>
    </row>
    <row r="669" spans="1:5" ht="16">
      <c r="A669" s="1" t="s">
        <v>622</v>
      </c>
      <c r="B669" s="1" t="s">
        <v>822</v>
      </c>
      <c r="C669" s="1" t="s">
        <v>334</v>
      </c>
      <c r="D669" s="1" t="s">
        <v>229</v>
      </c>
      <c r="E669" s="1"/>
    </row>
    <row r="670" spans="1:5" ht="16">
      <c r="A670" s="1" t="s">
        <v>622</v>
      </c>
      <c r="B670" s="1" t="s">
        <v>823</v>
      </c>
      <c r="C670" s="1" t="s">
        <v>334</v>
      </c>
      <c r="D670" s="1" t="s">
        <v>229</v>
      </c>
      <c r="E670" s="1"/>
    </row>
    <row r="671" spans="1:5" ht="16">
      <c r="A671" s="1" t="s">
        <v>622</v>
      </c>
      <c r="B671" s="1" t="s">
        <v>824</v>
      </c>
      <c r="C671" s="1" t="s">
        <v>334</v>
      </c>
      <c r="D671" s="1" t="s">
        <v>229</v>
      </c>
      <c r="E671" s="1"/>
    </row>
    <row r="672" spans="1:5" ht="16">
      <c r="A672" s="1" t="s">
        <v>622</v>
      </c>
      <c r="B672" s="1" t="s">
        <v>821</v>
      </c>
      <c r="C672" s="1" t="s">
        <v>624</v>
      </c>
      <c r="D672" s="1" t="s">
        <v>229</v>
      </c>
      <c r="E672" s="1"/>
    </row>
    <row r="673" spans="1:5" ht="16">
      <c r="A673" s="1" t="s">
        <v>622</v>
      </c>
      <c r="B673" s="1" t="s">
        <v>822</v>
      </c>
      <c r="C673" s="1" t="s">
        <v>624</v>
      </c>
      <c r="D673" s="1" t="s">
        <v>229</v>
      </c>
      <c r="E673" s="1"/>
    </row>
    <row r="674" spans="1:5" ht="16">
      <c r="A674" s="1" t="s">
        <v>622</v>
      </c>
      <c r="B674" s="1" t="s">
        <v>823</v>
      </c>
      <c r="C674" s="1" t="s">
        <v>624</v>
      </c>
      <c r="D674" s="1" t="s">
        <v>229</v>
      </c>
      <c r="E674" s="1"/>
    </row>
    <row r="675" spans="1:5" ht="16">
      <c r="A675" s="1" t="s">
        <v>622</v>
      </c>
      <c r="B675" s="1" t="s">
        <v>824</v>
      </c>
      <c r="C675" s="1" t="s">
        <v>624</v>
      </c>
      <c r="D675" s="1" t="s">
        <v>229</v>
      </c>
      <c r="E675" s="1"/>
    </row>
    <row r="676" spans="1:5" ht="16">
      <c r="A676" s="1" t="s">
        <v>622</v>
      </c>
      <c r="B676" s="1" t="s">
        <v>825</v>
      </c>
      <c r="C676" s="1" t="s">
        <v>334</v>
      </c>
      <c r="D676" s="1" t="s">
        <v>229</v>
      </c>
      <c r="E676" s="1"/>
    </row>
    <row r="677" spans="1:5" ht="16">
      <c r="A677" s="1" t="s">
        <v>622</v>
      </c>
      <c r="B677" s="1" t="s">
        <v>826</v>
      </c>
      <c r="C677" s="1" t="s">
        <v>334</v>
      </c>
      <c r="D677" s="1" t="s">
        <v>229</v>
      </c>
      <c r="E677" s="1"/>
    </row>
    <row r="678" spans="1:5" ht="16">
      <c r="A678" s="1" t="s">
        <v>622</v>
      </c>
      <c r="B678" s="1" t="s">
        <v>827</v>
      </c>
      <c r="C678" s="1" t="s">
        <v>334</v>
      </c>
      <c r="D678" s="1" t="s">
        <v>229</v>
      </c>
      <c r="E678" s="1"/>
    </row>
    <row r="679" spans="1:5" ht="16">
      <c r="A679" s="1" t="s">
        <v>622</v>
      </c>
      <c r="B679" s="1" t="s">
        <v>828</v>
      </c>
      <c r="C679" s="1" t="s">
        <v>624</v>
      </c>
      <c r="D679" s="1" t="s">
        <v>229</v>
      </c>
      <c r="E679" s="1"/>
    </row>
    <row r="680" spans="1:5" ht="16">
      <c r="A680" s="1" t="s">
        <v>622</v>
      </c>
      <c r="B680" s="1" t="s">
        <v>828</v>
      </c>
      <c r="C680" s="1" t="s">
        <v>334</v>
      </c>
      <c r="D680" s="1" t="s">
        <v>229</v>
      </c>
      <c r="E680" s="1"/>
    </row>
    <row r="681" spans="1:5" ht="16">
      <c r="A681" s="1" t="s">
        <v>622</v>
      </c>
      <c r="B681" s="1" t="s">
        <v>829</v>
      </c>
      <c r="C681" s="1" t="s">
        <v>364</v>
      </c>
      <c r="D681" s="1" t="s">
        <v>355</v>
      </c>
      <c r="E681" s="1"/>
    </row>
    <row r="682" spans="1:5" ht="16">
      <c r="A682" s="1" t="s">
        <v>622</v>
      </c>
      <c r="B682" s="1" t="s">
        <v>830</v>
      </c>
      <c r="C682" s="1" t="s">
        <v>364</v>
      </c>
      <c r="D682" s="1" t="s">
        <v>355</v>
      </c>
      <c r="E682" s="1"/>
    </row>
    <row r="683" spans="1:5" ht="16">
      <c r="A683" s="1" t="s">
        <v>622</v>
      </c>
      <c r="B683" s="1" t="s">
        <v>831</v>
      </c>
      <c r="C683" s="1" t="s">
        <v>364</v>
      </c>
      <c r="D683" s="1" t="s">
        <v>355</v>
      </c>
      <c r="E683" s="1"/>
    </row>
    <row r="684" spans="1:5" ht="16">
      <c r="A684" s="1" t="s">
        <v>622</v>
      </c>
      <c r="B684" s="1" t="s">
        <v>822</v>
      </c>
      <c r="C684" s="1" t="s">
        <v>624</v>
      </c>
      <c r="D684" s="1" t="s">
        <v>229</v>
      </c>
      <c r="E684" s="1"/>
    </row>
    <row r="685" spans="1:5" ht="16">
      <c r="A685" s="1" t="s">
        <v>622</v>
      </c>
      <c r="B685" s="1" t="s">
        <v>832</v>
      </c>
      <c r="C685" s="1" t="s">
        <v>334</v>
      </c>
      <c r="D685" s="1" t="s">
        <v>355</v>
      </c>
      <c r="E685" s="1"/>
    </row>
    <row r="686" spans="1:5" ht="16">
      <c r="A686" s="1" t="s">
        <v>622</v>
      </c>
      <c r="B686" s="1" t="s">
        <v>833</v>
      </c>
      <c r="C686" s="1" t="s">
        <v>332</v>
      </c>
      <c r="D686" s="1" t="s">
        <v>229</v>
      </c>
      <c r="E686" s="1"/>
    </row>
    <row r="687" spans="1:5" ht="16">
      <c r="A687" s="1" t="s">
        <v>622</v>
      </c>
      <c r="B687" s="1" t="s">
        <v>834</v>
      </c>
      <c r="C687" s="1" t="s">
        <v>332</v>
      </c>
      <c r="D687" s="1" t="s">
        <v>229</v>
      </c>
      <c r="E687" s="1"/>
    </row>
    <row r="688" spans="1:5" ht="16">
      <c r="A688" s="1" t="s">
        <v>622</v>
      </c>
      <c r="B688" s="1" t="s">
        <v>835</v>
      </c>
      <c r="C688" s="1"/>
      <c r="D688" s="1"/>
      <c r="E688" s="1"/>
    </row>
    <row r="689" spans="1:5" ht="16">
      <c r="A689" s="174" t="s">
        <v>836</v>
      </c>
      <c r="B689" s="175"/>
      <c r="C689" s="1"/>
      <c r="D689" s="1"/>
      <c r="E689" s="1"/>
    </row>
    <row r="690" spans="1:5" ht="16">
      <c r="A690" s="1" t="s">
        <v>837</v>
      </c>
      <c r="B690" s="1" t="s">
        <v>332</v>
      </c>
      <c r="C690" s="1" t="s">
        <v>229</v>
      </c>
      <c r="D690" s="1"/>
      <c r="E690" s="1"/>
    </row>
    <row r="691" spans="1:5" ht="16">
      <c r="A691" s="1" t="s">
        <v>622</v>
      </c>
      <c r="B691" s="1" t="s">
        <v>838</v>
      </c>
      <c r="C691" s="1"/>
      <c r="D691" s="1"/>
      <c r="E691" s="1"/>
    </row>
    <row r="692" spans="1:5" ht="16">
      <c r="A692" s="174" t="s">
        <v>839</v>
      </c>
      <c r="B692" s="175"/>
      <c r="C692" s="1"/>
      <c r="D692" s="1"/>
      <c r="E692" s="1"/>
    </row>
    <row r="693" spans="1:5" ht="16">
      <c r="A693" s="1" t="s">
        <v>840</v>
      </c>
      <c r="B693" s="1" t="s">
        <v>332</v>
      </c>
      <c r="C693" s="1" t="s">
        <v>229</v>
      </c>
      <c r="D693" s="1"/>
      <c r="E693" s="1"/>
    </row>
    <row r="694" spans="1:5" ht="16">
      <c r="A694" s="1" t="s">
        <v>622</v>
      </c>
      <c r="B694" s="1" t="s">
        <v>841</v>
      </c>
      <c r="C694" s="1"/>
      <c r="D694" s="1"/>
      <c r="E694" s="1"/>
    </row>
    <row r="695" spans="1:5" ht="16">
      <c r="A695" s="174" t="s">
        <v>842</v>
      </c>
      <c r="B695" s="175"/>
      <c r="C695" s="1"/>
      <c r="D695" s="1"/>
      <c r="E695" s="1"/>
    </row>
    <row r="696" spans="1:5" ht="16">
      <c r="A696" s="1" t="s">
        <v>843</v>
      </c>
      <c r="B696" s="1" t="s">
        <v>332</v>
      </c>
      <c r="C696" s="1" t="s">
        <v>229</v>
      </c>
      <c r="D696" s="1"/>
      <c r="E696" s="1"/>
    </row>
    <row r="697" spans="1:5" ht="16">
      <c r="A697" s="1" t="s">
        <v>622</v>
      </c>
      <c r="B697" s="1" t="s">
        <v>844</v>
      </c>
      <c r="C697" s="1"/>
      <c r="D697" s="1"/>
      <c r="E697" s="1"/>
    </row>
    <row r="698" spans="1:5" ht="16">
      <c r="A698" s="174" t="s">
        <v>845</v>
      </c>
      <c r="B698" s="175"/>
      <c r="C698" s="1"/>
      <c r="D698" s="1"/>
      <c r="E698" s="1"/>
    </row>
    <row r="699" spans="1:5" ht="16">
      <c r="A699" s="1" t="s">
        <v>846</v>
      </c>
      <c r="B699" s="1" t="s">
        <v>332</v>
      </c>
      <c r="C699" s="1" t="s">
        <v>229</v>
      </c>
      <c r="D699" s="1"/>
      <c r="E699" s="1"/>
    </row>
    <row r="700" spans="1:5" ht="16">
      <c r="A700" s="1" t="s">
        <v>622</v>
      </c>
      <c r="B700" s="1" t="s">
        <v>847</v>
      </c>
      <c r="C700" s="1"/>
      <c r="D700" s="1"/>
      <c r="E700" s="1"/>
    </row>
    <row r="701" spans="1:5" ht="16">
      <c r="A701" s="174" t="s">
        <v>848</v>
      </c>
      <c r="B701" s="175"/>
      <c r="C701" s="1"/>
      <c r="D701" s="1"/>
      <c r="E701" s="1"/>
    </row>
    <row r="702" spans="1:5" ht="16">
      <c r="A702" s="1" t="s">
        <v>849</v>
      </c>
      <c r="B702" s="1" t="s">
        <v>332</v>
      </c>
      <c r="C702" s="1" t="s">
        <v>229</v>
      </c>
      <c r="D702" s="1"/>
      <c r="E702" s="1"/>
    </row>
    <row r="703" spans="1:5" ht="16">
      <c r="A703" s="1" t="s">
        <v>622</v>
      </c>
      <c r="B703" s="1" t="s">
        <v>850</v>
      </c>
      <c r="C703" s="1"/>
      <c r="D703" s="1"/>
      <c r="E703" s="1"/>
    </row>
    <row r="704" spans="1:5" ht="16">
      <c r="A704" s="174" t="s">
        <v>851</v>
      </c>
      <c r="B704" s="175"/>
      <c r="C704" s="1"/>
      <c r="D704" s="1"/>
      <c r="E704" s="1"/>
    </row>
    <row r="705" spans="1:5" ht="16">
      <c r="A705" s="1" t="s">
        <v>852</v>
      </c>
      <c r="B705" s="1" t="s">
        <v>332</v>
      </c>
      <c r="C705" s="1" t="s">
        <v>229</v>
      </c>
      <c r="D705" s="1"/>
      <c r="E705" s="1"/>
    </row>
    <row r="706" spans="1:5" ht="16">
      <c r="A706" s="1" t="s">
        <v>622</v>
      </c>
      <c r="B706" s="1" t="s">
        <v>853</v>
      </c>
      <c r="C706" s="1"/>
      <c r="D706" s="1"/>
      <c r="E706" s="1"/>
    </row>
    <row r="707" spans="1:5" ht="16">
      <c r="A707" s="1" t="s">
        <v>854</v>
      </c>
      <c r="B707" s="1" t="s">
        <v>332</v>
      </c>
      <c r="C707" s="1" t="s">
        <v>229</v>
      </c>
      <c r="D707" s="1"/>
      <c r="E707" s="1"/>
    </row>
    <row r="708" spans="1:5" ht="16">
      <c r="A708" s="1" t="s">
        <v>622</v>
      </c>
      <c r="B708" s="1" t="s">
        <v>855</v>
      </c>
      <c r="C708" s="1" t="s">
        <v>332</v>
      </c>
      <c r="D708" s="1" t="s">
        <v>229</v>
      </c>
      <c r="E708" s="1"/>
    </row>
    <row r="709" spans="1:5" ht="16">
      <c r="A709" s="1" t="s">
        <v>622</v>
      </c>
      <c r="B709" s="1" t="s">
        <v>798</v>
      </c>
      <c r="C709" s="1"/>
      <c r="D709" s="1"/>
      <c r="E709" s="1"/>
    </row>
    <row r="710" spans="1:5" ht="16">
      <c r="A710" s="1" t="s">
        <v>799</v>
      </c>
      <c r="B710" s="1" t="s">
        <v>332</v>
      </c>
      <c r="C710" s="1" t="s">
        <v>229</v>
      </c>
      <c r="D710" s="1"/>
      <c r="E710" s="1"/>
    </row>
    <row r="711" spans="1:5" ht="16">
      <c r="A711" s="1" t="s">
        <v>622</v>
      </c>
      <c r="B711" s="1" t="s">
        <v>800</v>
      </c>
      <c r="C711" s="1"/>
      <c r="D711" s="1"/>
      <c r="E711" s="1"/>
    </row>
    <row r="712" spans="1:5" ht="16">
      <c r="A712" s="1" t="s">
        <v>801</v>
      </c>
      <c r="B712" s="1" t="s">
        <v>332</v>
      </c>
      <c r="C712" s="1" t="s">
        <v>229</v>
      </c>
      <c r="D712" s="1"/>
      <c r="E712" s="1"/>
    </row>
    <row r="713" spans="1:5" ht="16">
      <c r="A713" s="1" t="s">
        <v>622</v>
      </c>
      <c r="B713" s="1" t="s">
        <v>856</v>
      </c>
      <c r="C713" s="1" t="s">
        <v>624</v>
      </c>
      <c r="D713" s="1" t="s">
        <v>229</v>
      </c>
      <c r="E713" s="1"/>
    </row>
    <row r="714" spans="1:5" ht="16">
      <c r="A714" s="1" t="s">
        <v>622</v>
      </c>
      <c r="B714" s="1" t="s">
        <v>857</v>
      </c>
      <c r="C714" s="1" t="s">
        <v>624</v>
      </c>
      <c r="D714" s="1" t="s">
        <v>229</v>
      </c>
      <c r="E714" s="1"/>
    </row>
    <row r="715" spans="1:5" ht="16">
      <c r="A715" s="1" t="s">
        <v>622</v>
      </c>
      <c r="B715" s="1" t="s">
        <v>856</v>
      </c>
      <c r="C715" s="1" t="s">
        <v>334</v>
      </c>
      <c r="D715" s="1" t="s">
        <v>229</v>
      </c>
      <c r="E715" s="1"/>
    </row>
    <row r="716" spans="1:5" ht="16">
      <c r="A716" s="1" t="s">
        <v>622</v>
      </c>
      <c r="B716" s="1" t="s">
        <v>857</v>
      </c>
      <c r="C716" s="1" t="s">
        <v>334</v>
      </c>
      <c r="D716" s="1" t="s">
        <v>229</v>
      </c>
      <c r="E716" s="1"/>
    </row>
    <row r="717" spans="1:5" ht="16">
      <c r="A717" s="1" t="s">
        <v>622</v>
      </c>
      <c r="B717" s="1" t="s">
        <v>858</v>
      </c>
      <c r="C717" s="1" t="s">
        <v>334</v>
      </c>
      <c r="D717" s="1" t="s">
        <v>229</v>
      </c>
      <c r="E717" s="1"/>
    </row>
    <row r="718" spans="1:5" ht="16">
      <c r="A718" s="1" t="s">
        <v>622</v>
      </c>
      <c r="B718" s="1" t="s">
        <v>859</v>
      </c>
      <c r="C718" s="1" t="s">
        <v>334</v>
      </c>
      <c r="D718" s="1" t="s">
        <v>229</v>
      </c>
      <c r="E718" s="1"/>
    </row>
    <row r="719" spans="1:5" ht="16">
      <c r="A719" s="1" t="s">
        <v>622</v>
      </c>
      <c r="B719" s="1" t="s">
        <v>860</v>
      </c>
      <c r="C719" s="1" t="s">
        <v>334</v>
      </c>
      <c r="D719" s="1" t="s">
        <v>229</v>
      </c>
      <c r="E719" s="1"/>
    </row>
    <row r="720" spans="1:5" ht="16">
      <c r="A720" s="1" t="s">
        <v>622</v>
      </c>
      <c r="B720" s="1" t="s">
        <v>861</v>
      </c>
      <c r="C720" s="1" t="s">
        <v>334</v>
      </c>
      <c r="D720" s="1" t="s">
        <v>229</v>
      </c>
      <c r="E720" s="1"/>
    </row>
    <row r="721" spans="1:5" ht="16">
      <c r="A721" s="1" t="s">
        <v>622</v>
      </c>
      <c r="B721" s="1" t="s">
        <v>862</v>
      </c>
      <c r="C721" s="1" t="s">
        <v>332</v>
      </c>
      <c r="D721" s="1" t="s">
        <v>229</v>
      </c>
      <c r="E721" s="1"/>
    </row>
    <row r="722" spans="1:5" ht="16">
      <c r="A722" s="1" t="s">
        <v>622</v>
      </c>
      <c r="B722" s="1" t="s">
        <v>863</v>
      </c>
      <c r="C722" s="1" t="s">
        <v>332</v>
      </c>
      <c r="D722" s="1" t="s">
        <v>229</v>
      </c>
      <c r="E722" s="1"/>
    </row>
    <row r="723" spans="1:5" ht="16">
      <c r="A723" s="1" t="s">
        <v>622</v>
      </c>
      <c r="B723" s="1" t="s">
        <v>864</v>
      </c>
      <c r="C723" s="1" t="s">
        <v>332</v>
      </c>
      <c r="D723" s="1" t="s">
        <v>229</v>
      </c>
      <c r="E723" s="1"/>
    </row>
    <row r="724" spans="1:5" ht="16">
      <c r="A724" s="1" t="s">
        <v>622</v>
      </c>
      <c r="B724" s="1" t="s">
        <v>865</v>
      </c>
      <c r="C724" s="1" t="s">
        <v>332</v>
      </c>
      <c r="D724" s="1" t="s">
        <v>229</v>
      </c>
      <c r="E724" s="1"/>
    </row>
    <row r="725" spans="1:5" ht="16">
      <c r="A725" s="1" t="s">
        <v>622</v>
      </c>
      <c r="B725" s="1" t="s">
        <v>866</v>
      </c>
      <c r="C725" s="1" t="s">
        <v>332</v>
      </c>
      <c r="D725" s="1" t="s">
        <v>229</v>
      </c>
      <c r="E725" s="1"/>
    </row>
    <row r="726" spans="1:5" ht="16">
      <c r="A726" s="1" t="s">
        <v>622</v>
      </c>
      <c r="B726" s="1" t="s">
        <v>867</v>
      </c>
      <c r="C726" s="1" t="s">
        <v>263</v>
      </c>
      <c r="D726" s="1" t="s">
        <v>229</v>
      </c>
      <c r="E726" s="1"/>
    </row>
    <row r="727" spans="1:5" ht="16">
      <c r="A727" s="1" t="s">
        <v>622</v>
      </c>
      <c r="B727" s="1" t="s">
        <v>868</v>
      </c>
      <c r="C727" s="1" t="s">
        <v>265</v>
      </c>
      <c r="D727" s="1" t="s">
        <v>229</v>
      </c>
      <c r="E727" s="1"/>
    </row>
    <row r="728" spans="1:5" ht="16">
      <c r="A728" s="1" t="s">
        <v>622</v>
      </c>
      <c r="B728" s="1" t="s">
        <v>869</v>
      </c>
      <c r="C728" s="1" t="s">
        <v>334</v>
      </c>
      <c r="D728" s="1" t="s">
        <v>229</v>
      </c>
      <c r="E728" s="1"/>
    </row>
    <row r="729" spans="1:5" ht="16">
      <c r="A729" s="1" t="s">
        <v>622</v>
      </c>
      <c r="B729" s="1" t="s">
        <v>870</v>
      </c>
      <c r="C729" s="1" t="s">
        <v>334</v>
      </c>
      <c r="D729" s="1" t="s">
        <v>229</v>
      </c>
      <c r="E729" s="1"/>
    </row>
    <row r="730" spans="1:5" ht="16">
      <c r="A730" s="1" t="s">
        <v>622</v>
      </c>
      <c r="B730" s="1" t="s">
        <v>871</v>
      </c>
      <c r="C730" s="1" t="s">
        <v>334</v>
      </c>
      <c r="D730" s="1" t="s">
        <v>229</v>
      </c>
      <c r="E730" s="1"/>
    </row>
    <row r="731" spans="1:5" ht="16">
      <c r="A731" s="1" t="s">
        <v>622</v>
      </c>
      <c r="B731" s="1" t="s">
        <v>869</v>
      </c>
      <c r="C731" s="1" t="s">
        <v>624</v>
      </c>
      <c r="D731" s="1" t="s">
        <v>229</v>
      </c>
      <c r="E731" s="1"/>
    </row>
    <row r="732" spans="1:5" ht="16">
      <c r="A732" s="1" t="s">
        <v>622</v>
      </c>
      <c r="B732" s="1" t="s">
        <v>870</v>
      </c>
      <c r="C732" s="1" t="s">
        <v>624</v>
      </c>
      <c r="D732" s="1" t="s">
        <v>229</v>
      </c>
      <c r="E732" s="1"/>
    </row>
    <row r="733" spans="1:5" ht="16">
      <c r="A733" s="1" t="s">
        <v>622</v>
      </c>
      <c r="B733" s="1" t="s">
        <v>871</v>
      </c>
      <c r="C733" s="1" t="s">
        <v>624</v>
      </c>
      <c r="D733" s="1" t="s">
        <v>229</v>
      </c>
      <c r="E733" s="1"/>
    </row>
    <row r="734" spans="1:5" ht="16">
      <c r="A734" s="1" t="s">
        <v>622</v>
      </c>
      <c r="B734" s="1" t="s">
        <v>872</v>
      </c>
      <c r="C734" s="1" t="s">
        <v>307</v>
      </c>
      <c r="D734" s="1" t="s">
        <v>229</v>
      </c>
      <c r="E734" s="1"/>
    </row>
    <row r="735" spans="1:5" ht="16">
      <c r="A735" s="1" t="s">
        <v>622</v>
      </c>
      <c r="B735" s="1" t="s">
        <v>873</v>
      </c>
      <c r="C735" s="1" t="s">
        <v>332</v>
      </c>
      <c r="D735" s="1" t="s">
        <v>229</v>
      </c>
      <c r="E735" s="1"/>
    </row>
    <row r="736" spans="1:5" ht="16">
      <c r="A736" s="1" t="s">
        <v>622</v>
      </c>
      <c r="B736" s="1" t="s">
        <v>874</v>
      </c>
      <c r="C736" s="1" t="s">
        <v>332</v>
      </c>
      <c r="D736" s="1" t="s">
        <v>229</v>
      </c>
      <c r="E736" s="1"/>
    </row>
    <row r="737" spans="1:5" ht="16">
      <c r="A737" s="1" t="s">
        <v>622</v>
      </c>
      <c r="B737" s="1" t="s">
        <v>875</v>
      </c>
      <c r="C737" s="1" t="s">
        <v>332</v>
      </c>
      <c r="D737" s="1" t="s">
        <v>229</v>
      </c>
      <c r="E737" s="1"/>
    </row>
    <row r="738" spans="1:5" ht="16">
      <c r="A738" s="1" t="s">
        <v>622</v>
      </c>
      <c r="B738" s="1" t="s">
        <v>876</v>
      </c>
      <c r="C738" s="1" t="s">
        <v>332</v>
      </c>
      <c r="D738" s="1" t="s">
        <v>229</v>
      </c>
      <c r="E738" s="1"/>
    </row>
    <row r="739" spans="1:5" ht="16">
      <c r="A739" s="1" t="s">
        <v>622</v>
      </c>
      <c r="B739" s="1" t="s">
        <v>877</v>
      </c>
      <c r="C739" s="1" t="s">
        <v>332</v>
      </c>
      <c r="D739" s="1" t="s">
        <v>229</v>
      </c>
      <c r="E739" s="1"/>
    </row>
    <row r="740" spans="1:5" ht="16">
      <c r="A740" s="1" t="s">
        <v>622</v>
      </c>
      <c r="B740" s="1" t="s">
        <v>878</v>
      </c>
      <c r="C740" s="1" t="s">
        <v>332</v>
      </c>
      <c r="D740" s="1" t="s">
        <v>229</v>
      </c>
      <c r="E740" s="1"/>
    </row>
    <row r="741" spans="1:5" ht="16">
      <c r="A741" s="1" t="s">
        <v>622</v>
      </c>
      <c r="B741" s="1" t="s">
        <v>879</v>
      </c>
      <c r="C741" s="1" t="s">
        <v>332</v>
      </c>
      <c r="D741" s="1" t="s">
        <v>229</v>
      </c>
      <c r="E741" s="1"/>
    </row>
    <row r="742" spans="1:5" ht="16">
      <c r="A742" s="1" t="s">
        <v>622</v>
      </c>
      <c r="B742" s="1" t="s">
        <v>880</v>
      </c>
      <c r="C742" s="1" t="s">
        <v>332</v>
      </c>
      <c r="D742" s="1" t="s">
        <v>229</v>
      </c>
      <c r="E742" s="1"/>
    </row>
    <row r="743" spans="1:5" ht="16">
      <c r="A743" s="1" t="s">
        <v>622</v>
      </c>
      <c r="B743" s="1" t="s">
        <v>881</v>
      </c>
      <c r="C743" s="1" t="s">
        <v>332</v>
      </c>
      <c r="D743" s="1" t="s">
        <v>229</v>
      </c>
      <c r="E743" s="1"/>
    </row>
    <row r="744" spans="1:5" ht="16">
      <c r="A744" s="1" t="s">
        <v>622</v>
      </c>
      <c r="B744" s="1" t="s">
        <v>882</v>
      </c>
      <c r="C744" s="1" t="s">
        <v>332</v>
      </c>
      <c r="D744" s="1" t="s">
        <v>229</v>
      </c>
      <c r="E744" s="1"/>
    </row>
    <row r="745" spans="1:5" ht="16">
      <c r="A745" s="1" t="s">
        <v>622</v>
      </c>
      <c r="B745" s="1" t="s">
        <v>883</v>
      </c>
      <c r="C745" s="1" t="s">
        <v>332</v>
      </c>
      <c r="D745" s="1" t="s">
        <v>229</v>
      </c>
      <c r="E745" s="1"/>
    </row>
    <row r="746" spans="1:5" ht="16">
      <c r="A746" s="1" t="s">
        <v>622</v>
      </c>
      <c r="B746" s="1" t="s">
        <v>884</v>
      </c>
      <c r="C746" s="1" t="s">
        <v>332</v>
      </c>
      <c r="D746" s="1" t="s">
        <v>229</v>
      </c>
      <c r="E746" s="1"/>
    </row>
    <row r="747" spans="1:5" ht="16">
      <c r="A747" s="1" t="s">
        <v>622</v>
      </c>
      <c r="B747" s="1" t="s">
        <v>885</v>
      </c>
      <c r="C747" s="1" t="s">
        <v>332</v>
      </c>
      <c r="D747" s="1" t="s">
        <v>229</v>
      </c>
      <c r="E747" s="1"/>
    </row>
    <row r="748" spans="1:5" ht="16">
      <c r="A748" s="1" t="s">
        <v>622</v>
      </c>
      <c r="B748" s="1" t="s">
        <v>886</v>
      </c>
      <c r="C748" s="1" t="s">
        <v>332</v>
      </c>
      <c r="D748" s="1" t="s">
        <v>229</v>
      </c>
      <c r="E748" s="1"/>
    </row>
    <row r="749" spans="1:5" ht="16">
      <c r="A749" s="1" t="s">
        <v>622</v>
      </c>
      <c r="B749" s="1" t="s">
        <v>887</v>
      </c>
      <c r="C749" s="1" t="s">
        <v>332</v>
      </c>
      <c r="D749" s="1" t="s">
        <v>229</v>
      </c>
      <c r="E749" s="1"/>
    </row>
    <row r="750" spans="1:5" ht="16">
      <c r="A750" s="1" t="s">
        <v>622</v>
      </c>
      <c r="B750" s="1" t="s">
        <v>888</v>
      </c>
      <c r="C750" s="1" t="s">
        <v>332</v>
      </c>
      <c r="D750" s="1" t="s">
        <v>229</v>
      </c>
      <c r="E750" s="1"/>
    </row>
    <row r="751" spans="1:5" ht="16">
      <c r="A751" s="1" t="s">
        <v>622</v>
      </c>
      <c r="B751" s="1" t="s">
        <v>889</v>
      </c>
      <c r="C751" s="1" t="s">
        <v>332</v>
      </c>
      <c r="D751" s="1" t="s">
        <v>229</v>
      </c>
      <c r="E751" s="1"/>
    </row>
    <row r="752" spans="1:5" ht="16">
      <c r="A752" s="1" t="s">
        <v>622</v>
      </c>
      <c r="B752" s="1" t="s">
        <v>890</v>
      </c>
      <c r="C752" s="1" t="s">
        <v>332</v>
      </c>
      <c r="D752" s="1" t="s">
        <v>229</v>
      </c>
      <c r="E752" s="1"/>
    </row>
    <row r="753" spans="1:5" ht="16">
      <c r="A753" s="1" t="s">
        <v>622</v>
      </c>
      <c r="B753" s="1" t="s">
        <v>891</v>
      </c>
      <c r="C753" s="1" t="s">
        <v>332</v>
      </c>
      <c r="D753" s="1" t="s">
        <v>229</v>
      </c>
      <c r="E753" s="1"/>
    </row>
    <row r="754" spans="1:5" ht="16">
      <c r="A754" s="1" t="s">
        <v>622</v>
      </c>
      <c r="B754" s="1" t="s">
        <v>892</v>
      </c>
      <c r="C754" s="1" t="s">
        <v>332</v>
      </c>
      <c r="D754" s="1" t="s">
        <v>229</v>
      </c>
      <c r="E754" s="1"/>
    </row>
    <row r="755" spans="1:5" ht="16">
      <c r="A755" s="1" t="s">
        <v>622</v>
      </c>
      <c r="B755" s="1" t="s">
        <v>893</v>
      </c>
      <c r="C755" s="1" t="s">
        <v>332</v>
      </c>
      <c r="D755" s="1" t="s">
        <v>229</v>
      </c>
      <c r="E755" s="1"/>
    </row>
    <row r="756" spans="1:5" ht="16">
      <c r="A756" s="1" t="s">
        <v>622</v>
      </c>
      <c r="B756" s="1" t="s">
        <v>894</v>
      </c>
      <c r="C756" s="1" t="s">
        <v>332</v>
      </c>
      <c r="D756" s="1" t="s">
        <v>229</v>
      </c>
      <c r="E756" s="1"/>
    </row>
    <row r="757" spans="1:5" ht="16">
      <c r="A757" s="1" t="s">
        <v>622</v>
      </c>
      <c r="B757" s="1" t="s">
        <v>895</v>
      </c>
      <c r="C757" s="1" t="s">
        <v>332</v>
      </c>
      <c r="D757" s="1" t="s">
        <v>229</v>
      </c>
      <c r="E757" s="1"/>
    </row>
    <row r="758" spans="1:5" ht="16">
      <c r="A758" s="1" t="s">
        <v>622</v>
      </c>
      <c r="B758" s="1" t="s">
        <v>896</v>
      </c>
      <c r="C758" s="1" t="s">
        <v>332</v>
      </c>
      <c r="D758" s="1" t="s">
        <v>229</v>
      </c>
      <c r="E758" s="1"/>
    </row>
    <row r="759" spans="1:5" ht="16">
      <c r="A759" s="1" t="s">
        <v>622</v>
      </c>
      <c r="B759" s="1" t="s">
        <v>897</v>
      </c>
      <c r="C759" s="1" t="s">
        <v>332</v>
      </c>
      <c r="D759" s="1" t="s">
        <v>229</v>
      </c>
      <c r="E759" s="1"/>
    </row>
    <row r="760" spans="1:5" ht="16">
      <c r="A760" s="1" t="s">
        <v>622</v>
      </c>
      <c r="B760" s="1" t="s">
        <v>898</v>
      </c>
      <c r="C760" s="1" t="s">
        <v>332</v>
      </c>
      <c r="D760" s="1" t="s">
        <v>229</v>
      </c>
      <c r="E760" s="1"/>
    </row>
    <row r="761" spans="1:5" ht="16">
      <c r="A761" s="1" t="s">
        <v>622</v>
      </c>
      <c r="B761" s="1" t="s">
        <v>899</v>
      </c>
      <c r="C761" s="1" t="s">
        <v>332</v>
      </c>
      <c r="D761" s="1" t="s">
        <v>229</v>
      </c>
      <c r="E761" s="1"/>
    </row>
    <row r="762" spans="1:5" ht="16">
      <c r="A762" s="1" t="s">
        <v>622</v>
      </c>
      <c r="B762" s="1" t="s">
        <v>900</v>
      </c>
      <c r="C762" s="1" t="s">
        <v>332</v>
      </c>
      <c r="D762" s="1" t="s">
        <v>229</v>
      </c>
      <c r="E762" s="1"/>
    </row>
    <row r="763" spans="1:5" ht="16">
      <c r="A763" s="1" t="s">
        <v>622</v>
      </c>
      <c r="B763" s="1" t="s">
        <v>901</v>
      </c>
      <c r="C763" s="1" t="s">
        <v>332</v>
      </c>
      <c r="D763" s="1" t="s">
        <v>229</v>
      </c>
      <c r="E763" s="1"/>
    </row>
    <row r="764" spans="1:5" ht="16">
      <c r="A764" s="1" t="s">
        <v>622</v>
      </c>
      <c r="B764" s="1" t="s">
        <v>902</v>
      </c>
      <c r="C764" s="1" t="s">
        <v>332</v>
      </c>
      <c r="D764" s="1" t="s">
        <v>229</v>
      </c>
      <c r="E764" s="1"/>
    </row>
    <row r="765" spans="1:5" ht="16">
      <c r="A765" s="1" t="s">
        <v>622</v>
      </c>
      <c r="B765" s="1" t="s">
        <v>903</v>
      </c>
      <c r="C765" s="1" t="s">
        <v>332</v>
      </c>
      <c r="D765" s="1" t="s">
        <v>229</v>
      </c>
      <c r="E765" s="1"/>
    </row>
    <row r="766" spans="1:5" ht="16">
      <c r="A766" s="1" t="s">
        <v>622</v>
      </c>
      <c r="B766" s="1" t="s">
        <v>904</v>
      </c>
      <c r="C766" s="1" t="s">
        <v>332</v>
      </c>
      <c r="D766" s="1" t="s">
        <v>229</v>
      </c>
      <c r="E766" s="1"/>
    </row>
    <row r="767" spans="1:5" ht="16">
      <c r="A767" s="1" t="s">
        <v>622</v>
      </c>
      <c r="B767" s="1" t="s">
        <v>905</v>
      </c>
      <c r="C767" s="1" t="s">
        <v>332</v>
      </c>
      <c r="D767" s="1" t="s">
        <v>229</v>
      </c>
      <c r="E767" s="1"/>
    </row>
    <row r="768" spans="1:5" ht="16">
      <c r="A768" s="1" t="s">
        <v>622</v>
      </c>
      <c r="B768" s="1" t="s">
        <v>906</v>
      </c>
      <c r="C768" s="1" t="s">
        <v>332</v>
      </c>
      <c r="D768" s="1" t="s">
        <v>229</v>
      </c>
      <c r="E768" s="1"/>
    </row>
    <row r="769" spans="1:5" ht="16">
      <c r="A769" s="1" t="s">
        <v>622</v>
      </c>
      <c r="B769" s="1" t="s">
        <v>907</v>
      </c>
      <c r="C769" s="1" t="s">
        <v>332</v>
      </c>
      <c r="D769" s="1" t="s">
        <v>229</v>
      </c>
      <c r="E769" s="1"/>
    </row>
    <row r="770" spans="1:5" ht="16">
      <c r="A770" s="1" t="s">
        <v>622</v>
      </c>
      <c r="B770" s="1" t="s">
        <v>908</v>
      </c>
      <c r="C770" s="1" t="s">
        <v>265</v>
      </c>
      <c r="D770" s="1" t="s">
        <v>355</v>
      </c>
      <c r="E770" s="1"/>
    </row>
    <row r="771" spans="1:5" ht="16">
      <c r="A771" s="1" t="s">
        <v>622</v>
      </c>
      <c r="B771" s="1" t="s">
        <v>909</v>
      </c>
      <c r="C771" s="1" t="s">
        <v>263</v>
      </c>
      <c r="D771" s="1" t="s">
        <v>355</v>
      </c>
      <c r="E771" s="1"/>
    </row>
    <row r="772" spans="1:5" ht="16">
      <c r="A772" s="1" t="s">
        <v>622</v>
      </c>
      <c r="B772" s="1" t="s">
        <v>910</v>
      </c>
      <c r="C772" s="1" t="s">
        <v>263</v>
      </c>
      <c r="D772" s="1" t="s">
        <v>355</v>
      </c>
      <c r="E772" s="1"/>
    </row>
    <row r="773" spans="1:5" ht="16">
      <c r="A773" s="1" t="s">
        <v>622</v>
      </c>
      <c r="B773" s="1" t="s">
        <v>911</v>
      </c>
      <c r="C773" s="1"/>
      <c r="D773" s="1"/>
      <c r="E773" s="1"/>
    </row>
    <row r="774" spans="1:5" ht="16">
      <c r="A774" s="174" t="s">
        <v>912</v>
      </c>
      <c r="B774" s="175"/>
      <c r="C774" s="1"/>
      <c r="D774" s="1"/>
      <c r="E774" s="1"/>
    </row>
    <row r="775" spans="1:5" ht="16">
      <c r="A775" s="1" t="s">
        <v>913</v>
      </c>
      <c r="B775" s="1" t="s">
        <v>332</v>
      </c>
      <c r="C775" s="1" t="s">
        <v>229</v>
      </c>
      <c r="D775" s="1"/>
      <c r="E775" s="1"/>
    </row>
    <row r="776" spans="1:5" ht="16">
      <c r="A776" s="1" t="s">
        <v>622</v>
      </c>
      <c r="B776" s="1" t="s">
        <v>914</v>
      </c>
      <c r="C776" s="1"/>
      <c r="D776" s="1"/>
      <c r="E776" s="1"/>
    </row>
    <row r="777" spans="1:5" ht="16">
      <c r="A777" s="174" t="s">
        <v>915</v>
      </c>
      <c r="B777" s="175"/>
      <c r="C777" s="1"/>
      <c r="D777" s="1"/>
      <c r="E777" s="1"/>
    </row>
    <row r="778" spans="1:5" ht="16">
      <c r="A778" s="1" t="s">
        <v>916</v>
      </c>
      <c r="B778" s="1" t="s">
        <v>332</v>
      </c>
      <c r="C778" s="1" t="s">
        <v>229</v>
      </c>
      <c r="D778" s="1"/>
      <c r="E778" s="1"/>
    </row>
    <row r="779" spans="1:5" ht="16">
      <c r="A779" s="1" t="s">
        <v>622</v>
      </c>
      <c r="B779" s="1" t="s">
        <v>917</v>
      </c>
      <c r="C779" s="1"/>
      <c r="D779" s="1"/>
      <c r="E779" s="1"/>
    </row>
    <row r="780" spans="1:5" ht="16">
      <c r="A780" s="174" t="s">
        <v>918</v>
      </c>
      <c r="B780" s="175"/>
      <c r="C780" s="1"/>
      <c r="D780" s="1"/>
      <c r="E780" s="1"/>
    </row>
    <row r="781" spans="1:5" ht="16">
      <c r="A781" s="1" t="s">
        <v>919</v>
      </c>
      <c r="B781" s="1" t="s">
        <v>332</v>
      </c>
      <c r="C781" s="1" t="s">
        <v>229</v>
      </c>
      <c r="D781" s="1"/>
      <c r="E781" s="1"/>
    </row>
    <row r="782" spans="1:5" ht="16">
      <c r="A782" s="1" t="s">
        <v>622</v>
      </c>
      <c r="B782" s="1" t="s">
        <v>920</v>
      </c>
      <c r="C782" s="1"/>
      <c r="D782" s="1"/>
      <c r="E782" s="1"/>
    </row>
    <row r="783" spans="1:5" ht="16">
      <c r="A783" s="174" t="s">
        <v>921</v>
      </c>
      <c r="B783" s="175"/>
      <c r="C783" s="1"/>
      <c r="D783" s="1"/>
      <c r="E783" s="1"/>
    </row>
    <row r="784" spans="1:5" ht="16">
      <c r="A784" s="1" t="s">
        <v>922</v>
      </c>
      <c r="B784" s="1" t="s">
        <v>332</v>
      </c>
      <c r="C784" s="1" t="s">
        <v>229</v>
      </c>
      <c r="D784" s="1"/>
      <c r="E784" s="1"/>
    </row>
    <row r="785" spans="1:5" ht="16">
      <c r="A785" s="1" t="s">
        <v>622</v>
      </c>
      <c r="B785" s="1" t="s">
        <v>847</v>
      </c>
      <c r="C785" s="1"/>
      <c r="D785" s="1"/>
      <c r="E785" s="1"/>
    </row>
    <row r="786" spans="1:5" ht="16">
      <c r="A786" s="174" t="s">
        <v>923</v>
      </c>
      <c r="B786" s="175"/>
      <c r="C786" s="1"/>
      <c r="D786" s="1"/>
      <c r="E786" s="1"/>
    </row>
    <row r="787" spans="1:5" ht="16">
      <c r="A787" s="1" t="s">
        <v>924</v>
      </c>
      <c r="B787" s="1" t="s">
        <v>332</v>
      </c>
      <c r="C787" s="1" t="s">
        <v>229</v>
      </c>
      <c r="D787" s="1"/>
      <c r="E787" s="1"/>
    </row>
    <row r="788" spans="1:5" ht="16">
      <c r="A788" s="1" t="s">
        <v>622</v>
      </c>
      <c r="B788" s="1" t="s">
        <v>850</v>
      </c>
      <c r="C788" s="1"/>
      <c r="D788" s="1"/>
      <c r="E788" s="1"/>
    </row>
    <row r="789" spans="1:5" ht="16">
      <c r="A789" s="174" t="s">
        <v>925</v>
      </c>
      <c r="B789" s="175"/>
      <c r="C789" s="1"/>
      <c r="D789" s="1"/>
      <c r="E789" s="1"/>
    </row>
    <row r="790" spans="1:5" ht="16">
      <c r="A790" s="1" t="s">
        <v>926</v>
      </c>
      <c r="B790" s="1" t="s">
        <v>332</v>
      </c>
      <c r="C790" s="1" t="s">
        <v>229</v>
      </c>
      <c r="D790" s="1"/>
      <c r="E790" s="1"/>
    </row>
    <row r="791" spans="1:5" ht="16">
      <c r="A791" s="1" t="s">
        <v>622</v>
      </c>
      <c r="B791" s="1" t="s">
        <v>853</v>
      </c>
      <c r="C791" s="1"/>
      <c r="D791" s="1"/>
      <c r="E791" s="1"/>
    </row>
    <row r="792" spans="1:5" ht="16">
      <c r="A792" s="174" t="s">
        <v>927</v>
      </c>
      <c r="B792" s="175"/>
      <c r="C792" s="1"/>
      <c r="D792" s="1"/>
      <c r="E792" s="1"/>
    </row>
    <row r="793" spans="1:5" ht="16">
      <c r="A793" s="1" t="s">
        <v>928</v>
      </c>
      <c r="B793" s="1" t="s">
        <v>332</v>
      </c>
      <c r="C793" s="1" t="s">
        <v>229</v>
      </c>
      <c r="D793" s="1"/>
      <c r="E793" s="1"/>
    </row>
    <row r="794" spans="1:5" ht="16">
      <c r="A794" s="1" t="s">
        <v>622</v>
      </c>
      <c r="B794" s="1" t="s">
        <v>929</v>
      </c>
      <c r="C794" s="1" t="s">
        <v>307</v>
      </c>
      <c r="D794" s="1" t="s">
        <v>229</v>
      </c>
      <c r="E794" s="1"/>
    </row>
    <row r="795" spans="1:5" ht="16">
      <c r="A795" s="1" t="s">
        <v>622</v>
      </c>
      <c r="B795" s="1" t="s">
        <v>930</v>
      </c>
      <c r="C795" s="1" t="s">
        <v>364</v>
      </c>
      <c r="D795" s="1" t="s">
        <v>355</v>
      </c>
      <c r="E795" s="1"/>
    </row>
    <row r="796" spans="1:5" ht="16">
      <c r="A796" s="1" t="s">
        <v>622</v>
      </c>
      <c r="B796" s="1" t="s">
        <v>931</v>
      </c>
      <c r="C796" s="1" t="s">
        <v>263</v>
      </c>
      <c r="D796" s="1" t="s">
        <v>355</v>
      </c>
      <c r="E796" s="1"/>
    </row>
    <row r="797" spans="1:5" ht="16">
      <c r="A797" s="1" t="s">
        <v>622</v>
      </c>
      <c r="B797" s="1" t="s">
        <v>932</v>
      </c>
      <c r="C797" s="1" t="s">
        <v>263</v>
      </c>
      <c r="D797" s="1" t="s">
        <v>355</v>
      </c>
      <c r="E797" s="1"/>
    </row>
    <row r="798" spans="1:5" ht="16">
      <c r="A798" s="1" t="s">
        <v>622</v>
      </c>
      <c r="B798" s="1" t="s">
        <v>933</v>
      </c>
      <c r="C798" s="1" t="s">
        <v>265</v>
      </c>
      <c r="D798" s="1" t="s">
        <v>355</v>
      </c>
      <c r="E798" s="1"/>
    </row>
    <row r="799" spans="1:5" ht="16">
      <c r="A799" s="1" t="s">
        <v>622</v>
      </c>
      <c r="B799" s="1" t="s">
        <v>934</v>
      </c>
      <c r="C799" s="1"/>
      <c r="D799" s="1"/>
      <c r="E799" s="1"/>
    </row>
    <row r="800" spans="1:5" ht="16">
      <c r="A800" s="174" t="s">
        <v>935</v>
      </c>
      <c r="B800" s="175"/>
      <c r="C800" s="1"/>
      <c r="D800" s="1"/>
      <c r="E800" s="1"/>
    </row>
    <row r="801" spans="1:5" ht="16">
      <c r="A801" s="1" t="s">
        <v>936</v>
      </c>
      <c r="B801" s="1" t="s">
        <v>332</v>
      </c>
      <c r="C801" s="1" t="s">
        <v>229</v>
      </c>
      <c r="D801" s="1"/>
      <c r="E801" s="1"/>
    </row>
    <row r="802" spans="1:5" ht="16">
      <c r="A802" s="1" t="s">
        <v>622</v>
      </c>
      <c r="B802" s="1" t="s">
        <v>853</v>
      </c>
      <c r="C802" s="1"/>
      <c r="D802" s="1"/>
      <c r="E802" s="1"/>
    </row>
    <row r="803" spans="1:5" ht="16">
      <c r="A803" s="174" t="s">
        <v>927</v>
      </c>
      <c r="B803" s="175"/>
      <c r="C803" s="1"/>
      <c r="D803" s="1"/>
      <c r="E803" s="1"/>
    </row>
    <row r="804" spans="1:5" ht="16">
      <c r="A804" s="1" t="s">
        <v>928</v>
      </c>
      <c r="B804" s="1" t="s">
        <v>332</v>
      </c>
      <c r="C804" s="1" t="s">
        <v>229</v>
      </c>
      <c r="D804" s="1"/>
      <c r="E804" s="1"/>
    </row>
    <row r="805" spans="1:5" ht="16">
      <c r="A805" s="1" t="s">
        <v>622</v>
      </c>
      <c r="B805" s="1" t="s">
        <v>934</v>
      </c>
      <c r="C805" s="1"/>
      <c r="D805" s="1"/>
      <c r="E805" s="1"/>
    </row>
    <row r="806" spans="1:5" ht="16">
      <c r="A806" s="174" t="s">
        <v>935</v>
      </c>
      <c r="B806" s="175"/>
      <c r="C806" s="1"/>
      <c r="D806" s="1"/>
      <c r="E806" s="1"/>
    </row>
    <row r="807" spans="1:5" ht="16">
      <c r="A807" s="1" t="s">
        <v>936</v>
      </c>
      <c r="B807" s="1" t="s">
        <v>332</v>
      </c>
      <c r="C807" s="1" t="s">
        <v>229</v>
      </c>
      <c r="D807" s="1"/>
      <c r="E807" s="1"/>
    </row>
    <row r="808" spans="1:5" ht="16">
      <c r="A808" s="1" t="s">
        <v>622</v>
      </c>
      <c r="B808" s="1" t="s">
        <v>911</v>
      </c>
      <c r="C808" s="1"/>
      <c r="D808" s="1"/>
      <c r="E808" s="1"/>
    </row>
    <row r="809" spans="1:5" ht="16">
      <c r="A809" s="174" t="s">
        <v>912</v>
      </c>
      <c r="B809" s="175"/>
      <c r="C809" s="1"/>
      <c r="D809" s="1"/>
      <c r="E809" s="1"/>
    </row>
    <row r="810" spans="1:5" ht="16">
      <c r="A810" s="1" t="s">
        <v>913</v>
      </c>
      <c r="B810" s="1" t="s">
        <v>332</v>
      </c>
      <c r="C810" s="1" t="s">
        <v>229</v>
      </c>
      <c r="D810" s="1"/>
      <c r="E810" s="1"/>
    </row>
    <row r="811" spans="1:5" ht="16">
      <c r="A811" s="1" t="s">
        <v>622</v>
      </c>
      <c r="B811" s="1" t="s">
        <v>914</v>
      </c>
      <c r="C811" s="1"/>
      <c r="D811" s="1"/>
      <c r="E811" s="1"/>
    </row>
    <row r="812" spans="1:5" ht="16">
      <c r="A812" s="174" t="s">
        <v>915</v>
      </c>
      <c r="B812" s="175"/>
      <c r="C812" s="1"/>
      <c r="D812" s="1"/>
      <c r="E812" s="1"/>
    </row>
    <row r="813" spans="1:5" ht="16">
      <c r="A813" s="1" t="s">
        <v>916</v>
      </c>
      <c r="B813" s="1" t="s">
        <v>332</v>
      </c>
      <c r="C813" s="1" t="s">
        <v>229</v>
      </c>
      <c r="D813" s="1"/>
      <c r="E813" s="1"/>
    </row>
    <row r="814" spans="1:5" ht="16">
      <c r="A814" s="1" t="s">
        <v>622</v>
      </c>
      <c r="B814" s="1" t="s">
        <v>917</v>
      </c>
      <c r="C814" s="1"/>
      <c r="D814" s="1"/>
      <c r="E814" s="1"/>
    </row>
    <row r="815" spans="1:5" ht="16">
      <c r="A815" s="174" t="s">
        <v>918</v>
      </c>
      <c r="B815" s="175"/>
      <c r="C815" s="1"/>
      <c r="D815" s="1"/>
      <c r="E815" s="1"/>
    </row>
    <row r="816" spans="1:5" ht="16">
      <c r="A816" s="1" t="s">
        <v>919</v>
      </c>
      <c r="B816" s="1" t="s">
        <v>332</v>
      </c>
      <c r="C816" s="1" t="s">
        <v>229</v>
      </c>
      <c r="D816" s="1"/>
      <c r="E816" s="1"/>
    </row>
    <row r="817" spans="1:5" ht="16">
      <c r="A817" s="1" t="s">
        <v>622</v>
      </c>
      <c r="B817" s="1" t="s">
        <v>920</v>
      </c>
      <c r="C817" s="1"/>
      <c r="D817" s="1"/>
      <c r="E817" s="1"/>
    </row>
    <row r="818" spans="1:5" ht="16">
      <c r="A818" s="174" t="s">
        <v>921</v>
      </c>
      <c r="B818" s="175"/>
      <c r="C818" s="1"/>
      <c r="D818" s="1"/>
      <c r="E818" s="1"/>
    </row>
    <row r="819" spans="1:5" ht="16">
      <c r="A819" s="1" t="s">
        <v>922</v>
      </c>
      <c r="B819" s="1" t="s">
        <v>332</v>
      </c>
      <c r="C819" s="1" t="s">
        <v>229</v>
      </c>
      <c r="D819" s="1"/>
      <c r="E819" s="1"/>
    </row>
    <row r="820" spans="1:5" ht="16">
      <c r="A820" s="1" t="s">
        <v>622</v>
      </c>
      <c r="B820" s="1" t="s">
        <v>847</v>
      </c>
      <c r="C820" s="1"/>
      <c r="D820" s="1"/>
      <c r="E820" s="1"/>
    </row>
    <row r="821" spans="1:5" ht="16">
      <c r="A821" s="174" t="s">
        <v>923</v>
      </c>
      <c r="B821" s="175"/>
      <c r="C821" s="1"/>
      <c r="D821" s="1"/>
      <c r="E821" s="1"/>
    </row>
    <row r="822" spans="1:5" ht="16">
      <c r="A822" s="1" t="s">
        <v>924</v>
      </c>
      <c r="B822" s="1" t="s">
        <v>332</v>
      </c>
      <c r="C822" s="1" t="s">
        <v>229</v>
      </c>
      <c r="D822" s="1"/>
      <c r="E822" s="1"/>
    </row>
    <row r="823" spans="1:5" ht="16">
      <c r="A823" s="1" t="s">
        <v>622</v>
      </c>
      <c r="B823" s="1" t="s">
        <v>850</v>
      </c>
      <c r="C823" s="1"/>
      <c r="D823" s="1"/>
      <c r="E823" s="1"/>
    </row>
    <row r="824" spans="1:5" ht="16">
      <c r="A824" s="174" t="s">
        <v>925</v>
      </c>
      <c r="B824" s="175"/>
      <c r="C824" s="1"/>
      <c r="D824" s="1"/>
      <c r="E824" s="1"/>
    </row>
    <row r="825" spans="1:5" ht="16">
      <c r="A825" s="1" t="s">
        <v>926</v>
      </c>
      <c r="B825" s="1" t="s">
        <v>332</v>
      </c>
      <c r="C825" s="1" t="s">
        <v>229</v>
      </c>
      <c r="D825" s="1"/>
      <c r="E825" s="1"/>
    </row>
    <row r="826" spans="1:5" ht="16">
      <c r="A826" s="1" t="s">
        <v>622</v>
      </c>
      <c r="B826" s="1" t="s">
        <v>937</v>
      </c>
      <c r="C826" s="1" t="s">
        <v>332</v>
      </c>
      <c r="D826" s="1" t="s">
        <v>229</v>
      </c>
      <c r="E826" s="1"/>
    </row>
    <row r="827" spans="1:5" ht="16">
      <c r="A827" s="1" t="s">
        <v>622</v>
      </c>
      <c r="B827" s="1" t="s">
        <v>938</v>
      </c>
      <c r="C827" s="1" t="s">
        <v>332</v>
      </c>
      <c r="D827" s="1" t="s">
        <v>229</v>
      </c>
      <c r="E827" s="1"/>
    </row>
    <row r="828" spans="1:5" ht="16">
      <c r="A828" s="1" t="s">
        <v>622</v>
      </c>
      <c r="B828" s="1" t="s">
        <v>939</v>
      </c>
      <c r="C828" s="1" t="s">
        <v>332</v>
      </c>
      <c r="D828" s="1" t="s">
        <v>229</v>
      </c>
      <c r="E828" s="1"/>
    </row>
    <row r="829" spans="1:5" ht="16">
      <c r="A829" s="1" t="s">
        <v>622</v>
      </c>
      <c r="B829" s="1" t="s">
        <v>940</v>
      </c>
      <c r="C829" s="1" t="s">
        <v>332</v>
      </c>
      <c r="D829" s="1" t="s">
        <v>229</v>
      </c>
      <c r="E829" s="1"/>
    </row>
    <row r="830" spans="1:5" ht="16">
      <c r="A830" s="1" t="s">
        <v>622</v>
      </c>
      <c r="B830" s="1" t="s">
        <v>941</v>
      </c>
      <c r="C830" s="1" t="s">
        <v>332</v>
      </c>
      <c r="D830" s="1" t="s">
        <v>229</v>
      </c>
      <c r="E830" s="1"/>
    </row>
    <row r="831" spans="1:5" ht="16">
      <c r="A831" s="1" t="s">
        <v>622</v>
      </c>
      <c r="B831" s="1" t="s">
        <v>942</v>
      </c>
      <c r="C831" s="1" t="s">
        <v>332</v>
      </c>
      <c r="D831" s="1" t="s">
        <v>229</v>
      </c>
      <c r="E831" s="1"/>
    </row>
    <row r="832" spans="1:5" ht="16">
      <c r="A832" s="1" t="s">
        <v>622</v>
      </c>
      <c r="B832" s="1" t="s">
        <v>943</v>
      </c>
      <c r="C832" s="1" t="s">
        <v>332</v>
      </c>
      <c r="D832" s="1" t="s">
        <v>229</v>
      </c>
      <c r="E832" s="1"/>
    </row>
    <row r="833" spans="1:5" ht="16">
      <c r="A833" s="1" t="s">
        <v>622</v>
      </c>
      <c r="B833" s="1" t="s">
        <v>944</v>
      </c>
      <c r="C833" s="1" t="s">
        <v>332</v>
      </c>
      <c r="D833" s="1" t="s">
        <v>229</v>
      </c>
      <c r="E833" s="1"/>
    </row>
    <row r="834" spans="1:5" ht="16">
      <c r="A834" s="1" t="s">
        <v>622</v>
      </c>
      <c r="B834" s="1" t="s">
        <v>945</v>
      </c>
      <c r="C834" s="1" t="s">
        <v>332</v>
      </c>
      <c r="D834" s="1" t="s">
        <v>229</v>
      </c>
      <c r="E834" s="1"/>
    </row>
    <row r="835" spans="1:5" ht="16">
      <c r="A835" s="1" t="s">
        <v>622</v>
      </c>
      <c r="B835" s="1" t="s">
        <v>946</v>
      </c>
      <c r="C835" s="1" t="s">
        <v>332</v>
      </c>
      <c r="D835" s="1" t="s">
        <v>229</v>
      </c>
      <c r="E835" s="1"/>
    </row>
    <row r="836" spans="1:5" ht="16">
      <c r="A836" s="1" t="s">
        <v>622</v>
      </c>
      <c r="B836" s="1" t="s">
        <v>947</v>
      </c>
      <c r="C836" s="1" t="s">
        <v>332</v>
      </c>
      <c r="D836" s="1" t="s">
        <v>229</v>
      </c>
      <c r="E836" s="1"/>
    </row>
    <row r="837" spans="1:5" ht="16">
      <c r="A837" s="1" t="s">
        <v>622</v>
      </c>
      <c r="B837" s="1" t="s">
        <v>948</v>
      </c>
      <c r="C837" s="1" t="s">
        <v>332</v>
      </c>
      <c r="D837" s="1" t="s">
        <v>229</v>
      </c>
      <c r="E837" s="1"/>
    </row>
    <row r="838" spans="1:5" ht="16">
      <c r="A838" s="1" t="s">
        <v>622</v>
      </c>
      <c r="B838" s="1" t="s">
        <v>949</v>
      </c>
      <c r="C838" s="1" t="s">
        <v>334</v>
      </c>
      <c r="D838" s="1" t="s">
        <v>229</v>
      </c>
      <c r="E838" s="1"/>
    </row>
    <row r="839" spans="1:5" ht="16">
      <c r="A839" s="1" t="s">
        <v>622</v>
      </c>
      <c r="B839" s="1" t="s">
        <v>950</v>
      </c>
      <c r="C839" s="1" t="s">
        <v>334</v>
      </c>
      <c r="D839" s="1" t="s">
        <v>229</v>
      </c>
      <c r="E839" s="1"/>
    </row>
    <row r="840" spans="1:5" ht="16">
      <c r="A840" s="1" t="s">
        <v>622</v>
      </c>
      <c r="B840" s="1" t="s">
        <v>951</v>
      </c>
      <c r="C840" s="1" t="s">
        <v>334</v>
      </c>
      <c r="D840" s="1" t="s">
        <v>229</v>
      </c>
      <c r="E840" s="1"/>
    </row>
    <row r="841" spans="1:5" ht="16">
      <c r="A841" s="1" t="s">
        <v>622</v>
      </c>
      <c r="B841" s="1" t="s">
        <v>952</v>
      </c>
      <c r="C841" s="1" t="s">
        <v>334</v>
      </c>
      <c r="D841" s="1" t="s">
        <v>229</v>
      </c>
      <c r="E841" s="1"/>
    </row>
    <row r="842" spans="1:5" ht="16">
      <c r="A842" s="1" t="s">
        <v>622</v>
      </c>
      <c r="B842" s="1" t="s">
        <v>953</v>
      </c>
      <c r="C842" s="1" t="s">
        <v>332</v>
      </c>
      <c r="D842" s="1" t="s">
        <v>229</v>
      </c>
      <c r="E842" s="1"/>
    </row>
    <row r="843" spans="1:5" ht="16">
      <c r="A843" s="1" t="s">
        <v>622</v>
      </c>
      <c r="B843" s="1" t="s">
        <v>954</v>
      </c>
      <c r="C843" s="1" t="s">
        <v>332</v>
      </c>
      <c r="D843" s="1" t="s">
        <v>229</v>
      </c>
      <c r="E843" s="1"/>
    </row>
    <row r="844" spans="1:5" ht="16">
      <c r="A844" s="1" t="s">
        <v>622</v>
      </c>
      <c r="B844" s="1" t="s">
        <v>955</v>
      </c>
      <c r="C844" s="1" t="s">
        <v>332</v>
      </c>
      <c r="D844" s="1" t="s">
        <v>229</v>
      </c>
      <c r="E844" s="1"/>
    </row>
    <row r="845" spans="1:5" ht="16">
      <c r="A845" s="1" t="s">
        <v>622</v>
      </c>
      <c r="B845" s="1" t="s">
        <v>956</v>
      </c>
      <c r="C845" s="1" t="s">
        <v>332</v>
      </c>
      <c r="D845" s="1" t="s">
        <v>229</v>
      </c>
      <c r="E845" s="1"/>
    </row>
    <row r="846" spans="1:5" ht="16">
      <c r="A846" s="1" t="s">
        <v>622</v>
      </c>
      <c r="B846" s="1" t="s">
        <v>957</v>
      </c>
      <c r="C846" s="1" t="s">
        <v>332</v>
      </c>
      <c r="D846" s="1" t="s">
        <v>229</v>
      </c>
      <c r="E846" s="1"/>
    </row>
    <row r="847" spans="1:5" ht="16">
      <c r="A847" s="1" t="s">
        <v>622</v>
      </c>
      <c r="B847" s="1" t="s">
        <v>958</v>
      </c>
      <c r="C847" s="1" t="s">
        <v>332</v>
      </c>
      <c r="D847" s="1" t="s">
        <v>229</v>
      </c>
      <c r="E847" s="1"/>
    </row>
    <row r="848" spans="1:5" ht="16">
      <c r="A848" s="1" t="s">
        <v>622</v>
      </c>
      <c r="B848" s="1" t="s">
        <v>959</v>
      </c>
      <c r="C848" s="1" t="s">
        <v>332</v>
      </c>
      <c r="D848" s="1" t="s">
        <v>229</v>
      </c>
      <c r="E848" s="1"/>
    </row>
    <row r="849" spans="1:5" ht="16">
      <c r="A849" s="1" t="s">
        <v>622</v>
      </c>
      <c r="B849" s="1" t="s">
        <v>960</v>
      </c>
      <c r="C849" s="1" t="s">
        <v>332</v>
      </c>
      <c r="D849" s="1" t="s">
        <v>229</v>
      </c>
      <c r="E849" s="1"/>
    </row>
    <row r="850" spans="1:5" ht="16">
      <c r="A850" s="1" t="s">
        <v>622</v>
      </c>
      <c r="B850" s="1" t="s">
        <v>961</v>
      </c>
      <c r="C850" s="1" t="s">
        <v>332</v>
      </c>
      <c r="D850" s="1" t="s">
        <v>229</v>
      </c>
      <c r="E850" s="1"/>
    </row>
    <row r="851" spans="1:5" ht="16">
      <c r="A851" s="1" t="s">
        <v>622</v>
      </c>
      <c r="B851" s="1" t="s">
        <v>962</v>
      </c>
      <c r="C851" s="1" t="s">
        <v>332</v>
      </c>
      <c r="D851" s="1" t="s">
        <v>229</v>
      </c>
      <c r="E851" s="1"/>
    </row>
    <row r="852" spans="1:5" ht="16">
      <c r="A852" s="1" t="s">
        <v>622</v>
      </c>
      <c r="B852" s="1" t="s">
        <v>963</v>
      </c>
      <c r="C852" s="1" t="s">
        <v>332</v>
      </c>
      <c r="D852" s="1" t="s">
        <v>229</v>
      </c>
      <c r="E852" s="1"/>
    </row>
    <row r="853" spans="1:5" ht="16">
      <c r="A853" s="1" t="s">
        <v>622</v>
      </c>
      <c r="B853" s="1" t="s">
        <v>964</v>
      </c>
      <c r="C853" s="1" t="s">
        <v>332</v>
      </c>
      <c r="D853" s="1" t="s">
        <v>229</v>
      </c>
      <c r="E853" s="1"/>
    </row>
    <row r="854" spans="1:5" ht="16">
      <c r="A854" s="1" t="s">
        <v>622</v>
      </c>
      <c r="B854" s="1" t="s">
        <v>965</v>
      </c>
      <c r="C854" s="1" t="s">
        <v>332</v>
      </c>
      <c r="D854" s="1" t="s">
        <v>229</v>
      </c>
      <c r="E854" s="1"/>
    </row>
    <row r="855" spans="1:5" ht="16">
      <c r="A855" s="1" t="s">
        <v>622</v>
      </c>
      <c r="B855" s="1" t="s">
        <v>966</v>
      </c>
      <c r="C855" s="1" t="s">
        <v>332</v>
      </c>
      <c r="D855" s="1" t="s">
        <v>229</v>
      </c>
      <c r="E855" s="1"/>
    </row>
    <row r="856" spans="1:5" ht="16">
      <c r="A856" s="1" t="s">
        <v>622</v>
      </c>
      <c r="B856" s="1" t="s">
        <v>967</v>
      </c>
      <c r="C856" s="1" t="s">
        <v>332</v>
      </c>
      <c r="D856" s="1" t="s">
        <v>229</v>
      </c>
      <c r="E856" s="1"/>
    </row>
    <row r="857" spans="1:5" ht="16">
      <c r="A857" s="1" t="s">
        <v>622</v>
      </c>
      <c r="B857" s="1" t="s">
        <v>968</v>
      </c>
      <c r="C857" s="1" t="s">
        <v>332</v>
      </c>
      <c r="D857" s="1" t="s">
        <v>229</v>
      </c>
      <c r="E857" s="1"/>
    </row>
    <row r="858" spans="1:5" ht="16">
      <c r="A858" s="1" t="s">
        <v>622</v>
      </c>
      <c r="B858" s="1" t="s">
        <v>969</v>
      </c>
      <c r="C858" s="1" t="s">
        <v>332</v>
      </c>
      <c r="D858" s="1" t="s">
        <v>229</v>
      </c>
      <c r="E858" s="1"/>
    </row>
    <row r="859" spans="1:5" ht="16">
      <c r="A859" s="1" t="s">
        <v>622</v>
      </c>
      <c r="B859" s="1" t="s">
        <v>970</v>
      </c>
      <c r="C859" s="1" t="s">
        <v>332</v>
      </c>
      <c r="D859" s="1" t="s">
        <v>229</v>
      </c>
      <c r="E859" s="1"/>
    </row>
    <row r="860" spans="1:5" ht="16">
      <c r="A860" s="1" t="s">
        <v>622</v>
      </c>
      <c r="B860" s="1" t="s">
        <v>971</v>
      </c>
      <c r="C860" s="1" t="s">
        <v>332</v>
      </c>
      <c r="D860" s="1" t="s">
        <v>229</v>
      </c>
      <c r="E860" s="1"/>
    </row>
    <row r="861" spans="1:5" ht="16">
      <c r="A861" s="1" t="s">
        <v>622</v>
      </c>
      <c r="B861" s="1" t="s">
        <v>972</v>
      </c>
      <c r="C861" s="1" t="s">
        <v>332</v>
      </c>
      <c r="D861" s="1" t="s">
        <v>229</v>
      </c>
      <c r="E861" s="1"/>
    </row>
    <row r="862" spans="1:5" ht="16">
      <c r="A862" s="1" t="s">
        <v>622</v>
      </c>
      <c r="B862" s="1" t="s">
        <v>973</v>
      </c>
      <c r="C862" s="1" t="s">
        <v>332</v>
      </c>
      <c r="D862" s="1" t="s">
        <v>229</v>
      </c>
      <c r="E862" s="1"/>
    </row>
    <row r="863" spans="1:5" ht="16">
      <c r="A863" s="1" t="s">
        <v>622</v>
      </c>
      <c r="B863" s="1" t="s">
        <v>974</v>
      </c>
      <c r="C863" s="1" t="s">
        <v>332</v>
      </c>
      <c r="D863" s="1" t="s">
        <v>229</v>
      </c>
      <c r="E863" s="1"/>
    </row>
    <row r="864" spans="1:5" ht="16">
      <c r="A864" s="1" t="s">
        <v>622</v>
      </c>
      <c r="B864" s="1" t="s">
        <v>975</v>
      </c>
      <c r="C864" s="1" t="s">
        <v>332</v>
      </c>
      <c r="D864" s="1" t="s">
        <v>229</v>
      </c>
      <c r="E864" s="1"/>
    </row>
    <row r="865" spans="1:5" ht="16">
      <c r="A865" s="1" t="s">
        <v>622</v>
      </c>
      <c r="B865" s="1" t="s">
        <v>976</v>
      </c>
      <c r="C865" s="1" t="s">
        <v>332</v>
      </c>
      <c r="D865" s="1" t="s">
        <v>229</v>
      </c>
      <c r="E865" s="1"/>
    </row>
    <row r="866" spans="1:5" ht="16">
      <c r="A866" s="1" t="s">
        <v>622</v>
      </c>
      <c r="B866" s="1" t="s">
        <v>977</v>
      </c>
      <c r="C866" s="1" t="s">
        <v>332</v>
      </c>
      <c r="D866" s="1" t="s">
        <v>229</v>
      </c>
      <c r="E866" s="1"/>
    </row>
    <row r="867" spans="1:5" ht="16">
      <c r="A867" s="1" t="s">
        <v>622</v>
      </c>
      <c r="B867" s="1" t="s">
        <v>978</v>
      </c>
      <c r="C867" s="1" t="s">
        <v>332</v>
      </c>
      <c r="D867" s="1" t="s">
        <v>229</v>
      </c>
      <c r="E867" s="1"/>
    </row>
    <row r="868" spans="1:5" ht="16">
      <c r="A868" s="1" t="s">
        <v>622</v>
      </c>
      <c r="B868" s="1" t="s">
        <v>979</v>
      </c>
      <c r="C868" s="1" t="s">
        <v>332</v>
      </c>
      <c r="D868" s="1" t="s">
        <v>229</v>
      </c>
      <c r="E868" s="1"/>
    </row>
    <row r="869" spans="1:5" ht="16">
      <c r="A869" s="1" t="s">
        <v>622</v>
      </c>
      <c r="B869" s="1" t="s">
        <v>980</v>
      </c>
      <c r="C869" s="1" t="s">
        <v>332</v>
      </c>
      <c r="D869" s="1" t="s">
        <v>229</v>
      </c>
      <c r="E869" s="1"/>
    </row>
    <row r="870" spans="1:5" ht="16">
      <c r="A870" s="1" t="s">
        <v>622</v>
      </c>
      <c r="B870" s="1" t="s">
        <v>981</v>
      </c>
      <c r="C870" s="1" t="s">
        <v>332</v>
      </c>
      <c r="D870" s="1" t="s">
        <v>229</v>
      </c>
      <c r="E870" s="1"/>
    </row>
    <row r="871" spans="1:5" ht="16">
      <c r="A871" s="1" t="s">
        <v>622</v>
      </c>
      <c r="B871" s="1" t="s">
        <v>982</v>
      </c>
      <c r="C871" s="1" t="s">
        <v>332</v>
      </c>
      <c r="D871" s="1" t="s">
        <v>229</v>
      </c>
      <c r="E871" s="1"/>
    </row>
    <row r="872" spans="1:5" ht="16">
      <c r="A872" s="1" t="s">
        <v>622</v>
      </c>
      <c r="B872" s="1" t="s">
        <v>983</v>
      </c>
      <c r="C872" s="1" t="s">
        <v>332</v>
      </c>
      <c r="D872" s="1" t="s">
        <v>229</v>
      </c>
      <c r="E872" s="1"/>
    </row>
    <row r="873" spans="1:5" ht="16">
      <c r="A873" s="1" t="s">
        <v>622</v>
      </c>
      <c r="B873" s="1" t="s">
        <v>984</v>
      </c>
      <c r="C873" s="1" t="s">
        <v>332</v>
      </c>
      <c r="D873" s="1" t="s">
        <v>229</v>
      </c>
      <c r="E873" s="1"/>
    </row>
    <row r="874" spans="1:5" ht="16">
      <c r="A874" s="1" t="s">
        <v>622</v>
      </c>
      <c r="B874" s="1" t="s">
        <v>985</v>
      </c>
      <c r="C874" s="1" t="s">
        <v>332</v>
      </c>
      <c r="D874" s="1" t="s">
        <v>229</v>
      </c>
      <c r="E874" s="1"/>
    </row>
    <row r="875" spans="1:5" ht="16">
      <c r="A875" s="1" t="s">
        <v>622</v>
      </c>
      <c r="B875" s="1" t="s">
        <v>986</v>
      </c>
      <c r="C875" s="1" t="s">
        <v>332</v>
      </c>
      <c r="D875" s="1" t="s">
        <v>229</v>
      </c>
      <c r="E875" s="1"/>
    </row>
    <row r="876" spans="1:5" ht="16">
      <c r="A876" s="1" t="s">
        <v>622</v>
      </c>
      <c r="B876" s="1" t="s">
        <v>987</v>
      </c>
      <c r="C876" s="1" t="s">
        <v>332</v>
      </c>
      <c r="D876" s="1" t="s">
        <v>229</v>
      </c>
      <c r="E876" s="1"/>
    </row>
    <row r="877" spans="1:5" ht="16">
      <c r="A877" s="1" t="s">
        <v>622</v>
      </c>
      <c r="B877" s="1" t="s">
        <v>988</v>
      </c>
      <c r="C877" s="1" t="s">
        <v>332</v>
      </c>
      <c r="D877" s="1" t="s">
        <v>229</v>
      </c>
      <c r="E877" s="1"/>
    </row>
    <row r="878" spans="1:5" ht="16">
      <c r="A878" s="1" t="s">
        <v>622</v>
      </c>
      <c r="B878" s="1" t="s">
        <v>989</v>
      </c>
      <c r="C878" s="1" t="s">
        <v>332</v>
      </c>
      <c r="D878" s="1" t="s">
        <v>229</v>
      </c>
      <c r="E878" s="1"/>
    </row>
    <row r="879" spans="1:5" ht="16">
      <c r="A879" s="1" t="s">
        <v>622</v>
      </c>
      <c r="B879" s="1" t="s">
        <v>990</v>
      </c>
      <c r="C879" s="1" t="s">
        <v>332</v>
      </c>
      <c r="D879" s="1" t="s">
        <v>229</v>
      </c>
      <c r="E879" s="1"/>
    </row>
    <row r="880" spans="1:5" ht="16">
      <c r="A880" s="1" t="s">
        <v>622</v>
      </c>
      <c r="B880" s="1" t="s">
        <v>991</v>
      </c>
      <c r="C880" s="1" t="s">
        <v>332</v>
      </c>
      <c r="D880" s="1" t="s">
        <v>229</v>
      </c>
      <c r="E880" s="1"/>
    </row>
    <row r="881" spans="1:5" ht="16">
      <c r="A881" s="1" t="s">
        <v>992</v>
      </c>
      <c r="B881" s="1" t="s">
        <v>631</v>
      </c>
      <c r="C881" s="1" t="s">
        <v>624</v>
      </c>
      <c r="D881" s="1" t="s">
        <v>229</v>
      </c>
      <c r="E881" s="1" t="s">
        <v>500</v>
      </c>
    </row>
    <row r="882" spans="1:5" ht="16">
      <c r="A882" s="1" t="s">
        <v>992</v>
      </c>
      <c r="B882" s="1" t="s">
        <v>632</v>
      </c>
      <c r="C882" s="1" t="s">
        <v>624</v>
      </c>
      <c r="D882" s="1" t="s">
        <v>229</v>
      </c>
      <c r="E882" s="1" t="s">
        <v>500</v>
      </c>
    </row>
    <row r="883" spans="1:5" ht="16">
      <c r="A883" s="1" t="s">
        <v>993</v>
      </c>
      <c r="B883" s="1" t="s">
        <v>994</v>
      </c>
      <c r="C883" s="1" t="s">
        <v>334</v>
      </c>
      <c r="D883" s="1" t="s">
        <v>229</v>
      </c>
      <c r="E883" s="1"/>
    </row>
    <row r="884" spans="1:5" ht="16">
      <c r="A884" s="1" t="s">
        <v>995</v>
      </c>
      <c r="B884" s="1" t="s">
        <v>996</v>
      </c>
      <c r="C884" s="1" t="s">
        <v>332</v>
      </c>
      <c r="D884" s="1" t="s">
        <v>229</v>
      </c>
      <c r="E884" s="1"/>
    </row>
    <row r="885" spans="1:5" ht="16">
      <c r="A885" s="1" t="s">
        <v>995</v>
      </c>
      <c r="B885" s="1" t="s">
        <v>997</v>
      </c>
      <c r="C885" s="1" t="s">
        <v>332</v>
      </c>
      <c r="D885" s="1" t="s">
        <v>229</v>
      </c>
      <c r="E885" s="1"/>
    </row>
    <row r="886" spans="1:5" ht="16">
      <c r="A886" s="1" t="s">
        <v>995</v>
      </c>
      <c r="B886" s="1" t="s">
        <v>998</v>
      </c>
      <c r="C886" s="1" t="s">
        <v>332</v>
      </c>
      <c r="D886" s="1" t="s">
        <v>229</v>
      </c>
      <c r="E886" s="1"/>
    </row>
    <row r="887" spans="1:5" ht="16">
      <c r="A887" s="1" t="s">
        <v>995</v>
      </c>
      <c r="B887" s="1" t="s">
        <v>999</v>
      </c>
      <c r="C887" s="1" t="s">
        <v>332</v>
      </c>
      <c r="D887" s="1" t="s">
        <v>229</v>
      </c>
      <c r="E887" s="1"/>
    </row>
    <row r="888" spans="1:5" ht="16">
      <c r="A888" s="1" t="s">
        <v>995</v>
      </c>
      <c r="B888" s="1" t="s">
        <v>1000</v>
      </c>
      <c r="C888" s="1" t="s">
        <v>332</v>
      </c>
      <c r="D888" s="1" t="s">
        <v>229</v>
      </c>
      <c r="E888" s="1"/>
    </row>
    <row r="889" spans="1:5" ht="16">
      <c r="A889" s="1" t="s">
        <v>995</v>
      </c>
      <c r="B889" s="1" t="s">
        <v>1001</v>
      </c>
      <c r="C889" s="1" t="s">
        <v>332</v>
      </c>
      <c r="D889" s="1" t="s">
        <v>229</v>
      </c>
      <c r="E889" s="1"/>
    </row>
    <row r="890" spans="1:5" ht="16">
      <c r="A890" s="1" t="s">
        <v>995</v>
      </c>
      <c r="B890" s="1" t="s">
        <v>1002</v>
      </c>
      <c r="C890" s="1" t="s">
        <v>332</v>
      </c>
      <c r="D890" s="1" t="s">
        <v>229</v>
      </c>
      <c r="E890" s="1"/>
    </row>
    <row r="891" spans="1:5" ht="16">
      <c r="A891" s="1" t="s">
        <v>995</v>
      </c>
      <c r="B891" s="1" t="s">
        <v>1003</v>
      </c>
      <c r="C891" s="1" t="s">
        <v>332</v>
      </c>
      <c r="D891" s="1" t="s">
        <v>229</v>
      </c>
      <c r="E891" s="1"/>
    </row>
    <row r="892" spans="1:5" ht="16">
      <c r="A892" s="1" t="s">
        <v>995</v>
      </c>
      <c r="B892" s="1" t="s">
        <v>1004</v>
      </c>
      <c r="C892" s="1" t="s">
        <v>332</v>
      </c>
      <c r="D892" s="1" t="s">
        <v>229</v>
      </c>
      <c r="E892" s="1"/>
    </row>
    <row r="893" spans="1:5" ht="16">
      <c r="A893" s="1" t="s">
        <v>995</v>
      </c>
      <c r="B893" s="1" t="s">
        <v>1005</v>
      </c>
      <c r="C893" s="1" t="s">
        <v>332</v>
      </c>
      <c r="D893" s="1" t="s">
        <v>229</v>
      </c>
      <c r="E893" s="1"/>
    </row>
    <row r="894" spans="1:5" ht="16">
      <c r="A894" s="1" t="s">
        <v>995</v>
      </c>
      <c r="B894" s="1" t="s">
        <v>1006</v>
      </c>
      <c r="C894" s="1" t="s">
        <v>332</v>
      </c>
      <c r="D894" s="1" t="s">
        <v>229</v>
      </c>
      <c r="E894" s="1"/>
    </row>
    <row r="895" spans="1:5" ht="16">
      <c r="A895" s="1" t="s">
        <v>995</v>
      </c>
      <c r="B895" s="1" t="s">
        <v>1007</v>
      </c>
      <c r="C895" s="1" t="s">
        <v>332</v>
      </c>
      <c r="D895" s="1" t="s">
        <v>229</v>
      </c>
      <c r="E895" s="1"/>
    </row>
    <row r="896" spans="1:5" ht="16">
      <c r="A896" s="1" t="s">
        <v>995</v>
      </c>
      <c r="B896" s="1" t="s">
        <v>1008</v>
      </c>
      <c r="C896" s="1" t="s">
        <v>332</v>
      </c>
      <c r="D896" s="1" t="s">
        <v>229</v>
      </c>
      <c r="E896" s="1"/>
    </row>
    <row r="897" spans="1:5" ht="16">
      <c r="A897" s="1" t="s">
        <v>995</v>
      </c>
      <c r="B897" s="1" t="s">
        <v>1009</v>
      </c>
      <c r="C897" s="1" t="s">
        <v>332</v>
      </c>
      <c r="D897" s="1" t="s">
        <v>229</v>
      </c>
      <c r="E897" s="1"/>
    </row>
    <row r="898" spans="1:5" ht="16">
      <c r="A898" s="1" t="s">
        <v>995</v>
      </c>
      <c r="B898" s="1" t="s">
        <v>1010</v>
      </c>
      <c r="C898" s="1" t="s">
        <v>332</v>
      </c>
      <c r="D898" s="1" t="s">
        <v>229</v>
      </c>
      <c r="E898" s="1"/>
    </row>
    <row r="899" spans="1:5" ht="16">
      <c r="A899" s="1" t="s">
        <v>995</v>
      </c>
      <c r="B899" s="1" t="s">
        <v>1011</v>
      </c>
      <c r="C899" s="1" t="s">
        <v>332</v>
      </c>
      <c r="D899" s="1" t="s">
        <v>229</v>
      </c>
      <c r="E899" s="1"/>
    </row>
    <row r="900" spans="1:5" ht="16">
      <c r="A900" s="1" t="s">
        <v>995</v>
      </c>
      <c r="B900" s="1" t="s">
        <v>1012</v>
      </c>
      <c r="C900" s="1" t="s">
        <v>332</v>
      </c>
      <c r="D900" s="1" t="s">
        <v>229</v>
      </c>
      <c r="E900" s="1"/>
    </row>
    <row r="901" spans="1:5" ht="16">
      <c r="A901" s="1" t="s">
        <v>995</v>
      </c>
      <c r="B901" s="1" t="s">
        <v>1013</v>
      </c>
      <c r="C901" s="1" t="s">
        <v>332</v>
      </c>
      <c r="D901" s="1" t="s">
        <v>229</v>
      </c>
      <c r="E901" s="1"/>
    </row>
    <row r="902" spans="1:5" ht="16">
      <c r="A902" s="1" t="s">
        <v>995</v>
      </c>
      <c r="B902" s="1" t="s">
        <v>1014</v>
      </c>
      <c r="C902" s="1" t="s">
        <v>332</v>
      </c>
      <c r="D902" s="1" t="s">
        <v>229</v>
      </c>
      <c r="E902" s="1"/>
    </row>
    <row r="903" spans="1:5" ht="16">
      <c r="A903" s="1" t="s">
        <v>995</v>
      </c>
      <c r="B903" s="1" t="s">
        <v>1015</v>
      </c>
      <c r="C903" s="1" t="s">
        <v>332</v>
      </c>
      <c r="D903" s="1" t="s">
        <v>229</v>
      </c>
      <c r="E903" s="1"/>
    </row>
    <row r="904" spans="1:5" ht="16">
      <c r="A904" s="1" t="s">
        <v>995</v>
      </c>
      <c r="B904" s="1" t="s">
        <v>1016</v>
      </c>
      <c r="C904" s="1" t="s">
        <v>332</v>
      </c>
      <c r="D904" s="1" t="s">
        <v>229</v>
      </c>
      <c r="E904" s="1"/>
    </row>
    <row r="905" spans="1:5" ht="16">
      <c r="A905" s="1" t="s">
        <v>995</v>
      </c>
      <c r="B905" s="1" t="s">
        <v>1017</v>
      </c>
      <c r="C905" s="1" t="s">
        <v>332</v>
      </c>
      <c r="D905" s="1" t="s">
        <v>229</v>
      </c>
      <c r="E905" s="1"/>
    </row>
    <row r="906" spans="1:5" ht="16">
      <c r="A906" s="1" t="s">
        <v>995</v>
      </c>
      <c r="B906" s="1" t="s">
        <v>1018</v>
      </c>
      <c r="C906" s="1" t="s">
        <v>332</v>
      </c>
      <c r="D906" s="1" t="s">
        <v>229</v>
      </c>
      <c r="E906" s="1"/>
    </row>
    <row r="907" spans="1:5" ht="16">
      <c r="A907" s="1" t="s">
        <v>995</v>
      </c>
      <c r="B907" s="1" t="s">
        <v>1019</v>
      </c>
      <c r="C907" s="1" t="s">
        <v>332</v>
      </c>
      <c r="D907" s="1" t="s">
        <v>229</v>
      </c>
      <c r="E907" s="1"/>
    </row>
    <row r="908" spans="1:5" ht="16">
      <c r="A908" s="1" t="s">
        <v>995</v>
      </c>
      <c r="B908" s="1" t="s">
        <v>1020</v>
      </c>
      <c r="C908" s="1" t="s">
        <v>332</v>
      </c>
      <c r="D908" s="1" t="s">
        <v>229</v>
      </c>
      <c r="E908" s="1"/>
    </row>
    <row r="909" spans="1:5" ht="16">
      <c r="A909" s="1" t="s">
        <v>995</v>
      </c>
      <c r="B909" s="1" t="s">
        <v>1021</v>
      </c>
      <c r="C909" s="1" t="s">
        <v>332</v>
      </c>
      <c r="D909" s="1" t="s">
        <v>229</v>
      </c>
      <c r="E909" s="1"/>
    </row>
    <row r="910" spans="1:5" ht="16">
      <c r="A910" s="1" t="s">
        <v>995</v>
      </c>
      <c r="B910" s="1" t="s">
        <v>1022</v>
      </c>
      <c r="C910" s="1" t="s">
        <v>332</v>
      </c>
      <c r="D910" s="1" t="s">
        <v>229</v>
      </c>
      <c r="E910" s="1"/>
    </row>
    <row r="911" spans="1:5" ht="16">
      <c r="A911" s="1" t="s">
        <v>995</v>
      </c>
      <c r="B911" s="1" t="s">
        <v>1023</v>
      </c>
      <c r="C911" s="1" t="s">
        <v>1024</v>
      </c>
      <c r="D911" s="1" t="s">
        <v>229</v>
      </c>
      <c r="E911" s="1"/>
    </row>
    <row r="912" spans="1:5" ht="16">
      <c r="A912" s="1" t="s">
        <v>995</v>
      </c>
      <c r="B912" s="1" t="s">
        <v>1025</v>
      </c>
      <c r="C912" s="1" t="s">
        <v>332</v>
      </c>
      <c r="D912" s="1" t="s">
        <v>229</v>
      </c>
      <c r="E912" s="1"/>
    </row>
    <row r="913" spans="1:5" ht="16">
      <c r="A913" s="1" t="s">
        <v>995</v>
      </c>
      <c r="B913" s="1" t="s">
        <v>1026</v>
      </c>
      <c r="C913" s="1" t="s">
        <v>332</v>
      </c>
      <c r="D913" s="1" t="s">
        <v>229</v>
      </c>
      <c r="E913" s="1"/>
    </row>
    <row r="914" spans="1:5" ht="16">
      <c r="A914" s="1" t="s">
        <v>995</v>
      </c>
      <c r="B914" s="1" t="s">
        <v>1027</v>
      </c>
      <c r="C914" s="1" t="s">
        <v>332</v>
      </c>
      <c r="D914" s="1" t="s">
        <v>229</v>
      </c>
      <c r="E914" s="1"/>
    </row>
    <row r="915" spans="1:5" ht="16">
      <c r="A915" s="1" t="s">
        <v>995</v>
      </c>
      <c r="B915" s="1" t="s">
        <v>1028</v>
      </c>
      <c r="C915" s="1" t="s">
        <v>332</v>
      </c>
      <c r="D915" s="1" t="s">
        <v>229</v>
      </c>
      <c r="E915" s="1"/>
    </row>
    <row r="916" spans="1:5" ht="16">
      <c r="A916" s="1" t="s">
        <v>995</v>
      </c>
      <c r="B916" s="1" t="s">
        <v>1029</v>
      </c>
      <c r="C916" s="1" t="s">
        <v>332</v>
      </c>
      <c r="D916" s="1" t="s">
        <v>229</v>
      </c>
      <c r="E916" s="1"/>
    </row>
    <row r="917" spans="1:5" ht="16">
      <c r="A917" s="1" t="s">
        <v>995</v>
      </c>
      <c r="B917" s="1" t="s">
        <v>1030</v>
      </c>
      <c r="C917" s="1" t="s">
        <v>332</v>
      </c>
      <c r="D917" s="1" t="s">
        <v>229</v>
      </c>
      <c r="E917" s="1"/>
    </row>
    <row r="918" spans="1:5" ht="16">
      <c r="A918" s="1" t="s">
        <v>995</v>
      </c>
      <c r="B918" s="1" t="s">
        <v>1031</v>
      </c>
      <c r="C918" s="1" t="s">
        <v>332</v>
      </c>
      <c r="D918" s="1" t="s">
        <v>229</v>
      </c>
      <c r="E918" s="1"/>
    </row>
    <row r="919" spans="1:5" ht="16">
      <c r="A919" s="1" t="s">
        <v>995</v>
      </c>
      <c r="B919" s="1" t="s">
        <v>1032</v>
      </c>
      <c r="C919" s="1" t="s">
        <v>332</v>
      </c>
      <c r="D919" s="1" t="s">
        <v>229</v>
      </c>
      <c r="E919" s="1"/>
    </row>
    <row r="920" spans="1:5" ht="16">
      <c r="A920" s="1" t="s">
        <v>995</v>
      </c>
      <c r="B920" s="1" t="s">
        <v>1033</v>
      </c>
      <c r="C920" s="1" t="s">
        <v>332</v>
      </c>
      <c r="D920" s="1" t="s">
        <v>229</v>
      </c>
      <c r="E920" s="1"/>
    </row>
    <row r="921" spans="1:5" ht="16">
      <c r="A921" s="1" t="s">
        <v>995</v>
      </c>
      <c r="B921" s="1" t="s">
        <v>1034</v>
      </c>
      <c r="C921" s="1" t="s">
        <v>332</v>
      </c>
      <c r="D921" s="1" t="s">
        <v>229</v>
      </c>
      <c r="E921" s="1"/>
    </row>
    <row r="922" spans="1:5" ht="16">
      <c r="A922" s="1" t="s">
        <v>995</v>
      </c>
      <c r="B922" s="1" t="s">
        <v>1035</v>
      </c>
      <c r="C922" s="1" t="s">
        <v>332</v>
      </c>
      <c r="D922" s="1" t="s">
        <v>229</v>
      </c>
      <c r="E922" s="1"/>
    </row>
    <row r="923" spans="1:5" ht="16">
      <c r="A923" s="1" t="s">
        <v>995</v>
      </c>
      <c r="B923" s="1" t="s">
        <v>1036</v>
      </c>
      <c r="C923" s="1" t="s">
        <v>332</v>
      </c>
      <c r="D923" s="1" t="s">
        <v>229</v>
      </c>
      <c r="E923" s="1"/>
    </row>
    <row r="924" spans="1:5" ht="16">
      <c r="A924" s="1" t="s">
        <v>995</v>
      </c>
      <c r="B924" s="1" t="s">
        <v>1037</v>
      </c>
      <c r="C924" s="1" t="s">
        <v>332</v>
      </c>
      <c r="D924" s="1" t="s">
        <v>229</v>
      </c>
      <c r="E924" s="1"/>
    </row>
    <row r="925" spans="1:5" ht="16">
      <c r="A925" s="1" t="s">
        <v>995</v>
      </c>
      <c r="B925" s="1" t="s">
        <v>1038</v>
      </c>
      <c r="C925" s="1" t="s">
        <v>332</v>
      </c>
      <c r="D925" s="1" t="s">
        <v>229</v>
      </c>
      <c r="E925" s="1"/>
    </row>
    <row r="926" spans="1:5" ht="16">
      <c r="A926" s="1" t="s">
        <v>995</v>
      </c>
      <c r="B926" s="1" t="s">
        <v>1039</v>
      </c>
      <c r="C926" s="1" t="s">
        <v>332</v>
      </c>
      <c r="D926" s="1" t="s">
        <v>229</v>
      </c>
      <c r="E926" s="1"/>
    </row>
    <row r="927" spans="1:5" ht="16">
      <c r="A927" s="1" t="s">
        <v>995</v>
      </c>
      <c r="B927" s="1" t="s">
        <v>1040</v>
      </c>
      <c r="C927" s="1" t="s">
        <v>332</v>
      </c>
      <c r="D927" s="1" t="s">
        <v>229</v>
      </c>
      <c r="E927" s="1"/>
    </row>
    <row r="928" spans="1:5" ht="16">
      <c r="A928" s="1" t="s">
        <v>995</v>
      </c>
      <c r="B928" s="1" t="s">
        <v>1041</v>
      </c>
      <c r="C928" s="1" t="s">
        <v>332</v>
      </c>
      <c r="D928" s="1" t="s">
        <v>229</v>
      </c>
      <c r="E928" s="1"/>
    </row>
    <row r="929" spans="1:5" ht="16">
      <c r="A929" s="1" t="s">
        <v>995</v>
      </c>
      <c r="B929" s="1" t="s">
        <v>1042</v>
      </c>
      <c r="C929" s="1" t="s">
        <v>332</v>
      </c>
      <c r="D929" s="1" t="s">
        <v>229</v>
      </c>
      <c r="E929" s="1"/>
    </row>
    <row r="930" spans="1:5" ht="16">
      <c r="A930" s="1" t="s">
        <v>995</v>
      </c>
      <c r="B930" s="1" t="s">
        <v>1043</v>
      </c>
      <c r="C930" s="1" t="s">
        <v>332</v>
      </c>
      <c r="D930" s="1" t="s">
        <v>229</v>
      </c>
      <c r="E930" s="1"/>
    </row>
    <row r="931" spans="1:5" ht="16">
      <c r="A931" s="1" t="s">
        <v>995</v>
      </c>
      <c r="B931" s="1" t="s">
        <v>1044</v>
      </c>
      <c r="C931" s="1" t="s">
        <v>332</v>
      </c>
      <c r="D931" s="1" t="s">
        <v>229</v>
      </c>
      <c r="E931" s="1"/>
    </row>
    <row r="932" spans="1:5" ht="16">
      <c r="A932" s="1" t="s">
        <v>995</v>
      </c>
      <c r="B932" s="1" t="s">
        <v>1045</v>
      </c>
      <c r="C932" s="1" t="s">
        <v>332</v>
      </c>
      <c r="D932" s="1" t="s">
        <v>229</v>
      </c>
      <c r="E932" s="1"/>
    </row>
    <row r="933" spans="1:5" ht="16">
      <c r="A933" s="1" t="s">
        <v>995</v>
      </c>
      <c r="B933" s="1" t="s">
        <v>1046</v>
      </c>
      <c r="C933" s="1" t="s">
        <v>332</v>
      </c>
      <c r="D933" s="1" t="s">
        <v>229</v>
      </c>
      <c r="E933" s="1"/>
    </row>
    <row r="934" spans="1:5" ht="16">
      <c r="A934" s="1" t="s">
        <v>1047</v>
      </c>
      <c r="B934" s="1" t="s">
        <v>1048</v>
      </c>
      <c r="C934" s="1" t="s">
        <v>334</v>
      </c>
      <c r="D934" s="1" t="s">
        <v>229</v>
      </c>
      <c r="E934" s="1"/>
    </row>
    <row r="935" spans="1:5" ht="16">
      <c r="A935" s="1" t="s">
        <v>1047</v>
      </c>
      <c r="B935" s="1" t="s">
        <v>1049</v>
      </c>
      <c r="C935" s="1" t="s">
        <v>334</v>
      </c>
      <c r="D935" s="1" t="s">
        <v>229</v>
      </c>
      <c r="E935" s="1"/>
    </row>
    <row r="936" spans="1:5" ht="16">
      <c r="A936" s="1" t="s">
        <v>1047</v>
      </c>
      <c r="B936" s="1" t="s">
        <v>1050</v>
      </c>
      <c r="C936" s="1" t="s">
        <v>334</v>
      </c>
      <c r="D936" s="1" t="s">
        <v>229</v>
      </c>
      <c r="E936" s="1"/>
    </row>
    <row r="937" spans="1:5" ht="16">
      <c r="A937" s="1" t="s">
        <v>1047</v>
      </c>
      <c r="B937" s="1" t="s">
        <v>1051</v>
      </c>
      <c r="C937" s="1" t="s">
        <v>334</v>
      </c>
      <c r="D937" s="1" t="s">
        <v>229</v>
      </c>
      <c r="E937" s="1"/>
    </row>
    <row r="938" spans="1:5" ht="16">
      <c r="A938" s="1" t="s">
        <v>1047</v>
      </c>
      <c r="B938" s="1" t="s">
        <v>1052</v>
      </c>
      <c r="C938" s="1" t="s">
        <v>334</v>
      </c>
      <c r="D938" s="1" t="s">
        <v>229</v>
      </c>
      <c r="E938" s="1"/>
    </row>
    <row r="939" spans="1:5" ht="16">
      <c r="A939" s="1" t="s">
        <v>1047</v>
      </c>
      <c r="B939" s="1" t="s">
        <v>1053</v>
      </c>
      <c r="C939" s="1" t="s">
        <v>334</v>
      </c>
      <c r="D939" s="1" t="s">
        <v>229</v>
      </c>
      <c r="E939" s="1"/>
    </row>
    <row r="940" spans="1:5" ht="16">
      <c r="A940" s="1" t="s">
        <v>1047</v>
      </c>
      <c r="B940" s="1" t="s">
        <v>1054</v>
      </c>
      <c r="C940" s="1" t="s">
        <v>334</v>
      </c>
      <c r="D940" s="1" t="s">
        <v>229</v>
      </c>
      <c r="E940" s="1"/>
    </row>
    <row r="941" spans="1:5" ht="16">
      <c r="A941" s="1" t="s">
        <v>1047</v>
      </c>
      <c r="B941" s="1" t="s">
        <v>1055</v>
      </c>
      <c r="C941" s="1" t="s">
        <v>334</v>
      </c>
      <c r="D941" s="1" t="s">
        <v>229</v>
      </c>
      <c r="E941" s="1"/>
    </row>
    <row r="942" spans="1:5" ht="16">
      <c r="A942" s="1" t="s">
        <v>1047</v>
      </c>
      <c r="B942" s="1" t="s">
        <v>1056</v>
      </c>
      <c r="C942" s="1" t="s">
        <v>334</v>
      </c>
      <c r="D942" s="1" t="s">
        <v>229</v>
      </c>
      <c r="E942" s="1"/>
    </row>
    <row r="943" spans="1:5" ht="16">
      <c r="A943" s="1" t="s">
        <v>1047</v>
      </c>
      <c r="B943" s="1" t="s">
        <v>1057</v>
      </c>
      <c r="C943" s="1" t="s">
        <v>228</v>
      </c>
      <c r="D943" s="1" t="s">
        <v>229</v>
      </c>
      <c r="E943" s="1"/>
    </row>
    <row r="944" spans="1:5" ht="16">
      <c r="A944" s="1" t="s">
        <v>1047</v>
      </c>
      <c r="B944" s="1" t="s">
        <v>1058</v>
      </c>
      <c r="C944" s="1" t="s">
        <v>228</v>
      </c>
      <c r="D944" s="1" t="s">
        <v>229</v>
      </c>
      <c r="E944" s="1"/>
    </row>
    <row r="945" spans="1:5" ht="16">
      <c r="A945" s="1" t="s">
        <v>1047</v>
      </c>
      <c r="B945" s="1" t="s">
        <v>1059</v>
      </c>
      <c r="C945" s="1" t="s">
        <v>228</v>
      </c>
      <c r="D945" s="1" t="s">
        <v>229</v>
      </c>
      <c r="E945" s="1"/>
    </row>
    <row r="946" spans="1:5" ht="16">
      <c r="A946" s="1" t="s">
        <v>1047</v>
      </c>
      <c r="B946" s="1" t="s">
        <v>1060</v>
      </c>
      <c r="C946" s="1" t="s">
        <v>228</v>
      </c>
      <c r="D946" s="1" t="s">
        <v>229</v>
      </c>
      <c r="E946" s="1"/>
    </row>
    <row r="947" spans="1:5" ht="16">
      <c r="A947" s="1" t="s">
        <v>1047</v>
      </c>
      <c r="B947" s="1" t="s">
        <v>1061</v>
      </c>
      <c r="C947" s="1" t="s">
        <v>234</v>
      </c>
      <c r="D947" s="1" t="s">
        <v>229</v>
      </c>
      <c r="E947" s="1"/>
    </row>
    <row r="948" spans="1:5" ht="16">
      <c r="A948" s="1" t="s">
        <v>1047</v>
      </c>
      <c r="B948" s="1" t="s">
        <v>1062</v>
      </c>
      <c r="C948" s="1" t="s">
        <v>228</v>
      </c>
      <c r="D948" s="1" t="s">
        <v>229</v>
      </c>
      <c r="E948" s="1"/>
    </row>
    <row r="949" spans="1:5" ht="16">
      <c r="A949" s="1" t="s">
        <v>1047</v>
      </c>
      <c r="B949" s="1" t="s">
        <v>1063</v>
      </c>
      <c r="C949" s="1" t="s">
        <v>228</v>
      </c>
      <c r="D949" s="1" t="s">
        <v>229</v>
      </c>
      <c r="E949" s="1"/>
    </row>
    <row r="950" spans="1:5" ht="16">
      <c r="A950" s="1" t="s">
        <v>1047</v>
      </c>
      <c r="B950" s="1" t="s">
        <v>1064</v>
      </c>
      <c r="C950" s="1" t="s">
        <v>228</v>
      </c>
      <c r="D950" s="1" t="s">
        <v>229</v>
      </c>
      <c r="E950" s="1"/>
    </row>
    <row r="951" spans="1:5" ht="16">
      <c r="A951" s="1" t="s">
        <v>1047</v>
      </c>
      <c r="B951" s="1" t="s">
        <v>1065</v>
      </c>
      <c r="C951" s="1" t="s">
        <v>228</v>
      </c>
      <c r="D951" s="1" t="s">
        <v>229</v>
      </c>
      <c r="E951" s="1"/>
    </row>
    <row r="952" spans="1:5" ht="16">
      <c r="A952" s="1" t="s">
        <v>1047</v>
      </c>
      <c r="B952" s="1" t="s">
        <v>1066</v>
      </c>
      <c r="C952" s="1" t="s">
        <v>228</v>
      </c>
      <c r="D952" s="1" t="s">
        <v>229</v>
      </c>
      <c r="E952" s="1"/>
    </row>
    <row r="953" spans="1:5" ht="16">
      <c r="A953" s="1" t="s">
        <v>1047</v>
      </c>
      <c r="B953" s="1" t="s">
        <v>1067</v>
      </c>
      <c r="C953" s="1" t="s">
        <v>228</v>
      </c>
      <c r="D953" s="1" t="s">
        <v>229</v>
      </c>
      <c r="E953" s="1"/>
    </row>
    <row r="954" spans="1:5" ht="16">
      <c r="A954" s="1" t="s">
        <v>1047</v>
      </c>
      <c r="B954" s="1" t="s">
        <v>1068</v>
      </c>
      <c r="C954" s="1" t="s">
        <v>334</v>
      </c>
      <c r="D954" s="1" t="s">
        <v>229</v>
      </c>
      <c r="E954" s="1"/>
    </row>
    <row r="955" spans="1:5" ht="16">
      <c r="A955" s="1" t="s">
        <v>1047</v>
      </c>
      <c r="B955" s="1" t="s">
        <v>1068</v>
      </c>
      <c r="C955" s="1" t="s">
        <v>334</v>
      </c>
      <c r="D955" s="1" t="s">
        <v>229</v>
      </c>
      <c r="E955" s="1"/>
    </row>
    <row r="956" spans="1:5" ht="16">
      <c r="A956" s="1" t="s">
        <v>1047</v>
      </c>
      <c r="B956" s="1" t="s">
        <v>1068</v>
      </c>
      <c r="C956" s="1" t="s">
        <v>334</v>
      </c>
      <c r="D956" s="1" t="s">
        <v>229</v>
      </c>
      <c r="E956" s="1"/>
    </row>
    <row r="957" spans="1:5" ht="16">
      <c r="A957" s="1" t="s">
        <v>1047</v>
      </c>
      <c r="B957" s="1" t="s">
        <v>1068</v>
      </c>
      <c r="C957" s="1" t="s">
        <v>334</v>
      </c>
      <c r="D957" s="1" t="s">
        <v>229</v>
      </c>
      <c r="E957" s="1"/>
    </row>
    <row r="958" spans="1:5" ht="16">
      <c r="A958" s="1" t="s">
        <v>1047</v>
      </c>
      <c r="B958" s="1" t="s">
        <v>1068</v>
      </c>
      <c r="C958" s="1" t="s">
        <v>334</v>
      </c>
      <c r="D958" s="1" t="s">
        <v>229</v>
      </c>
      <c r="E958" s="1"/>
    </row>
    <row r="959" spans="1:5" ht="16">
      <c r="A959" s="1" t="s">
        <v>1047</v>
      </c>
      <c r="B959" s="1" t="s">
        <v>1068</v>
      </c>
      <c r="C959" s="1" t="s">
        <v>334</v>
      </c>
      <c r="D959" s="1" t="s">
        <v>229</v>
      </c>
      <c r="E959" s="1"/>
    </row>
    <row r="960" spans="1:5" ht="16">
      <c r="A960" s="1" t="s">
        <v>1047</v>
      </c>
      <c r="B960" s="1" t="s">
        <v>1068</v>
      </c>
      <c r="C960" s="1" t="s">
        <v>334</v>
      </c>
      <c r="D960" s="1" t="s">
        <v>229</v>
      </c>
      <c r="E960" s="1"/>
    </row>
    <row r="961" spans="1:5" ht="16">
      <c r="A961" s="1" t="s">
        <v>1047</v>
      </c>
      <c r="B961" s="1" t="s">
        <v>1068</v>
      </c>
      <c r="C961" s="1" t="s">
        <v>334</v>
      </c>
      <c r="D961" s="1" t="s">
        <v>229</v>
      </c>
      <c r="E961" s="1"/>
    </row>
    <row r="962" spans="1:5" ht="16">
      <c r="A962" s="1" t="s">
        <v>1047</v>
      </c>
      <c r="B962" s="1" t="s">
        <v>1068</v>
      </c>
      <c r="C962" s="1" t="s">
        <v>334</v>
      </c>
      <c r="D962" s="1" t="s">
        <v>229</v>
      </c>
      <c r="E962" s="1"/>
    </row>
    <row r="963" spans="1:5" ht="16">
      <c r="A963" s="1" t="s">
        <v>1047</v>
      </c>
      <c r="B963" s="1" t="s">
        <v>1068</v>
      </c>
      <c r="C963" s="1" t="s">
        <v>334</v>
      </c>
      <c r="D963" s="1" t="s">
        <v>229</v>
      </c>
      <c r="E963" s="1"/>
    </row>
    <row r="964" spans="1:5" ht="16">
      <c r="A964" s="1" t="s">
        <v>1047</v>
      </c>
      <c r="B964" s="1" t="s">
        <v>1068</v>
      </c>
      <c r="C964" s="1" t="s">
        <v>334</v>
      </c>
      <c r="D964" s="1" t="s">
        <v>229</v>
      </c>
      <c r="E964" s="1"/>
    </row>
    <row r="965" spans="1:5" ht="16">
      <c r="A965" s="1" t="s">
        <v>1047</v>
      </c>
      <c r="B965" s="1" t="s">
        <v>1069</v>
      </c>
      <c r="C965" s="1" t="s">
        <v>234</v>
      </c>
      <c r="D965" s="1" t="s">
        <v>229</v>
      </c>
      <c r="E965" s="1"/>
    </row>
    <row r="966" spans="1:5" ht="16">
      <c r="A966" s="1" t="s">
        <v>1047</v>
      </c>
      <c r="B966" s="1" t="s">
        <v>1070</v>
      </c>
      <c r="C966" s="1" t="s">
        <v>234</v>
      </c>
      <c r="D966" s="1" t="s">
        <v>229</v>
      </c>
      <c r="E966" s="1"/>
    </row>
    <row r="967" spans="1:5" ht="16">
      <c r="A967" s="1" t="s">
        <v>1047</v>
      </c>
      <c r="B967" s="1" t="s">
        <v>1071</v>
      </c>
      <c r="C967" s="1" t="s">
        <v>228</v>
      </c>
      <c r="D967" s="1" t="s">
        <v>229</v>
      </c>
      <c r="E967" s="1"/>
    </row>
    <row r="968" spans="1:5" ht="16">
      <c r="A968" s="1" t="s">
        <v>1047</v>
      </c>
      <c r="B968" s="1" t="s">
        <v>1072</v>
      </c>
      <c r="C968" s="1" t="s">
        <v>228</v>
      </c>
      <c r="D968" s="1" t="s">
        <v>229</v>
      </c>
      <c r="E968" s="1"/>
    </row>
    <row r="969" spans="1:5" ht="16">
      <c r="A969" s="1" t="s">
        <v>1047</v>
      </c>
      <c r="B969" s="1" t="s">
        <v>1073</v>
      </c>
      <c r="C969" s="1" t="s">
        <v>228</v>
      </c>
      <c r="D969" s="1" t="s">
        <v>229</v>
      </c>
      <c r="E969" s="1"/>
    </row>
    <row r="970" spans="1:5" ht="16">
      <c r="A970" s="1" t="s">
        <v>1047</v>
      </c>
      <c r="B970" s="1" t="s">
        <v>1060</v>
      </c>
      <c r="C970" s="1" t="s">
        <v>228</v>
      </c>
      <c r="D970" s="1" t="s">
        <v>229</v>
      </c>
      <c r="E970" s="1"/>
    </row>
    <row r="971" spans="1:5" ht="16">
      <c r="A971" s="1" t="s">
        <v>1047</v>
      </c>
      <c r="B971" s="1" t="s">
        <v>1074</v>
      </c>
      <c r="C971" s="1" t="s">
        <v>334</v>
      </c>
      <c r="D971" s="1" t="s">
        <v>229</v>
      </c>
      <c r="E971" s="1"/>
    </row>
    <row r="972" spans="1:5" ht="16">
      <c r="A972" s="1" t="s">
        <v>1047</v>
      </c>
      <c r="B972" s="1" t="s">
        <v>1075</v>
      </c>
      <c r="C972" s="1" t="s">
        <v>334</v>
      </c>
      <c r="D972" s="1" t="s">
        <v>229</v>
      </c>
      <c r="E972" s="1"/>
    </row>
    <row r="973" spans="1:5" ht="16">
      <c r="A973" s="1" t="s">
        <v>1047</v>
      </c>
      <c r="B973" s="1" t="s">
        <v>1076</v>
      </c>
      <c r="C973" s="1" t="s">
        <v>334</v>
      </c>
      <c r="D973" s="1" t="s">
        <v>229</v>
      </c>
      <c r="E973" s="1"/>
    </row>
    <row r="974" spans="1:5" ht="16">
      <c r="A974" s="1" t="s">
        <v>1047</v>
      </c>
      <c r="B974" s="1" t="s">
        <v>1074</v>
      </c>
      <c r="C974" s="1" t="s">
        <v>334</v>
      </c>
      <c r="D974" s="1" t="s">
        <v>229</v>
      </c>
      <c r="E974" s="1"/>
    </row>
    <row r="975" spans="1:5" ht="16">
      <c r="A975" s="1" t="s">
        <v>1047</v>
      </c>
      <c r="B975" s="1" t="s">
        <v>1077</v>
      </c>
      <c r="C975" s="1" t="s">
        <v>334</v>
      </c>
      <c r="D975" s="1" t="s">
        <v>229</v>
      </c>
      <c r="E975" s="1"/>
    </row>
    <row r="976" spans="1:5" ht="16">
      <c r="A976" s="1" t="s">
        <v>1047</v>
      </c>
      <c r="B976" s="1" t="s">
        <v>1078</v>
      </c>
      <c r="C976" s="1" t="s">
        <v>334</v>
      </c>
      <c r="D976" s="1" t="s">
        <v>229</v>
      </c>
      <c r="E976" s="1"/>
    </row>
    <row r="977" spans="1:5" ht="16">
      <c r="A977" s="1" t="s">
        <v>1047</v>
      </c>
      <c r="B977" s="1" t="s">
        <v>1079</v>
      </c>
      <c r="C977" s="1" t="s">
        <v>334</v>
      </c>
      <c r="D977" s="1" t="s">
        <v>229</v>
      </c>
      <c r="E977" s="1"/>
    </row>
    <row r="978" spans="1:5" ht="16">
      <c r="A978" s="1" t="s">
        <v>1047</v>
      </c>
      <c r="B978" s="1" t="s">
        <v>1080</v>
      </c>
      <c r="C978" s="1" t="s">
        <v>334</v>
      </c>
      <c r="D978" s="1" t="s">
        <v>229</v>
      </c>
      <c r="E978" s="1"/>
    </row>
    <row r="979" spans="1:5" ht="16">
      <c r="A979" s="1" t="s">
        <v>1047</v>
      </c>
      <c r="B979" s="1" t="s">
        <v>1081</v>
      </c>
      <c r="C979" s="1" t="s">
        <v>334</v>
      </c>
      <c r="D979" s="1" t="s">
        <v>229</v>
      </c>
      <c r="E979" s="1"/>
    </row>
    <row r="980" spans="1:5" ht="16">
      <c r="A980" s="1" t="s">
        <v>1047</v>
      </c>
      <c r="B980" s="1" t="s">
        <v>1081</v>
      </c>
      <c r="C980" s="1" t="s">
        <v>334</v>
      </c>
      <c r="D980" s="1" t="s">
        <v>229</v>
      </c>
      <c r="E980" s="1"/>
    </row>
    <row r="981" spans="1:5" ht="16">
      <c r="A981" s="1" t="s">
        <v>1047</v>
      </c>
      <c r="B981" s="1" t="s">
        <v>1082</v>
      </c>
      <c r="C981" s="1" t="s">
        <v>334</v>
      </c>
      <c r="D981" s="1" t="s">
        <v>229</v>
      </c>
      <c r="E981" s="1"/>
    </row>
    <row r="982" spans="1:5" ht="16">
      <c r="A982" s="1" t="s">
        <v>1047</v>
      </c>
      <c r="B982" s="1" t="s">
        <v>1082</v>
      </c>
      <c r="C982" s="1" t="s">
        <v>334</v>
      </c>
      <c r="D982" s="1" t="s">
        <v>229</v>
      </c>
      <c r="E982" s="1"/>
    </row>
    <row r="983" spans="1:5" ht="16">
      <c r="A983" s="1" t="s">
        <v>1047</v>
      </c>
      <c r="B983" s="1" t="s">
        <v>1083</v>
      </c>
      <c r="C983" s="1" t="s">
        <v>334</v>
      </c>
      <c r="D983" s="1" t="s">
        <v>229</v>
      </c>
      <c r="E983" s="1" t="s">
        <v>500</v>
      </c>
    </row>
    <row r="984" spans="1:5" ht="16">
      <c r="A984" s="1" t="s">
        <v>1047</v>
      </c>
      <c r="B984" s="1" t="s">
        <v>1084</v>
      </c>
      <c r="C984" s="1" t="s">
        <v>334</v>
      </c>
      <c r="D984" s="1" t="s">
        <v>229</v>
      </c>
      <c r="E984" s="1" t="s">
        <v>500</v>
      </c>
    </row>
    <row r="985" spans="1:5" ht="16">
      <c r="A985" s="1" t="s">
        <v>1047</v>
      </c>
      <c r="B985" s="1" t="s">
        <v>1085</v>
      </c>
      <c r="C985" s="1" t="s">
        <v>334</v>
      </c>
      <c r="D985" s="1" t="s">
        <v>229</v>
      </c>
      <c r="E985" s="1" t="s">
        <v>500</v>
      </c>
    </row>
    <row r="986" spans="1:5" ht="16">
      <c r="A986" s="1" t="s">
        <v>1047</v>
      </c>
      <c r="B986" s="1" t="s">
        <v>1086</v>
      </c>
      <c r="C986" s="1" t="s">
        <v>364</v>
      </c>
      <c r="D986" s="1" t="s">
        <v>229</v>
      </c>
      <c r="E986" s="1"/>
    </row>
    <row r="987" spans="1:5" ht="16">
      <c r="A987" s="1" t="s">
        <v>1047</v>
      </c>
      <c r="B987" s="1" t="s">
        <v>1087</v>
      </c>
      <c r="C987" s="1" t="s">
        <v>364</v>
      </c>
      <c r="D987" s="1" t="s">
        <v>229</v>
      </c>
      <c r="E987" s="1"/>
    </row>
    <row r="988" spans="1:5" ht="16">
      <c r="A988" s="1" t="s">
        <v>1047</v>
      </c>
      <c r="B988" s="1" t="s">
        <v>1088</v>
      </c>
      <c r="C988" s="1" t="s">
        <v>364</v>
      </c>
      <c r="D988" s="1" t="s">
        <v>229</v>
      </c>
      <c r="E988" s="1"/>
    </row>
    <row r="989" spans="1:5" ht="16">
      <c r="A989" s="1" t="s">
        <v>1047</v>
      </c>
      <c r="B989" s="1" t="s">
        <v>1089</v>
      </c>
      <c r="C989" s="1" t="s">
        <v>364</v>
      </c>
      <c r="D989" s="1" t="s">
        <v>229</v>
      </c>
      <c r="E989" s="1"/>
    </row>
    <row r="990" spans="1:5" ht="16">
      <c r="A990" s="1" t="s">
        <v>1047</v>
      </c>
      <c r="B990" s="1" t="s">
        <v>1090</v>
      </c>
      <c r="C990" s="1" t="s">
        <v>364</v>
      </c>
      <c r="D990" s="1" t="s">
        <v>229</v>
      </c>
      <c r="E990" s="1"/>
    </row>
    <row r="991" spans="1:5" ht="16">
      <c r="A991" s="1" t="s">
        <v>1047</v>
      </c>
      <c r="B991" s="1" t="s">
        <v>1091</v>
      </c>
      <c r="C991" s="1" t="s">
        <v>364</v>
      </c>
      <c r="D991" s="1" t="s">
        <v>229</v>
      </c>
      <c r="E991" s="1"/>
    </row>
    <row r="992" spans="1:5" ht="16">
      <c r="A992" s="1" t="s">
        <v>1047</v>
      </c>
      <c r="B992" s="1" t="s">
        <v>1092</v>
      </c>
      <c r="C992" s="1" t="s">
        <v>228</v>
      </c>
      <c r="D992" s="1" t="s">
        <v>229</v>
      </c>
      <c r="E992" s="1"/>
    </row>
    <row r="993" spans="1:5" ht="16">
      <c r="A993" s="1" t="s">
        <v>1047</v>
      </c>
      <c r="B993" s="1" t="s">
        <v>1093</v>
      </c>
      <c r="C993" s="1" t="s">
        <v>334</v>
      </c>
      <c r="D993" s="1" t="s">
        <v>229</v>
      </c>
      <c r="E993" s="1"/>
    </row>
    <row r="994" spans="1:5" ht="16">
      <c r="A994" s="1" t="s">
        <v>1047</v>
      </c>
      <c r="B994" s="1" t="s">
        <v>1094</v>
      </c>
      <c r="C994" s="1" t="s">
        <v>334</v>
      </c>
      <c r="D994" s="1" t="s">
        <v>229</v>
      </c>
      <c r="E994" s="1"/>
    </row>
    <row r="995" spans="1:5" ht="16">
      <c r="A995" s="1" t="s">
        <v>1047</v>
      </c>
      <c r="B995" s="1" t="s">
        <v>1095</v>
      </c>
      <c r="C995" s="1" t="s">
        <v>334</v>
      </c>
      <c r="D995" s="1" t="s">
        <v>229</v>
      </c>
      <c r="E995" s="1"/>
    </row>
    <row r="996" spans="1:5" ht="16">
      <c r="A996" s="1" t="s">
        <v>1047</v>
      </c>
      <c r="B996" s="1" t="s">
        <v>1096</v>
      </c>
      <c r="C996" s="1" t="s">
        <v>334</v>
      </c>
      <c r="D996" s="1" t="s">
        <v>229</v>
      </c>
      <c r="E996" s="1"/>
    </row>
    <row r="997" spans="1:5" ht="16">
      <c r="A997" s="1" t="s">
        <v>1047</v>
      </c>
      <c r="B997" s="1" t="s">
        <v>1097</v>
      </c>
      <c r="C997" s="1" t="s">
        <v>334</v>
      </c>
      <c r="D997" s="1" t="s">
        <v>229</v>
      </c>
      <c r="E997" s="1"/>
    </row>
    <row r="998" spans="1:5" ht="16">
      <c r="A998" s="1" t="s">
        <v>1047</v>
      </c>
      <c r="B998" s="1" t="s">
        <v>1098</v>
      </c>
      <c r="C998" s="1" t="s">
        <v>334</v>
      </c>
      <c r="D998" s="1" t="s">
        <v>229</v>
      </c>
      <c r="E998" s="1"/>
    </row>
    <row r="999" spans="1:5" ht="16">
      <c r="A999" s="1" t="s">
        <v>1047</v>
      </c>
      <c r="B999" s="1" t="s">
        <v>1094</v>
      </c>
      <c r="C999" s="1" t="s">
        <v>334</v>
      </c>
      <c r="D999" s="1" t="s">
        <v>229</v>
      </c>
      <c r="E999" s="1"/>
    </row>
    <row r="1000" spans="1:5" ht="16">
      <c r="A1000" s="1" t="s">
        <v>1047</v>
      </c>
      <c r="B1000" s="1" t="s">
        <v>1099</v>
      </c>
      <c r="C1000" s="1" t="s">
        <v>334</v>
      </c>
      <c r="D1000" s="1" t="s">
        <v>229</v>
      </c>
      <c r="E1000" s="1"/>
    </row>
    <row r="1001" spans="1:5" ht="16">
      <c r="A1001" s="1" t="s">
        <v>1047</v>
      </c>
      <c r="B1001" s="1" t="s">
        <v>1100</v>
      </c>
      <c r="C1001" s="1" t="s">
        <v>334</v>
      </c>
      <c r="D1001" s="1" t="s">
        <v>229</v>
      </c>
      <c r="E1001" s="1"/>
    </row>
    <row r="1002" spans="1:5" ht="16">
      <c r="A1002" s="1" t="s">
        <v>1047</v>
      </c>
      <c r="B1002" s="1" t="s">
        <v>1101</v>
      </c>
      <c r="C1002" s="1" t="s">
        <v>228</v>
      </c>
      <c r="D1002" s="1" t="s">
        <v>229</v>
      </c>
      <c r="E1002" s="1"/>
    </row>
    <row r="1003" spans="1:5" ht="16">
      <c r="A1003" s="1" t="s">
        <v>1047</v>
      </c>
      <c r="B1003" s="1" t="s">
        <v>1102</v>
      </c>
      <c r="C1003" s="1" t="s">
        <v>228</v>
      </c>
      <c r="D1003" s="1" t="s">
        <v>229</v>
      </c>
      <c r="E1003" s="1"/>
    </row>
    <row r="1004" spans="1:5" ht="16">
      <c r="A1004" s="1" t="s">
        <v>1047</v>
      </c>
      <c r="B1004" s="1" t="s">
        <v>1103</v>
      </c>
      <c r="C1004" s="1" t="s">
        <v>228</v>
      </c>
      <c r="D1004" s="1" t="s">
        <v>229</v>
      </c>
      <c r="E1004" s="1"/>
    </row>
    <row r="1005" spans="1:5" ht="16">
      <c r="A1005" s="1" t="s">
        <v>1047</v>
      </c>
      <c r="B1005" s="1" t="s">
        <v>1104</v>
      </c>
      <c r="C1005" s="1" t="s">
        <v>332</v>
      </c>
      <c r="D1005" s="1" t="s">
        <v>229</v>
      </c>
      <c r="E1005" s="1"/>
    </row>
    <row r="1006" spans="1:5" ht="16">
      <c r="A1006" s="1" t="s">
        <v>1047</v>
      </c>
      <c r="B1006" s="1" t="s">
        <v>1105</v>
      </c>
      <c r="C1006" s="1" t="s">
        <v>332</v>
      </c>
      <c r="D1006" s="1" t="s">
        <v>229</v>
      </c>
      <c r="E1006" s="1"/>
    </row>
    <row r="1007" spans="1:5" ht="16">
      <c r="A1007" s="1" t="s">
        <v>1047</v>
      </c>
      <c r="B1007" s="1" t="s">
        <v>1106</v>
      </c>
      <c r="C1007" s="1" t="s">
        <v>332</v>
      </c>
      <c r="D1007" s="1" t="s">
        <v>229</v>
      </c>
      <c r="E1007" s="1"/>
    </row>
    <row r="1008" spans="1:5" ht="16">
      <c r="A1008" s="1" t="s">
        <v>1047</v>
      </c>
      <c r="B1008" s="1" t="s">
        <v>1107</v>
      </c>
      <c r="C1008" s="1" t="s">
        <v>332</v>
      </c>
      <c r="D1008" s="1" t="s">
        <v>229</v>
      </c>
      <c r="E1008" s="1"/>
    </row>
    <row r="1009" spans="1:5" ht="16">
      <c r="A1009" s="1" t="s">
        <v>1047</v>
      </c>
      <c r="B1009" s="1" t="s">
        <v>1108</v>
      </c>
      <c r="C1009" s="1" t="s">
        <v>332</v>
      </c>
      <c r="D1009" s="1" t="s">
        <v>229</v>
      </c>
      <c r="E1009" s="1"/>
    </row>
    <row r="1010" spans="1:5" ht="16">
      <c r="A1010" s="1" t="s">
        <v>1047</v>
      </c>
      <c r="B1010" s="1" t="s">
        <v>1109</v>
      </c>
      <c r="C1010" s="1" t="s">
        <v>332</v>
      </c>
      <c r="D1010" s="1" t="s">
        <v>229</v>
      </c>
      <c r="E1010" s="1"/>
    </row>
    <row r="1011" spans="1:5" ht="16">
      <c r="A1011" s="1" t="s">
        <v>1047</v>
      </c>
      <c r="B1011" s="1" t="s">
        <v>1110</v>
      </c>
      <c r="C1011" s="1" t="s">
        <v>332</v>
      </c>
      <c r="D1011" s="1" t="s">
        <v>229</v>
      </c>
      <c r="E1011" s="1"/>
    </row>
    <row r="1012" spans="1:5" ht="16">
      <c r="A1012" s="1" t="s">
        <v>1047</v>
      </c>
      <c r="B1012" s="1" t="s">
        <v>1111</v>
      </c>
      <c r="C1012" s="1" t="s">
        <v>332</v>
      </c>
      <c r="D1012" s="1" t="s">
        <v>229</v>
      </c>
      <c r="E1012" s="1"/>
    </row>
    <row r="1013" spans="1:5" ht="16">
      <c r="A1013" s="1" t="s">
        <v>1047</v>
      </c>
      <c r="B1013" s="1" t="s">
        <v>1112</v>
      </c>
      <c r="C1013" s="1" t="s">
        <v>332</v>
      </c>
      <c r="D1013" s="1" t="s">
        <v>229</v>
      </c>
      <c r="E1013" s="1"/>
    </row>
    <row r="1014" spans="1:5" ht="16">
      <c r="A1014" s="1" t="s">
        <v>1047</v>
      </c>
      <c r="B1014" s="1" t="s">
        <v>1113</v>
      </c>
      <c r="C1014" s="1" t="s">
        <v>332</v>
      </c>
      <c r="D1014" s="1" t="s">
        <v>229</v>
      </c>
      <c r="E1014" s="1"/>
    </row>
    <row r="1015" spans="1:5" ht="16">
      <c r="A1015" s="1" t="s">
        <v>1047</v>
      </c>
      <c r="B1015" s="1" t="s">
        <v>1114</v>
      </c>
      <c r="C1015" s="1" t="s">
        <v>332</v>
      </c>
      <c r="D1015" s="1" t="s">
        <v>229</v>
      </c>
      <c r="E1015" s="1"/>
    </row>
    <row r="1016" spans="1:5" ht="16">
      <c r="A1016" s="1" t="s">
        <v>1047</v>
      </c>
      <c r="B1016" s="1" t="s">
        <v>1115</v>
      </c>
      <c r="C1016" s="1" t="s">
        <v>332</v>
      </c>
      <c r="D1016" s="1" t="s">
        <v>229</v>
      </c>
      <c r="E1016" s="1"/>
    </row>
    <row r="1017" spans="1:5" ht="16">
      <c r="A1017" s="1" t="s">
        <v>1047</v>
      </c>
      <c r="B1017" s="1" t="s">
        <v>1116</v>
      </c>
      <c r="C1017" s="1" t="s">
        <v>332</v>
      </c>
      <c r="D1017" s="1" t="s">
        <v>229</v>
      </c>
      <c r="E1017" s="1"/>
    </row>
    <row r="1018" spans="1:5" ht="16">
      <c r="A1018" s="1" t="s">
        <v>1047</v>
      </c>
      <c r="B1018" s="1" t="s">
        <v>1117</v>
      </c>
      <c r="C1018" s="1" t="s">
        <v>332</v>
      </c>
      <c r="D1018" s="1" t="s">
        <v>229</v>
      </c>
      <c r="E1018" s="1"/>
    </row>
    <row r="1019" spans="1:5" ht="16">
      <c r="A1019" s="1" t="s">
        <v>1047</v>
      </c>
      <c r="B1019" s="1" t="s">
        <v>1118</v>
      </c>
      <c r="C1019" s="1" t="s">
        <v>332</v>
      </c>
      <c r="D1019" s="1" t="s">
        <v>229</v>
      </c>
      <c r="E1019" s="1"/>
    </row>
    <row r="1020" spans="1:5" ht="16">
      <c r="A1020" s="1" t="s">
        <v>1047</v>
      </c>
      <c r="B1020" s="1" t="s">
        <v>1119</v>
      </c>
      <c r="C1020" s="1" t="s">
        <v>332</v>
      </c>
      <c r="D1020" s="1" t="s">
        <v>229</v>
      </c>
      <c r="E1020" s="1"/>
    </row>
    <row r="1021" spans="1:5" ht="16">
      <c r="A1021" s="1" t="s">
        <v>1047</v>
      </c>
      <c r="B1021" s="1" t="s">
        <v>1120</v>
      </c>
      <c r="C1021" s="1" t="s">
        <v>332</v>
      </c>
      <c r="D1021" s="1" t="s">
        <v>229</v>
      </c>
      <c r="E1021" s="1"/>
    </row>
    <row r="1022" spans="1:5" ht="16">
      <c r="A1022" s="1" t="s">
        <v>1047</v>
      </c>
      <c r="B1022" s="1" t="s">
        <v>1121</v>
      </c>
      <c r="C1022" s="1" t="s">
        <v>332</v>
      </c>
      <c r="D1022" s="1" t="s">
        <v>229</v>
      </c>
      <c r="E1022" s="1"/>
    </row>
    <row r="1023" spans="1:5" ht="16">
      <c r="A1023" s="1" t="s">
        <v>1047</v>
      </c>
      <c r="B1023" s="1" t="s">
        <v>1122</v>
      </c>
      <c r="C1023" s="1" t="s">
        <v>332</v>
      </c>
      <c r="D1023" s="1" t="s">
        <v>229</v>
      </c>
      <c r="E1023" s="1"/>
    </row>
    <row r="1024" spans="1:5" ht="16">
      <c r="A1024" s="1" t="s">
        <v>1047</v>
      </c>
      <c r="B1024" s="1" t="s">
        <v>1123</v>
      </c>
      <c r="C1024" s="1" t="s">
        <v>332</v>
      </c>
      <c r="D1024" s="1" t="s">
        <v>229</v>
      </c>
      <c r="E1024" s="1"/>
    </row>
    <row r="1025" spans="1:5" ht="16">
      <c r="A1025" s="1" t="s">
        <v>1047</v>
      </c>
      <c r="B1025" s="1" t="s">
        <v>489</v>
      </c>
      <c r="C1025" s="1" t="s">
        <v>334</v>
      </c>
      <c r="D1025" s="1" t="s">
        <v>229</v>
      </c>
      <c r="E1025" s="1"/>
    </row>
    <row r="1026" spans="1:5" ht="16">
      <c r="A1026" s="1" t="s">
        <v>1047</v>
      </c>
      <c r="B1026" s="1" t="s">
        <v>489</v>
      </c>
      <c r="C1026" s="1" t="s">
        <v>334</v>
      </c>
      <c r="D1026" s="1" t="s">
        <v>229</v>
      </c>
      <c r="E1026" s="1"/>
    </row>
    <row r="1027" spans="1:5" ht="16">
      <c r="A1027" s="1" t="s">
        <v>1047</v>
      </c>
      <c r="B1027" s="1" t="s">
        <v>486</v>
      </c>
      <c r="C1027" s="1" t="s">
        <v>334</v>
      </c>
      <c r="D1027" s="1" t="s">
        <v>229</v>
      </c>
      <c r="E1027" s="1"/>
    </row>
    <row r="1028" spans="1:5" ht="16">
      <c r="A1028" s="1" t="s">
        <v>1047</v>
      </c>
      <c r="B1028" s="1" t="s">
        <v>486</v>
      </c>
      <c r="C1028" s="1" t="s">
        <v>334</v>
      </c>
      <c r="D1028" s="1" t="s">
        <v>229</v>
      </c>
      <c r="E1028" s="1"/>
    </row>
    <row r="1029" spans="1:5" ht="16">
      <c r="A1029" s="1" t="s">
        <v>1047</v>
      </c>
      <c r="B1029" s="1" t="s">
        <v>1124</v>
      </c>
      <c r="C1029" s="1" t="s">
        <v>332</v>
      </c>
      <c r="D1029" s="1" t="s">
        <v>229</v>
      </c>
      <c r="E1029" s="1"/>
    </row>
    <row r="1030" spans="1:5" ht="16">
      <c r="A1030" s="1" t="s">
        <v>1047</v>
      </c>
      <c r="B1030" s="1" t="s">
        <v>487</v>
      </c>
      <c r="C1030" s="1" t="s">
        <v>334</v>
      </c>
      <c r="D1030" s="1" t="s">
        <v>229</v>
      </c>
      <c r="E1030" s="1"/>
    </row>
    <row r="1031" spans="1:5" ht="16">
      <c r="A1031" s="1" t="s">
        <v>1047</v>
      </c>
      <c r="B1031" s="1" t="s">
        <v>487</v>
      </c>
      <c r="C1031" s="1" t="s">
        <v>334</v>
      </c>
      <c r="D1031" s="1" t="s">
        <v>229</v>
      </c>
      <c r="E1031" s="1"/>
    </row>
    <row r="1032" spans="1:5" ht="16">
      <c r="A1032" s="1" t="s">
        <v>1047</v>
      </c>
      <c r="B1032" s="1" t="s">
        <v>487</v>
      </c>
      <c r="C1032" s="1" t="s">
        <v>334</v>
      </c>
      <c r="D1032" s="1" t="s">
        <v>229</v>
      </c>
      <c r="E1032" s="1"/>
    </row>
    <row r="1033" spans="1:5" ht="16">
      <c r="A1033" s="1" t="s">
        <v>1047</v>
      </c>
      <c r="B1033" s="1" t="s">
        <v>487</v>
      </c>
      <c r="C1033" s="1" t="s">
        <v>334</v>
      </c>
      <c r="D1033" s="1" t="s">
        <v>229</v>
      </c>
      <c r="E1033" s="1"/>
    </row>
    <row r="1034" spans="1:5" ht="16">
      <c r="A1034" s="1" t="s">
        <v>1047</v>
      </c>
      <c r="B1034" s="1" t="s">
        <v>487</v>
      </c>
      <c r="C1034" s="1" t="s">
        <v>334</v>
      </c>
      <c r="D1034" s="1" t="s">
        <v>229</v>
      </c>
      <c r="E1034" s="1"/>
    </row>
    <row r="1035" spans="1:5" ht="16">
      <c r="A1035" s="1" t="s">
        <v>1047</v>
      </c>
      <c r="B1035" s="1" t="s">
        <v>1125</v>
      </c>
      <c r="C1035" s="1" t="s">
        <v>334</v>
      </c>
      <c r="D1035" s="1" t="s">
        <v>229</v>
      </c>
      <c r="E1035" s="1"/>
    </row>
    <row r="1036" spans="1:5" ht="16">
      <c r="A1036" s="1" t="s">
        <v>1047</v>
      </c>
      <c r="B1036" s="1" t="s">
        <v>1126</v>
      </c>
      <c r="C1036" s="1" t="s">
        <v>334</v>
      </c>
      <c r="D1036" s="1" t="s">
        <v>229</v>
      </c>
      <c r="E1036" s="1"/>
    </row>
    <row r="1037" spans="1:5" ht="16">
      <c r="A1037" s="1" t="s">
        <v>1047</v>
      </c>
      <c r="B1037" s="1" t="s">
        <v>1127</v>
      </c>
      <c r="C1037" s="1" t="s">
        <v>334</v>
      </c>
      <c r="D1037" s="1" t="s">
        <v>229</v>
      </c>
      <c r="E1037" s="1"/>
    </row>
    <row r="1038" spans="1:5" ht="16">
      <c r="A1038" s="1" t="s">
        <v>1047</v>
      </c>
      <c r="B1038" s="1" t="s">
        <v>1128</v>
      </c>
      <c r="C1038" s="1" t="s">
        <v>334</v>
      </c>
      <c r="D1038" s="1" t="s">
        <v>229</v>
      </c>
      <c r="E1038" s="1"/>
    </row>
    <row r="1039" spans="1:5" ht="16">
      <c r="A1039" s="1" t="s">
        <v>1047</v>
      </c>
      <c r="B1039" s="1" t="s">
        <v>1085</v>
      </c>
      <c r="C1039" s="1" t="s">
        <v>334</v>
      </c>
      <c r="D1039" s="1" t="s">
        <v>229</v>
      </c>
      <c r="E1039" s="1" t="s">
        <v>500</v>
      </c>
    </row>
    <row r="1040" spans="1:5" ht="16">
      <c r="A1040" s="1" t="s">
        <v>1047</v>
      </c>
      <c r="B1040" s="1" t="s">
        <v>1129</v>
      </c>
      <c r="C1040" s="1" t="s">
        <v>334</v>
      </c>
      <c r="D1040" s="1" t="s">
        <v>229</v>
      </c>
      <c r="E1040" s="1"/>
    </row>
    <row r="1041" spans="1:5" ht="16">
      <c r="A1041" s="1" t="s">
        <v>1047</v>
      </c>
      <c r="B1041" s="1" t="s">
        <v>1093</v>
      </c>
      <c r="C1041" s="1" t="s">
        <v>334</v>
      </c>
      <c r="D1041" s="1" t="s">
        <v>229</v>
      </c>
      <c r="E1041" s="1"/>
    </row>
    <row r="1042" spans="1:5" ht="16">
      <c r="A1042" s="1" t="s">
        <v>1047</v>
      </c>
      <c r="B1042" s="1" t="s">
        <v>1130</v>
      </c>
      <c r="C1042" s="1" t="s">
        <v>334</v>
      </c>
      <c r="D1042" s="1" t="s">
        <v>229</v>
      </c>
      <c r="E1042" s="1"/>
    </row>
    <row r="1043" spans="1:5" ht="16">
      <c r="A1043" s="1" t="s">
        <v>1047</v>
      </c>
      <c r="B1043" s="1" t="s">
        <v>1093</v>
      </c>
      <c r="C1043" s="1" t="s">
        <v>334</v>
      </c>
      <c r="D1043" s="1" t="s">
        <v>229</v>
      </c>
      <c r="E1043" s="1"/>
    </row>
    <row r="1044" spans="1:5" ht="16">
      <c r="A1044" s="1" t="s">
        <v>1047</v>
      </c>
      <c r="B1044" s="1" t="s">
        <v>1131</v>
      </c>
      <c r="C1044" s="1" t="s">
        <v>334</v>
      </c>
      <c r="D1044" s="1" t="s">
        <v>229</v>
      </c>
      <c r="E1044" s="1"/>
    </row>
    <row r="1045" spans="1:5" ht="16">
      <c r="A1045" s="1" t="s">
        <v>1047</v>
      </c>
      <c r="B1045" s="1" t="s">
        <v>1132</v>
      </c>
      <c r="C1045" s="1" t="s">
        <v>334</v>
      </c>
      <c r="D1045" s="1" t="s">
        <v>229</v>
      </c>
      <c r="E1045" s="1"/>
    </row>
    <row r="1046" spans="1:5" ht="16">
      <c r="A1046" s="1" t="s">
        <v>1047</v>
      </c>
      <c r="B1046" s="1" t="s">
        <v>1132</v>
      </c>
      <c r="C1046" s="1" t="s">
        <v>334</v>
      </c>
      <c r="D1046" s="1" t="s">
        <v>229</v>
      </c>
      <c r="E1046" s="1"/>
    </row>
    <row r="1047" spans="1:5" ht="16">
      <c r="A1047" s="1" t="s">
        <v>1047</v>
      </c>
      <c r="B1047" s="1" t="s">
        <v>489</v>
      </c>
      <c r="C1047" s="1" t="s">
        <v>334</v>
      </c>
      <c r="D1047" s="1" t="s">
        <v>229</v>
      </c>
      <c r="E1047" s="1"/>
    </row>
    <row r="1048" spans="1:5" ht="16">
      <c r="A1048" s="1" t="s">
        <v>1047</v>
      </c>
      <c r="B1048" s="1" t="s">
        <v>489</v>
      </c>
      <c r="C1048" s="1" t="s">
        <v>334</v>
      </c>
      <c r="D1048" s="1" t="s">
        <v>229</v>
      </c>
      <c r="E1048" s="1"/>
    </row>
    <row r="1049" spans="1:5" ht="16">
      <c r="A1049" s="1" t="s">
        <v>1047</v>
      </c>
      <c r="B1049" s="1" t="s">
        <v>487</v>
      </c>
      <c r="C1049" s="1" t="s">
        <v>334</v>
      </c>
      <c r="D1049" s="1" t="s">
        <v>229</v>
      </c>
      <c r="E1049" s="1"/>
    </row>
    <row r="1050" spans="1:5" ht="16">
      <c r="A1050" s="1" t="s">
        <v>1047</v>
      </c>
      <c r="B1050" s="1" t="s">
        <v>487</v>
      </c>
      <c r="C1050" s="1" t="s">
        <v>334</v>
      </c>
      <c r="D1050" s="1" t="s">
        <v>229</v>
      </c>
      <c r="E1050" s="1"/>
    </row>
    <row r="1051" spans="1:5" ht="16">
      <c r="A1051" s="1" t="s">
        <v>1047</v>
      </c>
      <c r="B1051" s="1" t="s">
        <v>487</v>
      </c>
      <c r="C1051" s="1" t="s">
        <v>334</v>
      </c>
      <c r="D1051" s="1" t="s">
        <v>229</v>
      </c>
      <c r="E1051" s="1"/>
    </row>
    <row r="1052" spans="1:5" ht="16">
      <c r="A1052" s="1" t="s">
        <v>1047</v>
      </c>
      <c r="B1052" s="1" t="s">
        <v>487</v>
      </c>
      <c r="C1052" s="1" t="s">
        <v>334</v>
      </c>
      <c r="D1052" s="1" t="s">
        <v>229</v>
      </c>
      <c r="E1052" s="1"/>
    </row>
    <row r="1053" spans="1:5" ht="16">
      <c r="A1053" s="1" t="s">
        <v>1047</v>
      </c>
      <c r="B1053" s="1" t="s">
        <v>487</v>
      </c>
      <c r="C1053" s="1" t="s">
        <v>334</v>
      </c>
      <c r="D1053" s="1" t="s">
        <v>229</v>
      </c>
      <c r="E1053" s="1"/>
    </row>
    <row r="1054" spans="1:5" ht="16">
      <c r="A1054" s="1" t="s">
        <v>1047</v>
      </c>
      <c r="B1054" s="1" t="s">
        <v>489</v>
      </c>
      <c r="C1054" s="1" t="s">
        <v>334</v>
      </c>
      <c r="D1054" s="1" t="s">
        <v>229</v>
      </c>
      <c r="E1054" s="1"/>
    </row>
    <row r="1055" spans="1:5" ht="16">
      <c r="A1055" s="1" t="s">
        <v>1047</v>
      </c>
      <c r="B1055" s="1" t="s">
        <v>489</v>
      </c>
      <c r="C1055" s="1" t="s">
        <v>334</v>
      </c>
      <c r="D1055" s="1" t="s">
        <v>229</v>
      </c>
      <c r="E1055" s="1"/>
    </row>
    <row r="1056" spans="1:5" ht="16">
      <c r="A1056" s="1" t="s">
        <v>1047</v>
      </c>
      <c r="B1056" s="1" t="s">
        <v>486</v>
      </c>
      <c r="C1056" s="1" t="s">
        <v>334</v>
      </c>
      <c r="D1056" s="1" t="s">
        <v>229</v>
      </c>
      <c r="E1056" s="1"/>
    </row>
    <row r="1057" spans="1:5" ht="16">
      <c r="A1057" s="1" t="s">
        <v>1047</v>
      </c>
      <c r="B1057" s="1" t="s">
        <v>486</v>
      </c>
      <c r="C1057" s="1" t="s">
        <v>334</v>
      </c>
      <c r="D1057" s="1" t="s">
        <v>229</v>
      </c>
      <c r="E1057" s="1"/>
    </row>
    <row r="1058" spans="1:5" ht="16">
      <c r="A1058" s="1" t="s">
        <v>1047</v>
      </c>
      <c r="B1058" s="1" t="s">
        <v>487</v>
      </c>
      <c r="C1058" s="1" t="s">
        <v>334</v>
      </c>
      <c r="D1058" s="1" t="s">
        <v>229</v>
      </c>
      <c r="E1058" s="1"/>
    </row>
    <row r="1059" spans="1:5" ht="16">
      <c r="A1059" s="1" t="s">
        <v>1047</v>
      </c>
      <c r="B1059" s="1" t="s">
        <v>487</v>
      </c>
      <c r="C1059" s="1" t="s">
        <v>334</v>
      </c>
      <c r="D1059" s="1" t="s">
        <v>229</v>
      </c>
      <c r="E1059" s="1"/>
    </row>
    <row r="1060" spans="1:5" ht="16">
      <c r="A1060" s="1" t="s">
        <v>1047</v>
      </c>
      <c r="B1060" s="1" t="s">
        <v>487</v>
      </c>
      <c r="C1060" s="1" t="s">
        <v>334</v>
      </c>
      <c r="D1060" s="1" t="s">
        <v>229</v>
      </c>
      <c r="E1060" s="1"/>
    </row>
    <row r="1061" spans="1:5" ht="16">
      <c r="A1061" s="1" t="s">
        <v>1047</v>
      </c>
      <c r="B1061" s="1" t="s">
        <v>487</v>
      </c>
      <c r="C1061" s="1" t="s">
        <v>334</v>
      </c>
      <c r="D1061" s="1" t="s">
        <v>229</v>
      </c>
      <c r="E1061" s="1"/>
    </row>
    <row r="1062" spans="1:5" ht="16">
      <c r="A1062" s="1" t="s">
        <v>1047</v>
      </c>
      <c r="B1062" s="1" t="s">
        <v>487</v>
      </c>
      <c r="C1062" s="1" t="s">
        <v>334</v>
      </c>
      <c r="D1062" s="1" t="s">
        <v>229</v>
      </c>
      <c r="E1062" s="1"/>
    </row>
    <row r="1063" spans="1:5" ht="16">
      <c r="A1063" s="1" t="s">
        <v>1047</v>
      </c>
      <c r="B1063" s="1" t="s">
        <v>486</v>
      </c>
      <c r="C1063" s="1" t="s">
        <v>334</v>
      </c>
      <c r="D1063" s="1" t="s">
        <v>229</v>
      </c>
      <c r="E1063" s="1"/>
    </row>
    <row r="1064" spans="1:5" ht="16">
      <c r="A1064" s="1" t="s">
        <v>1047</v>
      </c>
      <c r="B1064" s="1" t="s">
        <v>486</v>
      </c>
      <c r="C1064" s="1" t="s">
        <v>334</v>
      </c>
      <c r="D1064" s="1" t="s">
        <v>229</v>
      </c>
      <c r="E1064" s="1"/>
    </row>
    <row r="1065" spans="1:5" ht="16">
      <c r="A1065" s="1" t="s">
        <v>1047</v>
      </c>
      <c r="B1065" s="1" t="s">
        <v>1133</v>
      </c>
      <c r="C1065" s="1" t="s">
        <v>334</v>
      </c>
      <c r="D1065" s="1" t="s">
        <v>229</v>
      </c>
      <c r="E1065" s="1"/>
    </row>
    <row r="1066" spans="1:5" ht="16">
      <c r="A1066" s="1" t="s">
        <v>1047</v>
      </c>
      <c r="B1066" s="1" t="s">
        <v>1134</v>
      </c>
      <c r="C1066" s="1" t="s">
        <v>334</v>
      </c>
      <c r="D1066" s="1" t="s">
        <v>229</v>
      </c>
      <c r="E1066" s="1"/>
    </row>
    <row r="1067" spans="1:5" ht="16">
      <c r="A1067" s="1" t="s">
        <v>1047</v>
      </c>
      <c r="B1067" s="1" t="s">
        <v>1135</v>
      </c>
      <c r="C1067" s="1" t="s">
        <v>332</v>
      </c>
      <c r="D1067" s="1" t="s">
        <v>229</v>
      </c>
      <c r="E1067" s="1"/>
    </row>
    <row r="1068" spans="1:5" ht="16">
      <c r="A1068" s="1" t="s">
        <v>1047</v>
      </c>
      <c r="B1068" s="1" t="s">
        <v>1136</v>
      </c>
      <c r="C1068" s="1" t="s">
        <v>332</v>
      </c>
      <c r="D1068" s="1" t="s">
        <v>229</v>
      </c>
      <c r="E1068" s="1"/>
    </row>
    <row r="1069" spans="1:5" ht="16">
      <c r="A1069" s="1" t="s">
        <v>1047</v>
      </c>
      <c r="B1069" s="1" t="s">
        <v>1137</v>
      </c>
      <c r="C1069" s="1" t="s">
        <v>332</v>
      </c>
      <c r="D1069" s="1" t="s">
        <v>229</v>
      </c>
      <c r="E1069" s="1"/>
    </row>
    <row r="1070" spans="1:5" ht="16">
      <c r="A1070" s="1" t="s">
        <v>1047</v>
      </c>
      <c r="B1070" s="1" t="s">
        <v>1138</v>
      </c>
      <c r="C1070" s="1" t="s">
        <v>332</v>
      </c>
      <c r="D1070" s="1" t="s">
        <v>229</v>
      </c>
      <c r="E1070" s="1"/>
    </row>
    <row r="1071" spans="1:5" ht="16">
      <c r="A1071" s="1" t="s">
        <v>1047</v>
      </c>
      <c r="B1071" s="1" t="s">
        <v>1139</v>
      </c>
      <c r="C1071" s="1" t="s">
        <v>332</v>
      </c>
      <c r="D1071" s="1" t="s">
        <v>229</v>
      </c>
      <c r="E1071" s="1"/>
    </row>
    <row r="1072" spans="1:5" ht="16">
      <c r="A1072" s="1" t="s">
        <v>1047</v>
      </c>
      <c r="B1072" s="1" t="s">
        <v>1140</v>
      </c>
      <c r="C1072" s="1" t="s">
        <v>332</v>
      </c>
      <c r="D1072" s="1" t="s">
        <v>229</v>
      </c>
      <c r="E1072" s="1"/>
    </row>
    <row r="1073" spans="1:5" ht="16">
      <c r="A1073" s="1" t="s">
        <v>1047</v>
      </c>
      <c r="B1073" s="1" t="s">
        <v>1141</v>
      </c>
      <c r="C1073" s="1" t="s">
        <v>332</v>
      </c>
      <c r="D1073" s="1" t="s">
        <v>229</v>
      </c>
      <c r="E1073" s="1"/>
    </row>
    <row r="1074" spans="1:5" ht="16">
      <c r="A1074" s="1" t="s">
        <v>1047</v>
      </c>
      <c r="B1074" s="1" t="s">
        <v>1142</v>
      </c>
      <c r="C1074" s="1" t="s">
        <v>332</v>
      </c>
      <c r="D1074" s="1" t="s">
        <v>229</v>
      </c>
      <c r="E1074" s="1"/>
    </row>
    <row r="1075" spans="1:5" ht="16">
      <c r="A1075" s="1" t="s">
        <v>1047</v>
      </c>
      <c r="B1075" s="1" t="s">
        <v>1143</v>
      </c>
      <c r="C1075" s="1" t="s">
        <v>332</v>
      </c>
      <c r="D1075" s="1" t="s">
        <v>229</v>
      </c>
      <c r="E1075" s="1"/>
    </row>
    <row r="1076" spans="1:5" ht="16">
      <c r="A1076" s="1" t="s">
        <v>1047</v>
      </c>
      <c r="B1076" s="1" t="s">
        <v>1144</v>
      </c>
      <c r="C1076" s="1" t="s">
        <v>332</v>
      </c>
      <c r="D1076" s="1" t="s">
        <v>229</v>
      </c>
      <c r="E1076" s="1"/>
    </row>
    <row r="1077" spans="1:5" ht="16">
      <c r="A1077" s="1" t="s">
        <v>1047</v>
      </c>
      <c r="B1077" s="1" t="s">
        <v>1145</v>
      </c>
      <c r="C1077" s="1" t="s">
        <v>332</v>
      </c>
      <c r="D1077" s="1" t="s">
        <v>229</v>
      </c>
      <c r="E1077" s="1"/>
    </row>
    <row r="1078" spans="1:5" ht="16">
      <c r="A1078" s="1" t="s">
        <v>1047</v>
      </c>
      <c r="B1078" s="1" t="s">
        <v>1146</v>
      </c>
      <c r="C1078" s="1" t="s">
        <v>332</v>
      </c>
      <c r="D1078" s="1" t="s">
        <v>229</v>
      </c>
      <c r="E1078" s="1"/>
    </row>
    <row r="1079" spans="1:5" ht="16">
      <c r="A1079" s="1" t="s">
        <v>1047</v>
      </c>
      <c r="B1079" s="1" t="s">
        <v>1147</v>
      </c>
      <c r="C1079" s="1" t="s">
        <v>332</v>
      </c>
      <c r="D1079" s="1" t="s">
        <v>229</v>
      </c>
      <c r="E1079" s="1"/>
    </row>
    <row r="1080" spans="1:5" ht="16">
      <c r="A1080" s="1" t="s">
        <v>1047</v>
      </c>
      <c r="B1080" s="1" t="s">
        <v>1148</v>
      </c>
      <c r="C1080" s="1" t="s">
        <v>332</v>
      </c>
      <c r="D1080" s="1" t="s">
        <v>229</v>
      </c>
      <c r="E1080" s="1"/>
    </row>
    <row r="1081" spans="1:5" ht="16">
      <c r="A1081" s="1" t="s">
        <v>1047</v>
      </c>
      <c r="B1081" s="1" t="s">
        <v>1149</v>
      </c>
      <c r="C1081" s="1" t="s">
        <v>332</v>
      </c>
      <c r="D1081" s="1" t="s">
        <v>229</v>
      </c>
      <c r="E1081" s="1"/>
    </row>
    <row r="1082" spans="1:5" ht="16">
      <c r="A1082" s="1" t="s">
        <v>1047</v>
      </c>
      <c r="B1082" s="1" t="s">
        <v>1150</v>
      </c>
      <c r="C1082" s="1" t="s">
        <v>332</v>
      </c>
      <c r="D1082" s="1" t="s">
        <v>229</v>
      </c>
      <c r="E1082" s="1"/>
    </row>
    <row r="1083" spans="1:5" ht="16">
      <c r="A1083" s="1" t="s">
        <v>1047</v>
      </c>
      <c r="B1083" s="1" t="s">
        <v>1151</v>
      </c>
      <c r="C1083" s="1" t="s">
        <v>334</v>
      </c>
      <c r="D1083" s="1" t="s">
        <v>229</v>
      </c>
      <c r="E1083" s="1" t="s">
        <v>500</v>
      </c>
    </row>
    <row r="1084" spans="1:5" ht="16">
      <c r="A1084" s="1" t="s">
        <v>1047</v>
      </c>
      <c r="B1084" s="1" t="s">
        <v>1152</v>
      </c>
      <c r="C1084" s="1" t="s">
        <v>234</v>
      </c>
      <c r="D1084" s="1" t="s">
        <v>229</v>
      </c>
      <c r="E1084" s="1"/>
    </row>
    <row r="1085" spans="1:5" ht="16">
      <c r="A1085" s="1" t="s">
        <v>1047</v>
      </c>
      <c r="B1085" s="1" t="s">
        <v>1153</v>
      </c>
      <c r="C1085" s="1" t="s">
        <v>234</v>
      </c>
      <c r="D1085" s="1" t="s">
        <v>229</v>
      </c>
      <c r="E1085" s="1"/>
    </row>
    <row r="1086" spans="1:5" ht="16">
      <c r="A1086" s="1" t="s">
        <v>1047</v>
      </c>
      <c r="B1086" s="1" t="s">
        <v>1154</v>
      </c>
      <c r="C1086" s="1" t="s">
        <v>234</v>
      </c>
      <c r="D1086" s="1" t="s">
        <v>229</v>
      </c>
      <c r="E1086" s="1"/>
    </row>
    <row r="1087" spans="1:5" ht="16">
      <c r="A1087" s="1" t="s">
        <v>1047</v>
      </c>
      <c r="B1087" s="1" t="s">
        <v>1155</v>
      </c>
      <c r="C1087" s="1" t="s">
        <v>228</v>
      </c>
      <c r="D1087" s="1" t="s">
        <v>229</v>
      </c>
      <c r="E1087" s="1"/>
    </row>
    <row r="1088" spans="1:5" ht="16">
      <c r="A1088" s="1" t="s">
        <v>1047</v>
      </c>
      <c r="B1088" s="1" t="s">
        <v>1156</v>
      </c>
      <c r="C1088" s="1" t="s">
        <v>234</v>
      </c>
      <c r="D1088" s="1" t="s">
        <v>229</v>
      </c>
      <c r="E1088" s="1"/>
    </row>
    <row r="1089" spans="1:5" ht="16">
      <c r="A1089" s="1" t="s">
        <v>1047</v>
      </c>
      <c r="B1089" s="1" t="s">
        <v>1157</v>
      </c>
      <c r="C1089" s="1" t="s">
        <v>228</v>
      </c>
      <c r="D1089" s="1" t="s">
        <v>229</v>
      </c>
      <c r="E1089" s="1"/>
    </row>
    <row r="1090" spans="1:5" ht="16">
      <c r="A1090" s="1" t="s">
        <v>1047</v>
      </c>
      <c r="B1090" s="1" t="s">
        <v>1158</v>
      </c>
      <c r="C1090" s="1" t="s">
        <v>234</v>
      </c>
      <c r="D1090" s="1" t="s">
        <v>229</v>
      </c>
      <c r="E1090" s="1"/>
    </row>
    <row r="1091" spans="1:5" ht="16">
      <c r="A1091" s="1" t="s">
        <v>1047</v>
      </c>
      <c r="B1091" s="1" t="s">
        <v>1159</v>
      </c>
      <c r="C1091" s="1" t="s">
        <v>228</v>
      </c>
      <c r="D1091" s="1" t="s">
        <v>229</v>
      </c>
      <c r="E1091" s="1"/>
    </row>
    <row r="1092" spans="1:5" ht="16">
      <c r="A1092" s="1" t="s">
        <v>1047</v>
      </c>
      <c r="B1092" s="1" t="s">
        <v>1160</v>
      </c>
      <c r="C1092" s="1" t="s">
        <v>228</v>
      </c>
      <c r="D1092" s="1" t="s">
        <v>229</v>
      </c>
      <c r="E1092" s="1"/>
    </row>
    <row r="1093" spans="1:5" ht="16">
      <c r="A1093" s="1" t="s">
        <v>1047</v>
      </c>
      <c r="B1093" s="1" t="s">
        <v>1161</v>
      </c>
      <c r="C1093" s="1" t="s">
        <v>334</v>
      </c>
      <c r="D1093" s="1" t="s">
        <v>229</v>
      </c>
      <c r="E1093" s="1"/>
    </row>
    <row r="1094" spans="1:5" ht="16">
      <c r="A1094" s="1" t="s">
        <v>1047</v>
      </c>
      <c r="B1094" s="1" t="s">
        <v>1162</v>
      </c>
      <c r="C1094" s="1" t="s">
        <v>334</v>
      </c>
      <c r="D1094" s="1" t="s">
        <v>229</v>
      </c>
      <c r="E1094" s="1"/>
    </row>
    <row r="1095" spans="1:5" ht="16">
      <c r="A1095" s="1" t="s">
        <v>1047</v>
      </c>
      <c r="B1095" s="1" t="s">
        <v>1162</v>
      </c>
      <c r="C1095" s="1" t="s">
        <v>334</v>
      </c>
      <c r="D1095" s="1" t="s">
        <v>229</v>
      </c>
      <c r="E1095" s="1"/>
    </row>
    <row r="1096" spans="1:5" ht="16">
      <c r="A1096" s="1" t="s">
        <v>1047</v>
      </c>
      <c r="B1096" s="1" t="s">
        <v>1163</v>
      </c>
      <c r="C1096" s="1" t="s">
        <v>334</v>
      </c>
      <c r="D1096" s="1" t="s">
        <v>229</v>
      </c>
      <c r="E1096" s="1" t="s">
        <v>500</v>
      </c>
    </row>
    <row r="1097" spans="1:5" ht="16">
      <c r="A1097" s="1" t="s">
        <v>1047</v>
      </c>
      <c r="B1097" s="1" t="s">
        <v>1164</v>
      </c>
      <c r="C1097" s="1" t="s">
        <v>228</v>
      </c>
      <c r="D1097" s="1" t="s">
        <v>229</v>
      </c>
      <c r="E1097" s="1"/>
    </row>
    <row r="1098" spans="1:5" ht="16">
      <c r="A1098" s="1" t="s">
        <v>1047</v>
      </c>
      <c r="B1098" s="1" t="s">
        <v>1165</v>
      </c>
      <c r="C1098" s="1" t="s">
        <v>234</v>
      </c>
      <c r="D1098" s="1" t="s">
        <v>229</v>
      </c>
      <c r="E1098" s="1"/>
    </row>
    <row r="1099" spans="1:5" ht="16">
      <c r="A1099" s="1" t="s">
        <v>1047</v>
      </c>
      <c r="B1099" s="1" t="s">
        <v>1166</v>
      </c>
      <c r="C1099" s="1" t="s">
        <v>234</v>
      </c>
      <c r="D1099" s="1" t="s">
        <v>229</v>
      </c>
      <c r="E1099" s="1"/>
    </row>
    <row r="1100" spans="1:5" ht="16">
      <c r="A1100" s="1" t="s">
        <v>1047</v>
      </c>
      <c r="B1100" s="1" t="s">
        <v>1167</v>
      </c>
      <c r="C1100" s="1" t="s">
        <v>364</v>
      </c>
      <c r="D1100" s="1" t="s">
        <v>229</v>
      </c>
      <c r="E1100" s="1"/>
    </row>
    <row r="1101" spans="1:5" ht="16">
      <c r="A1101" s="1" t="s">
        <v>1047</v>
      </c>
      <c r="B1101" s="1" t="s">
        <v>1168</v>
      </c>
      <c r="C1101" s="1" t="s">
        <v>364</v>
      </c>
      <c r="D1101" s="1" t="s">
        <v>229</v>
      </c>
      <c r="E1101" s="1"/>
    </row>
    <row r="1102" spans="1:5" ht="16">
      <c r="A1102" s="1" t="s">
        <v>1047</v>
      </c>
      <c r="B1102" s="1" t="s">
        <v>1169</v>
      </c>
      <c r="C1102" s="1" t="s">
        <v>364</v>
      </c>
      <c r="D1102" s="1" t="s">
        <v>229</v>
      </c>
      <c r="E1102" s="1"/>
    </row>
    <row r="1103" spans="1:5" ht="16">
      <c r="A1103" s="1" t="s">
        <v>1047</v>
      </c>
      <c r="B1103" s="1" t="s">
        <v>1170</v>
      </c>
      <c r="C1103" s="1" t="s">
        <v>319</v>
      </c>
      <c r="D1103" s="1" t="s">
        <v>229</v>
      </c>
      <c r="E1103" s="1"/>
    </row>
    <row r="1104" spans="1:5" ht="16">
      <c r="A1104" s="1" t="s">
        <v>1047</v>
      </c>
      <c r="B1104" s="1" t="s">
        <v>1170</v>
      </c>
      <c r="C1104" s="1" t="s">
        <v>319</v>
      </c>
      <c r="D1104" s="1" t="s">
        <v>229</v>
      </c>
      <c r="E1104" s="1"/>
    </row>
    <row r="1105" spans="1:5" ht="16">
      <c r="A1105" s="1" t="s">
        <v>1047</v>
      </c>
      <c r="B1105" s="1" t="s">
        <v>1171</v>
      </c>
      <c r="C1105" s="1" t="s">
        <v>319</v>
      </c>
      <c r="D1105" s="1" t="s">
        <v>229</v>
      </c>
      <c r="E1105" s="1"/>
    </row>
    <row r="1106" spans="1:5" ht="16">
      <c r="A1106" s="1" t="s">
        <v>1047</v>
      </c>
      <c r="B1106" s="1" t="s">
        <v>1172</v>
      </c>
      <c r="C1106" s="1" t="s">
        <v>334</v>
      </c>
      <c r="D1106" s="1" t="s">
        <v>229</v>
      </c>
      <c r="E1106" s="1"/>
    </row>
    <row r="1107" spans="1:5" ht="16">
      <c r="A1107" s="1" t="s">
        <v>1047</v>
      </c>
      <c r="B1107" s="1" t="s">
        <v>1173</v>
      </c>
      <c r="C1107" s="1" t="s">
        <v>334</v>
      </c>
      <c r="D1107" s="1" t="s">
        <v>229</v>
      </c>
      <c r="E1107" s="1"/>
    </row>
    <row r="1108" spans="1:5" ht="16">
      <c r="A1108" s="1" t="s">
        <v>1047</v>
      </c>
      <c r="B1108" s="1" t="s">
        <v>1174</v>
      </c>
      <c r="C1108" s="1" t="s">
        <v>364</v>
      </c>
      <c r="D1108" s="1" t="s">
        <v>229</v>
      </c>
      <c r="E1108" s="1"/>
    </row>
    <row r="1109" spans="1:5" ht="16">
      <c r="A1109" s="1" t="s">
        <v>1047</v>
      </c>
      <c r="B1109" s="1" t="s">
        <v>1175</v>
      </c>
      <c r="C1109" s="1" t="s">
        <v>332</v>
      </c>
      <c r="D1109" s="1" t="s">
        <v>229</v>
      </c>
      <c r="E1109" s="1" t="s">
        <v>500</v>
      </c>
    </row>
    <row r="1110" spans="1:5" ht="16">
      <c r="A1110" s="1" t="s">
        <v>1047</v>
      </c>
      <c r="B1110" s="1" t="s">
        <v>1176</v>
      </c>
      <c r="C1110" s="1" t="s">
        <v>332</v>
      </c>
      <c r="D1110" s="1" t="s">
        <v>229</v>
      </c>
      <c r="E1110" s="1" t="s">
        <v>500</v>
      </c>
    </row>
    <row r="1111" spans="1:5" ht="16">
      <c r="A1111" s="1" t="s">
        <v>1047</v>
      </c>
      <c r="B1111" s="1" t="s">
        <v>1177</v>
      </c>
      <c r="C1111" s="1" t="s">
        <v>332</v>
      </c>
      <c r="D1111" s="1" t="s">
        <v>229</v>
      </c>
      <c r="E1111" s="1" t="s">
        <v>500</v>
      </c>
    </row>
    <row r="1112" spans="1:5" ht="16">
      <c r="A1112" s="1" t="s">
        <v>1047</v>
      </c>
      <c r="B1112" s="1" t="s">
        <v>1178</v>
      </c>
      <c r="C1112" s="1" t="s">
        <v>332</v>
      </c>
      <c r="D1112" s="1" t="s">
        <v>229</v>
      </c>
      <c r="E1112" s="1"/>
    </row>
    <row r="1113" spans="1:5" ht="16">
      <c r="A1113" s="1" t="s">
        <v>1047</v>
      </c>
      <c r="B1113" s="1" t="s">
        <v>1179</v>
      </c>
      <c r="C1113" s="1" t="s">
        <v>332</v>
      </c>
      <c r="D1113" s="1" t="s">
        <v>229</v>
      </c>
      <c r="E1113" s="1"/>
    </row>
    <row r="1114" spans="1:5" ht="16">
      <c r="A1114" s="1" t="s">
        <v>1047</v>
      </c>
      <c r="B1114" s="1" t="s">
        <v>1180</v>
      </c>
      <c r="C1114" s="1" t="s">
        <v>332</v>
      </c>
      <c r="D1114" s="1" t="s">
        <v>229</v>
      </c>
      <c r="E1114" s="1"/>
    </row>
    <row r="1115" spans="1:5" ht="16">
      <c r="A1115" s="1" t="s">
        <v>1047</v>
      </c>
      <c r="B1115" s="1" t="s">
        <v>1181</v>
      </c>
      <c r="C1115" s="1" t="s">
        <v>332</v>
      </c>
      <c r="D1115" s="1" t="s">
        <v>229</v>
      </c>
      <c r="E1115" s="1"/>
    </row>
    <row r="1116" spans="1:5" ht="16">
      <c r="A1116" s="1" t="s">
        <v>1047</v>
      </c>
      <c r="B1116" s="1" t="s">
        <v>486</v>
      </c>
      <c r="C1116" s="1" t="s">
        <v>334</v>
      </c>
      <c r="D1116" s="1" t="s">
        <v>229</v>
      </c>
      <c r="E1116" s="1"/>
    </row>
    <row r="1117" spans="1:5" ht="16">
      <c r="A1117" s="1" t="s">
        <v>1047</v>
      </c>
      <c r="B1117" s="1" t="s">
        <v>486</v>
      </c>
      <c r="C1117" s="1" t="s">
        <v>334</v>
      </c>
      <c r="D1117" s="1" t="s">
        <v>229</v>
      </c>
      <c r="E1117" s="1"/>
    </row>
    <row r="1118" spans="1:5" ht="16">
      <c r="A1118" s="1" t="s">
        <v>1047</v>
      </c>
      <c r="B1118" s="1" t="s">
        <v>486</v>
      </c>
      <c r="C1118" s="1" t="s">
        <v>334</v>
      </c>
      <c r="D1118" s="1" t="s">
        <v>229</v>
      </c>
      <c r="E1118" s="1"/>
    </row>
    <row r="1119" spans="1:5" ht="16">
      <c r="A1119" s="1" t="s">
        <v>1047</v>
      </c>
      <c r="B1119" s="1" t="s">
        <v>1182</v>
      </c>
      <c r="C1119" s="1" t="s">
        <v>332</v>
      </c>
      <c r="D1119" s="1" t="s">
        <v>229</v>
      </c>
      <c r="E1119" s="1"/>
    </row>
    <row r="1120" spans="1:5" ht="16">
      <c r="A1120" s="1" t="s">
        <v>1047</v>
      </c>
      <c r="B1120" s="1" t="s">
        <v>1183</v>
      </c>
      <c r="C1120" s="1" t="s">
        <v>332</v>
      </c>
      <c r="D1120" s="1" t="s">
        <v>229</v>
      </c>
      <c r="E1120" s="1"/>
    </row>
    <row r="1121" spans="1:5" ht="16">
      <c r="A1121" s="1" t="s">
        <v>1047</v>
      </c>
      <c r="B1121" s="1" t="s">
        <v>1184</v>
      </c>
      <c r="C1121" s="1" t="s">
        <v>332</v>
      </c>
      <c r="D1121" s="1" t="s">
        <v>229</v>
      </c>
      <c r="E1121" s="1"/>
    </row>
    <row r="1122" spans="1:5" ht="16">
      <c r="A1122" s="1" t="s">
        <v>1047</v>
      </c>
      <c r="B1122" s="1" t="s">
        <v>1185</v>
      </c>
      <c r="C1122" s="1" t="s">
        <v>332</v>
      </c>
      <c r="D1122" s="1" t="s">
        <v>229</v>
      </c>
      <c r="E1122" s="1"/>
    </row>
    <row r="1123" spans="1:5" ht="16">
      <c r="A1123" s="1" t="s">
        <v>1047</v>
      </c>
      <c r="B1123" s="1" t="s">
        <v>1186</v>
      </c>
      <c r="C1123" s="1" t="s">
        <v>332</v>
      </c>
      <c r="D1123" s="1" t="s">
        <v>229</v>
      </c>
      <c r="E1123" s="1"/>
    </row>
    <row r="1124" spans="1:5" ht="16">
      <c r="A1124" s="1" t="s">
        <v>1047</v>
      </c>
      <c r="B1124" s="1" t="s">
        <v>1187</v>
      </c>
      <c r="C1124" s="1" t="s">
        <v>332</v>
      </c>
      <c r="D1124" s="1" t="s">
        <v>229</v>
      </c>
      <c r="E1124" s="1"/>
    </row>
    <row r="1125" spans="1:5" ht="16">
      <c r="A1125" s="1" t="s">
        <v>1047</v>
      </c>
      <c r="B1125" s="1" t="s">
        <v>1188</v>
      </c>
      <c r="C1125" s="1" t="s">
        <v>332</v>
      </c>
      <c r="D1125" s="1" t="s">
        <v>229</v>
      </c>
      <c r="E1125" s="1"/>
    </row>
    <row r="1126" spans="1:5" ht="16">
      <c r="A1126" s="1" t="s">
        <v>1047</v>
      </c>
      <c r="B1126" s="1" t="s">
        <v>1189</v>
      </c>
      <c r="C1126" s="1" t="s">
        <v>332</v>
      </c>
      <c r="D1126" s="1" t="s">
        <v>229</v>
      </c>
      <c r="E1126" s="1"/>
    </row>
    <row r="1127" spans="1:5" ht="16">
      <c r="A1127" s="1" t="s">
        <v>1047</v>
      </c>
      <c r="B1127" s="1" t="s">
        <v>1190</v>
      </c>
      <c r="C1127" s="1" t="s">
        <v>332</v>
      </c>
      <c r="D1127" s="1" t="s">
        <v>229</v>
      </c>
      <c r="E1127" s="1"/>
    </row>
    <row r="1128" spans="1:5" ht="16">
      <c r="A1128" s="1" t="s">
        <v>1047</v>
      </c>
      <c r="B1128" s="1" t="s">
        <v>1191</v>
      </c>
      <c r="C1128" s="1" t="s">
        <v>332</v>
      </c>
      <c r="D1128" s="1" t="s">
        <v>229</v>
      </c>
      <c r="E1128" s="1"/>
    </row>
    <row r="1129" spans="1:5" ht="16">
      <c r="A1129" s="1" t="s">
        <v>1047</v>
      </c>
      <c r="B1129" s="1" t="s">
        <v>1192</v>
      </c>
      <c r="C1129" s="1" t="s">
        <v>332</v>
      </c>
      <c r="D1129" s="1" t="s">
        <v>229</v>
      </c>
      <c r="E1129" s="1" t="s">
        <v>500</v>
      </c>
    </row>
    <row r="1130" spans="1:5" ht="16">
      <c r="A1130" s="1" t="s">
        <v>1047</v>
      </c>
      <c r="B1130" s="1" t="s">
        <v>1193</v>
      </c>
      <c r="C1130" s="1" t="s">
        <v>332</v>
      </c>
      <c r="D1130" s="1" t="s">
        <v>229</v>
      </c>
      <c r="E1130" s="1"/>
    </row>
    <row r="1131" spans="1:5" ht="16">
      <c r="A1131" s="1" t="s">
        <v>1047</v>
      </c>
      <c r="B1131" s="1" t="s">
        <v>1194</v>
      </c>
      <c r="C1131" s="1" t="s">
        <v>332</v>
      </c>
      <c r="D1131" s="1" t="s">
        <v>229</v>
      </c>
      <c r="E1131" s="1"/>
    </row>
    <row r="1132" spans="1:5" ht="16">
      <c r="A1132" s="1" t="s">
        <v>1047</v>
      </c>
      <c r="B1132" s="1" t="s">
        <v>1195</v>
      </c>
      <c r="C1132" s="1" t="s">
        <v>332</v>
      </c>
      <c r="D1132" s="1" t="s">
        <v>229</v>
      </c>
      <c r="E1132" s="1"/>
    </row>
    <row r="1133" spans="1:5" ht="16">
      <c r="A1133" s="1" t="s">
        <v>1047</v>
      </c>
      <c r="B1133" s="1" t="s">
        <v>1196</v>
      </c>
      <c r="C1133" s="1" t="s">
        <v>332</v>
      </c>
      <c r="D1133" s="1" t="s">
        <v>229</v>
      </c>
      <c r="E1133" s="1"/>
    </row>
    <row r="1134" spans="1:5" ht="16">
      <c r="A1134" s="1" t="s">
        <v>1047</v>
      </c>
      <c r="B1134" s="1" t="s">
        <v>1197</v>
      </c>
      <c r="C1134" s="1" t="s">
        <v>228</v>
      </c>
      <c r="D1134" s="1" t="s">
        <v>229</v>
      </c>
      <c r="E1134" s="1"/>
    </row>
    <row r="1135" spans="1:5" ht="16">
      <c r="A1135" s="1" t="s">
        <v>1047</v>
      </c>
      <c r="B1135" s="1" t="s">
        <v>1198</v>
      </c>
      <c r="C1135" s="1" t="s">
        <v>228</v>
      </c>
      <c r="D1135" s="1" t="s">
        <v>229</v>
      </c>
      <c r="E1135" s="1"/>
    </row>
    <row r="1136" spans="1:5" ht="16">
      <c r="A1136" s="1" t="s">
        <v>1047</v>
      </c>
      <c r="B1136" s="1" t="s">
        <v>1199</v>
      </c>
      <c r="C1136" s="1" t="s">
        <v>228</v>
      </c>
      <c r="D1136" s="1" t="s">
        <v>229</v>
      </c>
      <c r="E1136" s="1"/>
    </row>
    <row r="1137" spans="1:5" ht="16">
      <c r="A1137" s="1" t="s">
        <v>1047</v>
      </c>
      <c r="B1137" s="1" t="s">
        <v>1200</v>
      </c>
      <c r="C1137" s="1" t="s">
        <v>228</v>
      </c>
      <c r="D1137" s="1" t="s">
        <v>229</v>
      </c>
      <c r="E1137" s="1"/>
    </row>
    <row r="1138" spans="1:5" ht="16">
      <c r="A1138" s="1" t="s">
        <v>1047</v>
      </c>
      <c r="B1138" s="1" t="s">
        <v>1201</v>
      </c>
      <c r="C1138" s="1" t="s">
        <v>234</v>
      </c>
      <c r="D1138" s="1" t="s">
        <v>229</v>
      </c>
      <c r="E1138" s="1"/>
    </row>
    <row r="1139" spans="1:5" ht="16">
      <c r="A1139" s="1" t="s">
        <v>1047</v>
      </c>
      <c r="B1139" s="1" t="s">
        <v>1068</v>
      </c>
      <c r="C1139" s="1" t="s">
        <v>334</v>
      </c>
      <c r="D1139" s="1" t="s">
        <v>229</v>
      </c>
      <c r="E1139" s="1"/>
    </row>
    <row r="1140" spans="1:5" ht="16">
      <c r="A1140" s="1" t="s">
        <v>1047</v>
      </c>
      <c r="B1140" s="1" t="s">
        <v>1068</v>
      </c>
      <c r="C1140" s="1" t="s">
        <v>334</v>
      </c>
      <c r="D1140" s="1" t="s">
        <v>229</v>
      </c>
      <c r="E1140" s="1"/>
    </row>
    <row r="1141" spans="1:5" ht="16">
      <c r="A1141" s="1" t="s">
        <v>1047</v>
      </c>
      <c r="B1141" s="1" t="s">
        <v>1068</v>
      </c>
      <c r="C1141" s="1" t="s">
        <v>334</v>
      </c>
      <c r="D1141" s="1" t="s">
        <v>229</v>
      </c>
      <c r="E1141" s="1"/>
    </row>
    <row r="1142" spans="1:5" ht="16">
      <c r="A1142" s="1" t="s">
        <v>1047</v>
      </c>
      <c r="B1142" s="1" t="s">
        <v>1068</v>
      </c>
      <c r="C1142" s="1" t="s">
        <v>334</v>
      </c>
      <c r="D1142" s="1" t="s">
        <v>229</v>
      </c>
      <c r="E1142" s="1"/>
    </row>
    <row r="1143" spans="1:5" ht="16">
      <c r="A1143" s="1" t="s">
        <v>1047</v>
      </c>
      <c r="B1143" s="1" t="s">
        <v>1068</v>
      </c>
      <c r="C1143" s="1" t="s">
        <v>334</v>
      </c>
      <c r="D1143" s="1" t="s">
        <v>229</v>
      </c>
      <c r="E1143" s="1"/>
    </row>
    <row r="1144" spans="1:5" ht="16">
      <c r="A1144" s="1" t="s">
        <v>1047</v>
      </c>
      <c r="B1144" s="1" t="s">
        <v>1068</v>
      </c>
      <c r="C1144" s="1" t="s">
        <v>334</v>
      </c>
      <c r="D1144" s="1" t="s">
        <v>229</v>
      </c>
      <c r="E1144" s="1"/>
    </row>
    <row r="1145" spans="1:5" ht="16">
      <c r="A1145" s="1" t="s">
        <v>1047</v>
      </c>
      <c r="B1145" s="1" t="s">
        <v>1068</v>
      </c>
      <c r="C1145" s="1" t="s">
        <v>334</v>
      </c>
      <c r="D1145" s="1" t="s">
        <v>229</v>
      </c>
      <c r="E1145" s="1"/>
    </row>
    <row r="1146" spans="1:5" ht="16">
      <c r="A1146" s="1" t="s">
        <v>1047</v>
      </c>
      <c r="B1146" s="1" t="s">
        <v>1068</v>
      </c>
      <c r="C1146" s="1" t="s">
        <v>334</v>
      </c>
      <c r="D1146" s="1" t="s">
        <v>229</v>
      </c>
      <c r="E1146" s="1"/>
    </row>
    <row r="1147" spans="1:5" ht="16">
      <c r="A1147" s="1" t="s">
        <v>1047</v>
      </c>
      <c r="B1147" s="1" t="s">
        <v>1068</v>
      </c>
      <c r="C1147" s="1" t="s">
        <v>334</v>
      </c>
      <c r="D1147" s="1" t="s">
        <v>229</v>
      </c>
      <c r="E1147" s="1"/>
    </row>
    <row r="1148" spans="1:5" ht="16">
      <c r="A1148" s="1" t="s">
        <v>1047</v>
      </c>
      <c r="B1148" s="1" t="s">
        <v>1068</v>
      </c>
      <c r="C1148" s="1" t="s">
        <v>334</v>
      </c>
      <c r="D1148" s="1" t="s">
        <v>229</v>
      </c>
      <c r="E1148" s="1"/>
    </row>
    <row r="1149" spans="1:5" ht="16">
      <c r="A1149" s="1" t="s">
        <v>1047</v>
      </c>
      <c r="B1149" s="1" t="s">
        <v>1068</v>
      </c>
      <c r="C1149" s="1" t="s">
        <v>334</v>
      </c>
      <c r="D1149" s="1" t="s">
        <v>229</v>
      </c>
      <c r="E1149" s="1"/>
    </row>
    <row r="1150" spans="1:5" ht="16">
      <c r="A1150" s="1" t="s">
        <v>1047</v>
      </c>
      <c r="B1150" s="1" t="s">
        <v>1202</v>
      </c>
      <c r="C1150" s="1" t="s">
        <v>334</v>
      </c>
      <c r="D1150" s="1" t="s">
        <v>229</v>
      </c>
      <c r="E1150" s="1" t="s">
        <v>500</v>
      </c>
    </row>
    <row r="1151" spans="1:5" ht="16">
      <c r="A1151" s="1" t="s">
        <v>1047</v>
      </c>
      <c r="B1151" s="1" t="s">
        <v>489</v>
      </c>
      <c r="C1151" s="1" t="s">
        <v>334</v>
      </c>
      <c r="D1151" s="1" t="s">
        <v>229</v>
      </c>
      <c r="E1151" s="1"/>
    </row>
    <row r="1152" spans="1:5" ht="16">
      <c r="A1152" s="1" t="s">
        <v>1047</v>
      </c>
      <c r="B1152" s="1" t="s">
        <v>489</v>
      </c>
      <c r="C1152" s="1" t="s">
        <v>334</v>
      </c>
      <c r="D1152" s="1" t="s">
        <v>229</v>
      </c>
      <c r="E1152" s="1"/>
    </row>
    <row r="1153" spans="1:5" ht="16">
      <c r="A1153" s="1" t="s">
        <v>1047</v>
      </c>
      <c r="B1153" s="1" t="s">
        <v>489</v>
      </c>
      <c r="C1153" s="1" t="s">
        <v>334</v>
      </c>
      <c r="D1153" s="1" t="s">
        <v>229</v>
      </c>
      <c r="E1153" s="1"/>
    </row>
    <row r="1154" spans="1:5" ht="16">
      <c r="A1154" s="1" t="s">
        <v>1047</v>
      </c>
      <c r="B1154" s="1" t="s">
        <v>486</v>
      </c>
      <c r="C1154" s="1" t="s">
        <v>334</v>
      </c>
      <c r="D1154" s="1" t="s">
        <v>229</v>
      </c>
      <c r="E1154" s="1"/>
    </row>
    <row r="1155" spans="1:5" ht="16">
      <c r="A1155" s="1" t="s">
        <v>1047</v>
      </c>
      <c r="B1155" s="1" t="s">
        <v>486</v>
      </c>
      <c r="C1155" s="1" t="s">
        <v>334</v>
      </c>
      <c r="D1155" s="1" t="s">
        <v>229</v>
      </c>
      <c r="E1155" s="1"/>
    </row>
    <row r="1156" spans="1:5" ht="16">
      <c r="A1156" s="1" t="s">
        <v>1047</v>
      </c>
      <c r="B1156" s="1" t="s">
        <v>486</v>
      </c>
      <c r="C1156" s="1" t="s">
        <v>334</v>
      </c>
      <c r="D1156" s="1" t="s">
        <v>229</v>
      </c>
      <c r="E1156" s="1"/>
    </row>
    <row r="1157" spans="1:5" ht="16">
      <c r="A1157" s="1" t="s">
        <v>1047</v>
      </c>
      <c r="B1157" s="1" t="s">
        <v>1203</v>
      </c>
      <c r="C1157" s="1" t="s">
        <v>364</v>
      </c>
      <c r="D1157" s="1" t="s">
        <v>229</v>
      </c>
      <c r="E1157" s="1"/>
    </row>
    <row r="1158" spans="1:5" ht="16">
      <c r="A1158" s="1" t="s">
        <v>1047</v>
      </c>
      <c r="B1158" s="1" t="s">
        <v>1204</v>
      </c>
      <c r="C1158" s="1" t="s">
        <v>364</v>
      </c>
      <c r="D1158" s="1" t="s">
        <v>229</v>
      </c>
      <c r="E1158" s="1"/>
    </row>
    <row r="1159" spans="1:5" ht="16">
      <c r="A1159" s="1" t="s">
        <v>1047</v>
      </c>
      <c r="B1159" s="1" t="s">
        <v>1205</v>
      </c>
      <c r="C1159" s="1" t="s">
        <v>334</v>
      </c>
      <c r="D1159" s="1" t="s">
        <v>229</v>
      </c>
      <c r="E1159" s="1"/>
    </row>
    <row r="1160" spans="1:5" ht="16">
      <c r="A1160" s="1" t="s">
        <v>1047</v>
      </c>
      <c r="B1160" s="1" t="s">
        <v>1206</v>
      </c>
      <c r="C1160" s="1" t="s">
        <v>334</v>
      </c>
      <c r="D1160" s="1" t="s">
        <v>229</v>
      </c>
      <c r="E1160" s="1"/>
    </row>
    <row r="1161" spans="1:5" ht="16">
      <c r="A1161" s="1" t="s">
        <v>1047</v>
      </c>
      <c r="B1161" s="1" t="s">
        <v>1207</v>
      </c>
      <c r="C1161" s="1" t="s">
        <v>364</v>
      </c>
      <c r="D1161" s="1" t="s">
        <v>229</v>
      </c>
      <c r="E1161" s="1"/>
    </row>
    <row r="1162" spans="1:5" ht="16">
      <c r="A1162" s="1" t="s">
        <v>1047</v>
      </c>
      <c r="B1162" s="1" t="s">
        <v>1068</v>
      </c>
      <c r="C1162" s="1" t="s">
        <v>334</v>
      </c>
      <c r="D1162" s="1" t="s">
        <v>229</v>
      </c>
      <c r="E1162" s="1"/>
    </row>
    <row r="1163" spans="1:5" ht="16">
      <c r="A1163" s="1" t="s">
        <v>1047</v>
      </c>
      <c r="B1163" s="1" t="s">
        <v>1068</v>
      </c>
      <c r="C1163" s="1" t="s">
        <v>334</v>
      </c>
      <c r="D1163" s="1" t="s">
        <v>229</v>
      </c>
      <c r="E1163" s="1"/>
    </row>
    <row r="1164" spans="1:5" ht="16">
      <c r="A1164" s="1" t="s">
        <v>1047</v>
      </c>
      <c r="B1164" s="1" t="s">
        <v>1068</v>
      </c>
      <c r="C1164" s="1" t="s">
        <v>334</v>
      </c>
      <c r="D1164" s="1" t="s">
        <v>229</v>
      </c>
      <c r="E1164" s="1"/>
    </row>
    <row r="1165" spans="1:5" ht="16">
      <c r="A1165" s="1" t="s">
        <v>1047</v>
      </c>
      <c r="B1165" s="1" t="s">
        <v>1068</v>
      </c>
      <c r="C1165" s="1" t="s">
        <v>334</v>
      </c>
      <c r="D1165" s="1" t="s">
        <v>229</v>
      </c>
      <c r="E1165" s="1"/>
    </row>
    <row r="1166" spans="1:5" ht="16">
      <c r="A1166" s="1" t="s">
        <v>1047</v>
      </c>
      <c r="B1166" s="1" t="s">
        <v>487</v>
      </c>
      <c r="C1166" s="1" t="s">
        <v>334</v>
      </c>
      <c r="D1166" s="1" t="s">
        <v>229</v>
      </c>
      <c r="E1166" s="1"/>
    </row>
    <row r="1167" spans="1:5" ht="16">
      <c r="A1167" s="1" t="s">
        <v>1047</v>
      </c>
      <c r="B1167" s="1" t="s">
        <v>487</v>
      </c>
      <c r="C1167" s="1" t="s">
        <v>334</v>
      </c>
      <c r="D1167" s="1" t="s">
        <v>229</v>
      </c>
      <c r="E1167" s="1"/>
    </row>
    <row r="1168" spans="1:5" ht="16">
      <c r="A1168" s="1" t="s">
        <v>1047</v>
      </c>
      <c r="B1168" s="1" t="s">
        <v>487</v>
      </c>
      <c r="C1168" s="1" t="s">
        <v>334</v>
      </c>
      <c r="D1168" s="1" t="s">
        <v>229</v>
      </c>
      <c r="E1168" s="1"/>
    </row>
    <row r="1169" spans="1:5" ht="16">
      <c r="A1169" s="1" t="s">
        <v>1047</v>
      </c>
      <c r="B1169" s="1" t="s">
        <v>1208</v>
      </c>
      <c r="C1169" s="1" t="s">
        <v>334</v>
      </c>
      <c r="D1169" s="1" t="s">
        <v>229</v>
      </c>
      <c r="E1169" s="1"/>
    </row>
    <row r="1170" spans="1:5" ht="16">
      <c r="A1170" s="1" t="s">
        <v>1047</v>
      </c>
      <c r="B1170" s="1" t="s">
        <v>1209</v>
      </c>
      <c r="C1170" s="1" t="s">
        <v>334</v>
      </c>
      <c r="D1170" s="1" t="s">
        <v>229</v>
      </c>
      <c r="E1170" s="1"/>
    </row>
    <row r="1171" spans="1:5" ht="16">
      <c r="A1171" s="1" t="s">
        <v>1047</v>
      </c>
      <c r="B1171" s="1" t="s">
        <v>1210</v>
      </c>
      <c r="C1171" s="1" t="s">
        <v>334</v>
      </c>
      <c r="D1171" s="1" t="s">
        <v>229</v>
      </c>
      <c r="E1171" s="1"/>
    </row>
    <row r="1172" spans="1:5" ht="16">
      <c r="A1172" s="1" t="s">
        <v>1047</v>
      </c>
      <c r="B1172" s="1" t="s">
        <v>1211</v>
      </c>
      <c r="C1172" s="1" t="s">
        <v>334</v>
      </c>
      <c r="D1172" s="1" t="s">
        <v>229</v>
      </c>
      <c r="E1172" s="1"/>
    </row>
    <row r="1173" spans="1:5" ht="16">
      <c r="A1173" s="1" t="s">
        <v>1047</v>
      </c>
      <c r="B1173" s="1" t="s">
        <v>1212</v>
      </c>
      <c r="C1173" s="1" t="s">
        <v>332</v>
      </c>
      <c r="D1173" s="1" t="s">
        <v>229</v>
      </c>
      <c r="E1173" s="1"/>
    </row>
    <row r="1174" spans="1:5" ht="16">
      <c r="A1174" s="1" t="s">
        <v>1047</v>
      </c>
      <c r="B1174" s="1" t="s">
        <v>1213</v>
      </c>
      <c r="C1174" s="1" t="s">
        <v>332</v>
      </c>
      <c r="D1174" s="1" t="s">
        <v>229</v>
      </c>
      <c r="E1174" s="1"/>
    </row>
    <row r="1175" spans="1:5" ht="16">
      <c r="A1175" s="1" t="s">
        <v>1047</v>
      </c>
      <c r="B1175" s="1" t="s">
        <v>1214</v>
      </c>
      <c r="C1175" s="1" t="s">
        <v>332</v>
      </c>
      <c r="D1175" s="1" t="s">
        <v>229</v>
      </c>
      <c r="E1175" s="1"/>
    </row>
    <row r="1176" spans="1:5" ht="16">
      <c r="A1176" s="1" t="s">
        <v>1047</v>
      </c>
      <c r="B1176" s="1" t="s">
        <v>1215</v>
      </c>
      <c r="C1176" s="1" t="s">
        <v>332</v>
      </c>
      <c r="D1176" s="1" t="s">
        <v>229</v>
      </c>
      <c r="E1176" s="1"/>
    </row>
    <row r="1177" spans="1:5" ht="16">
      <c r="A1177" s="1" t="s">
        <v>1047</v>
      </c>
      <c r="B1177" s="1" t="s">
        <v>1216</v>
      </c>
      <c r="C1177" s="1" t="s">
        <v>332</v>
      </c>
      <c r="D1177" s="1" t="s">
        <v>229</v>
      </c>
      <c r="E1177" s="1"/>
    </row>
    <row r="1178" spans="1:5" ht="16">
      <c r="A1178" s="1" t="s">
        <v>1047</v>
      </c>
      <c r="B1178" s="1" t="s">
        <v>1217</v>
      </c>
      <c r="C1178" s="1" t="s">
        <v>332</v>
      </c>
      <c r="D1178" s="1" t="s">
        <v>229</v>
      </c>
      <c r="E1178" s="1"/>
    </row>
    <row r="1179" spans="1:5" ht="16">
      <c r="A1179" s="1" t="s">
        <v>1047</v>
      </c>
      <c r="B1179" s="1" t="s">
        <v>1218</v>
      </c>
      <c r="C1179" s="1" t="s">
        <v>332</v>
      </c>
      <c r="D1179" s="1" t="s">
        <v>229</v>
      </c>
      <c r="E1179" s="1"/>
    </row>
    <row r="1180" spans="1:5" ht="16">
      <c r="A1180" s="1" t="s">
        <v>1047</v>
      </c>
      <c r="B1180" s="1" t="s">
        <v>1219</v>
      </c>
      <c r="C1180" s="1" t="s">
        <v>332</v>
      </c>
      <c r="D1180" s="1" t="s">
        <v>229</v>
      </c>
      <c r="E1180" s="1"/>
    </row>
    <row r="1181" spans="1:5" ht="16">
      <c r="A1181" s="1" t="s">
        <v>1047</v>
      </c>
      <c r="B1181" s="1" t="s">
        <v>1220</v>
      </c>
      <c r="C1181" s="1" t="s">
        <v>332</v>
      </c>
      <c r="D1181" s="1" t="s">
        <v>229</v>
      </c>
      <c r="E1181" s="1"/>
    </row>
    <row r="1182" spans="1:5" ht="16">
      <c r="A1182" s="1" t="s">
        <v>1047</v>
      </c>
      <c r="B1182" s="1" t="s">
        <v>1221</v>
      </c>
      <c r="C1182" s="1" t="s">
        <v>332</v>
      </c>
      <c r="D1182" s="1" t="s">
        <v>229</v>
      </c>
      <c r="E1182" s="1"/>
    </row>
    <row r="1183" spans="1:5" ht="16">
      <c r="A1183" s="1" t="s">
        <v>1047</v>
      </c>
      <c r="B1183" s="1" t="s">
        <v>1222</v>
      </c>
      <c r="C1183" s="1" t="s">
        <v>332</v>
      </c>
      <c r="D1183" s="1" t="s">
        <v>229</v>
      </c>
      <c r="E1183" s="1"/>
    </row>
    <row r="1184" spans="1:5" ht="16">
      <c r="A1184" s="1" t="s">
        <v>1047</v>
      </c>
      <c r="B1184" s="1" t="s">
        <v>1223</v>
      </c>
      <c r="C1184" s="1" t="s">
        <v>332</v>
      </c>
      <c r="D1184" s="1" t="s">
        <v>229</v>
      </c>
      <c r="E1184" s="1"/>
    </row>
    <row r="1185" spans="1:5" ht="16">
      <c r="A1185" s="1" t="s">
        <v>1047</v>
      </c>
      <c r="B1185" s="1" t="s">
        <v>1224</v>
      </c>
      <c r="C1185" s="1" t="s">
        <v>332</v>
      </c>
      <c r="D1185" s="1" t="s">
        <v>229</v>
      </c>
      <c r="E1185" s="1"/>
    </row>
    <row r="1186" spans="1:5" ht="16">
      <c r="A1186" s="1" t="s">
        <v>1047</v>
      </c>
      <c r="B1186" s="1" t="s">
        <v>1225</v>
      </c>
      <c r="C1186" s="1" t="s">
        <v>332</v>
      </c>
      <c r="D1186" s="1" t="s">
        <v>229</v>
      </c>
      <c r="E1186" s="1"/>
    </row>
    <row r="1187" spans="1:5" ht="16">
      <c r="A1187" s="1" t="s">
        <v>1047</v>
      </c>
      <c r="B1187" s="1" t="s">
        <v>1226</v>
      </c>
      <c r="C1187" s="1" t="s">
        <v>332</v>
      </c>
      <c r="D1187" s="1" t="s">
        <v>229</v>
      </c>
      <c r="E1187" s="1"/>
    </row>
    <row r="1188" spans="1:5" ht="16">
      <c r="A1188" s="1" t="s">
        <v>1047</v>
      </c>
      <c r="B1188" s="1" t="s">
        <v>1227</v>
      </c>
      <c r="C1188" s="1" t="s">
        <v>332</v>
      </c>
      <c r="D1188" s="1" t="s">
        <v>229</v>
      </c>
      <c r="E1188" s="1"/>
    </row>
    <row r="1189" spans="1:5" ht="16">
      <c r="A1189" s="1" t="s">
        <v>1047</v>
      </c>
      <c r="B1189" s="1" t="s">
        <v>1228</v>
      </c>
      <c r="C1189" s="1" t="s">
        <v>332</v>
      </c>
      <c r="D1189" s="1" t="s">
        <v>229</v>
      </c>
      <c r="E1189" s="1"/>
    </row>
    <row r="1190" spans="1:5" ht="16">
      <c r="A1190" s="1" t="s">
        <v>1047</v>
      </c>
      <c r="B1190" s="1" t="s">
        <v>1229</v>
      </c>
      <c r="C1190" s="1" t="s">
        <v>332</v>
      </c>
      <c r="D1190" s="1" t="s">
        <v>229</v>
      </c>
      <c r="E1190" s="1"/>
    </row>
    <row r="1191" spans="1:5" ht="16">
      <c r="A1191" s="1" t="s">
        <v>1047</v>
      </c>
      <c r="B1191" s="1" t="s">
        <v>1230</v>
      </c>
      <c r="C1191" s="1" t="s">
        <v>332</v>
      </c>
      <c r="D1191" s="1" t="s">
        <v>229</v>
      </c>
      <c r="E1191" s="1"/>
    </row>
    <row r="1192" spans="1:5" ht="16">
      <c r="A1192" s="1" t="s">
        <v>1047</v>
      </c>
      <c r="B1192" s="1" t="s">
        <v>1231</v>
      </c>
      <c r="C1192" s="1" t="s">
        <v>332</v>
      </c>
      <c r="D1192" s="1" t="s">
        <v>229</v>
      </c>
      <c r="E1192" s="1"/>
    </row>
    <row r="1193" spans="1:5" ht="16">
      <c r="A1193" s="1" t="s">
        <v>1047</v>
      </c>
      <c r="B1193" s="1" t="s">
        <v>1232</v>
      </c>
      <c r="C1193" s="1" t="s">
        <v>332</v>
      </c>
      <c r="D1193" s="1" t="s">
        <v>229</v>
      </c>
      <c r="E1193" s="1"/>
    </row>
    <row r="1194" spans="1:5" ht="16">
      <c r="A1194" s="1" t="s">
        <v>1047</v>
      </c>
      <c r="B1194" s="1" t="s">
        <v>1233</v>
      </c>
      <c r="C1194" s="1" t="s">
        <v>332</v>
      </c>
      <c r="D1194" s="1" t="s">
        <v>229</v>
      </c>
      <c r="E1194" s="1"/>
    </row>
    <row r="1195" spans="1:5" ht="16">
      <c r="A1195" s="1" t="s">
        <v>1047</v>
      </c>
      <c r="B1195" s="1" t="s">
        <v>1234</v>
      </c>
      <c r="C1195" s="1" t="s">
        <v>332</v>
      </c>
      <c r="D1195" s="1" t="s">
        <v>229</v>
      </c>
      <c r="E1195" s="1"/>
    </row>
    <row r="1196" spans="1:5" ht="16">
      <c r="A1196" s="1" t="s">
        <v>1047</v>
      </c>
      <c r="B1196" s="1" t="s">
        <v>1235</v>
      </c>
      <c r="C1196" s="1" t="s">
        <v>332</v>
      </c>
      <c r="D1196" s="1" t="s">
        <v>229</v>
      </c>
      <c r="E1196" s="1"/>
    </row>
    <row r="1197" spans="1:5" ht="16">
      <c r="A1197" s="1" t="s">
        <v>1047</v>
      </c>
      <c r="B1197" s="1" t="s">
        <v>1236</v>
      </c>
      <c r="C1197" s="1" t="s">
        <v>332</v>
      </c>
      <c r="D1197" s="1" t="s">
        <v>229</v>
      </c>
      <c r="E1197" s="1"/>
    </row>
    <row r="1198" spans="1:5" ht="16">
      <c r="A1198" s="1" t="s">
        <v>1047</v>
      </c>
      <c r="B1198" s="1" t="s">
        <v>1237</v>
      </c>
      <c r="C1198" s="1" t="s">
        <v>332</v>
      </c>
      <c r="D1198" s="1" t="s">
        <v>229</v>
      </c>
      <c r="E1198" s="1"/>
    </row>
    <row r="1199" spans="1:5" ht="16">
      <c r="A1199" s="1" t="s">
        <v>1047</v>
      </c>
      <c r="B1199" s="1" t="s">
        <v>1238</v>
      </c>
      <c r="C1199" s="1" t="s">
        <v>332</v>
      </c>
      <c r="D1199" s="1" t="s">
        <v>229</v>
      </c>
      <c r="E1199" s="1"/>
    </row>
    <row r="1200" spans="1:5" ht="16">
      <c r="A1200" s="1" t="s">
        <v>1047</v>
      </c>
      <c r="B1200" s="1" t="s">
        <v>1239</v>
      </c>
      <c r="C1200" s="1" t="s">
        <v>332</v>
      </c>
      <c r="D1200" s="1" t="s">
        <v>229</v>
      </c>
      <c r="E1200" s="1"/>
    </row>
    <row r="1201" spans="1:5" ht="16">
      <c r="A1201" s="1" t="s">
        <v>1047</v>
      </c>
      <c r="B1201" s="1" t="s">
        <v>1240</v>
      </c>
      <c r="C1201" s="1" t="s">
        <v>332</v>
      </c>
      <c r="D1201" s="1" t="s">
        <v>229</v>
      </c>
      <c r="E1201" s="1"/>
    </row>
    <row r="1202" spans="1:5" ht="16">
      <c r="A1202" s="1" t="s">
        <v>1047</v>
      </c>
      <c r="B1202" s="1" t="s">
        <v>532</v>
      </c>
      <c r="C1202" s="1" t="s">
        <v>334</v>
      </c>
      <c r="D1202" s="1" t="s">
        <v>229</v>
      </c>
      <c r="E1202" s="1"/>
    </row>
    <row r="1203" spans="1:5" ht="16">
      <c r="A1203" s="1" t="s">
        <v>1047</v>
      </c>
      <c r="B1203" s="1" t="s">
        <v>532</v>
      </c>
      <c r="C1203" s="1" t="s">
        <v>334</v>
      </c>
      <c r="D1203" s="1" t="s">
        <v>229</v>
      </c>
      <c r="E1203" s="1"/>
    </row>
    <row r="1204" spans="1:5" ht="16">
      <c r="A1204" s="1" t="s">
        <v>1047</v>
      </c>
      <c r="B1204" s="1" t="s">
        <v>532</v>
      </c>
      <c r="C1204" s="1" t="s">
        <v>334</v>
      </c>
      <c r="D1204" s="1" t="s">
        <v>229</v>
      </c>
      <c r="E1204" s="1"/>
    </row>
    <row r="1205" spans="1:5" ht="16">
      <c r="A1205" s="1" t="s">
        <v>1047</v>
      </c>
      <c r="B1205" s="1" t="s">
        <v>1241</v>
      </c>
      <c r="C1205" s="1" t="s">
        <v>228</v>
      </c>
      <c r="D1205" s="1" t="s">
        <v>229</v>
      </c>
      <c r="E1205" s="1"/>
    </row>
    <row r="1206" spans="1:5" ht="16">
      <c r="A1206" s="1" t="s">
        <v>1047</v>
      </c>
      <c r="B1206" s="1" t="s">
        <v>1242</v>
      </c>
      <c r="C1206" s="1" t="s">
        <v>228</v>
      </c>
      <c r="D1206" s="1" t="s">
        <v>229</v>
      </c>
      <c r="E1206" s="1"/>
    </row>
    <row r="1207" spans="1:5" ht="16">
      <c r="A1207" s="1" t="s">
        <v>1047</v>
      </c>
      <c r="B1207" s="1" t="s">
        <v>1243</v>
      </c>
      <c r="C1207" s="1" t="s">
        <v>228</v>
      </c>
      <c r="D1207" s="1" t="s">
        <v>229</v>
      </c>
      <c r="E1207" s="1"/>
    </row>
    <row r="1208" spans="1:5" ht="16">
      <c r="A1208" s="1" t="s">
        <v>1047</v>
      </c>
      <c r="B1208" s="1" t="s">
        <v>1244</v>
      </c>
      <c r="C1208" s="1" t="s">
        <v>234</v>
      </c>
      <c r="D1208" s="1" t="s">
        <v>229</v>
      </c>
      <c r="E1208" s="1"/>
    </row>
    <row r="1209" spans="1:5" ht="16">
      <c r="A1209" s="1" t="s">
        <v>1047</v>
      </c>
      <c r="B1209" s="1" t="s">
        <v>1245</v>
      </c>
      <c r="C1209" s="1" t="s">
        <v>234</v>
      </c>
      <c r="D1209" s="1" t="s">
        <v>229</v>
      </c>
      <c r="E1209" s="1"/>
    </row>
    <row r="1210" spans="1:5" ht="16">
      <c r="A1210" s="1" t="s">
        <v>1047</v>
      </c>
      <c r="B1210" s="1" t="s">
        <v>1246</v>
      </c>
      <c r="C1210" s="1" t="s">
        <v>334</v>
      </c>
      <c r="D1210" s="1" t="s">
        <v>229</v>
      </c>
      <c r="E1210" s="1"/>
    </row>
    <row r="1211" spans="1:5" ht="16">
      <c r="A1211" s="1" t="s">
        <v>1047</v>
      </c>
      <c r="B1211" s="1" t="s">
        <v>1247</v>
      </c>
      <c r="C1211" s="1" t="s">
        <v>334</v>
      </c>
      <c r="D1211" s="1" t="s">
        <v>229</v>
      </c>
      <c r="E1211" s="1"/>
    </row>
    <row r="1212" spans="1:5" ht="16">
      <c r="A1212" s="1" t="s">
        <v>1047</v>
      </c>
      <c r="B1212" s="1" t="s">
        <v>1248</v>
      </c>
      <c r="C1212" s="1" t="s">
        <v>334</v>
      </c>
      <c r="D1212" s="1" t="s">
        <v>229</v>
      </c>
      <c r="E1212" s="1"/>
    </row>
    <row r="1213" spans="1:5" ht="16">
      <c r="A1213" s="1" t="s">
        <v>1047</v>
      </c>
      <c r="B1213" s="1" t="s">
        <v>1110</v>
      </c>
      <c r="C1213" s="1" t="s">
        <v>332</v>
      </c>
      <c r="D1213" s="1" t="s">
        <v>229</v>
      </c>
      <c r="E1213" s="1"/>
    </row>
    <row r="1214" spans="1:5" ht="16">
      <c r="A1214" s="1" t="s">
        <v>1047</v>
      </c>
      <c r="B1214" s="1" t="s">
        <v>1249</v>
      </c>
      <c r="C1214" s="1" t="s">
        <v>334</v>
      </c>
      <c r="D1214" s="1" t="s">
        <v>229</v>
      </c>
      <c r="E1214" s="1" t="s">
        <v>500</v>
      </c>
    </row>
    <row r="1215" spans="1:5" ht="16">
      <c r="A1215" s="1" t="s">
        <v>1047</v>
      </c>
      <c r="B1215" s="1" t="s">
        <v>1250</v>
      </c>
      <c r="C1215" s="1" t="s">
        <v>319</v>
      </c>
      <c r="D1215" s="1" t="s">
        <v>229</v>
      </c>
      <c r="E1215" s="1"/>
    </row>
    <row r="1216" spans="1:5" ht="16">
      <c r="A1216" s="1" t="s">
        <v>1047</v>
      </c>
      <c r="B1216" s="1" t="s">
        <v>1251</v>
      </c>
      <c r="C1216" s="1" t="s">
        <v>332</v>
      </c>
      <c r="D1216" s="1" t="s">
        <v>229</v>
      </c>
      <c r="E1216" s="1"/>
    </row>
    <row r="1217" spans="1:5" ht="16">
      <c r="A1217" s="1" t="s">
        <v>1047</v>
      </c>
      <c r="B1217" s="1" t="s">
        <v>1252</v>
      </c>
      <c r="C1217" s="1" t="s">
        <v>332</v>
      </c>
      <c r="D1217" s="1" t="s">
        <v>229</v>
      </c>
      <c r="E1217" s="1"/>
    </row>
    <row r="1218" spans="1:5" ht="16">
      <c r="A1218" s="1" t="s">
        <v>1047</v>
      </c>
      <c r="B1218" s="1" t="s">
        <v>1253</v>
      </c>
      <c r="C1218" s="1" t="s">
        <v>332</v>
      </c>
      <c r="D1218" s="1" t="s">
        <v>229</v>
      </c>
      <c r="E1218" s="1"/>
    </row>
    <row r="1219" spans="1:5" ht="16">
      <c r="A1219" s="1" t="s">
        <v>1047</v>
      </c>
      <c r="B1219" s="1" t="s">
        <v>1254</v>
      </c>
      <c r="C1219" s="1" t="s">
        <v>332</v>
      </c>
      <c r="D1219" s="1" t="s">
        <v>229</v>
      </c>
      <c r="E1219" s="1"/>
    </row>
    <row r="1220" spans="1:5" ht="16">
      <c r="A1220" s="1" t="s">
        <v>1047</v>
      </c>
      <c r="B1220" s="1" t="s">
        <v>1255</v>
      </c>
      <c r="C1220" s="1" t="s">
        <v>332</v>
      </c>
      <c r="D1220" s="1" t="s">
        <v>229</v>
      </c>
      <c r="E1220" s="1"/>
    </row>
    <row r="1221" spans="1:5" ht="16">
      <c r="A1221" s="1" t="s">
        <v>1047</v>
      </c>
      <c r="B1221" s="1" t="s">
        <v>1256</v>
      </c>
      <c r="C1221" s="1" t="s">
        <v>332</v>
      </c>
      <c r="D1221" s="1" t="s">
        <v>229</v>
      </c>
      <c r="E1221" s="1"/>
    </row>
    <row r="1222" spans="1:5" ht="16">
      <c r="A1222" s="1" t="s">
        <v>1047</v>
      </c>
      <c r="B1222" s="1" t="s">
        <v>1257</v>
      </c>
      <c r="C1222" s="1" t="s">
        <v>332</v>
      </c>
      <c r="D1222" s="1" t="s">
        <v>229</v>
      </c>
      <c r="E1222" s="1"/>
    </row>
    <row r="1223" spans="1:5" ht="16">
      <c r="A1223" s="1" t="s">
        <v>1047</v>
      </c>
      <c r="B1223" s="1" t="s">
        <v>1258</v>
      </c>
      <c r="C1223" s="1" t="s">
        <v>332</v>
      </c>
      <c r="D1223" s="1" t="s">
        <v>229</v>
      </c>
      <c r="E1223" s="1"/>
    </row>
    <row r="1224" spans="1:5" ht="16">
      <c r="A1224" s="1" t="s">
        <v>1047</v>
      </c>
      <c r="B1224" s="1" t="s">
        <v>1259</v>
      </c>
      <c r="C1224" s="1" t="s">
        <v>332</v>
      </c>
      <c r="D1224" s="1" t="s">
        <v>229</v>
      </c>
      <c r="E1224" s="1"/>
    </row>
    <row r="1225" spans="1:5" ht="16">
      <c r="A1225" s="1" t="s">
        <v>1047</v>
      </c>
      <c r="B1225" s="1" t="s">
        <v>1260</v>
      </c>
      <c r="C1225" s="1" t="s">
        <v>332</v>
      </c>
      <c r="D1225" s="1" t="s">
        <v>229</v>
      </c>
      <c r="E1225" s="1"/>
    </row>
    <row r="1226" spans="1:5" ht="16">
      <c r="A1226" s="1" t="s">
        <v>1047</v>
      </c>
      <c r="B1226" s="1" t="s">
        <v>1261</v>
      </c>
      <c r="C1226" s="1" t="s">
        <v>332</v>
      </c>
      <c r="D1226" s="1" t="s">
        <v>229</v>
      </c>
      <c r="E1226" s="1"/>
    </row>
    <row r="1227" spans="1:5" ht="16">
      <c r="A1227" s="1" t="s">
        <v>1047</v>
      </c>
      <c r="B1227" s="1" t="s">
        <v>1262</v>
      </c>
      <c r="C1227" s="1" t="s">
        <v>332</v>
      </c>
      <c r="D1227" s="1" t="s">
        <v>229</v>
      </c>
      <c r="E1227" s="1"/>
    </row>
    <row r="1228" spans="1:5" ht="16">
      <c r="A1228" s="1" t="s">
        <v>1047</v>
      </c>
      <c r="B1228" s="1" t="s">
        <v>1263</v>
      </c>
      <c r="C1228" s="1" t="s">
        <v>332</v>
      </c>
      <c r="D1228" s="1" t="s">
        <v>229</v>
      </c>
      <c r="E1228" s="1"/>
    </row>
    <row r="1229" spans="1:5" ht="16">
      <c r="A1229" s="1" t="s">
        <v>1047</v>
      </c>
      <c r="B1229" s="1" t="s">
        <v>1264</v>
      </c>
      <c r="C1229" s="1" t="s">
        <v>332</v>
      </c>
      <c r="D1229" s="1" t="s">
        <v>229</v>
      </c>
      <c r="E1229" s="1"/>
    </row>
    <row r="1230" spans="1:5" ht="16">
      <c r="A1230" s="1" t="s">
        <v>1047</v>
      </c>
      <c r="B1230" s="1" t="s">
        <v>1265</v>
      </c>
      <c r="C1230" s="1" t="s">
        <v>332</v>
      </c>
      <c r="D1230" s="1" t="s">
        <v>229</v>
      </c>
      <c r="E1230" s="1"/>
    </row>
    <row r="1231" spans="1:5" ht="16">
      <c r="A1231" s="1" t="s">
        <v>1047</v>
      </c>
      <c r="B1231" s="1" t="s">
        <v>1266</v>
      </c>
      <c r="C1231" s="1" t="s">
        <v>332</v>
      </c>
      <c r="D1231" s="1" t="s">
        <v>229</v>
      </c>
      <c r="E1231" s="1"/>
    </row>
    <row r="1232" spans="1:5" ht="16">
      <c r="A1232" s="1" t="s">
        <v>1047</v>
      </c>
      <c r="B1232" s="1" t="s">
        <v>1267</v>
      </c>
      <c r="C1232" s="1" t="s">
        <v>332</v>
      </c>
      <c r="D1232" s="1" t="s">
        <v>229</v>
      </c>
      <c r="E1232" s="1"/>
    </row>
    <row r="1233" spans="1:5" ht="16">
      <c r="A1233" s="1" t="s">
        <v>1047</v>
      </c>
      <c r="B1233" s="1" t="s">
        <v>1268</v>
      </c>
      <c r="C1233" s="1" t="s">
        <v>332</v>
      </c>
      <c r="D1233" s="1" t="s">
        <v>229</v>
      </c>
      <c r="E1233" s="1"/>
    </row>
    <row r="1234" spans="1:5" ht="16">
      <c r="A1234" s="1" t="s">
        <v>1047</v>
      </c>
      <c r="B1234" s="1" t="s">
        <v>1269</v>
      </c>
      <c r="C1234" s="1" t="s">
        <v>332</v>
      </c>
      <c r="D1234" s="1" t="s">
        <v>229</v>
      </c>
      <c r="E1234" s="1"/>
    </row>
    <row r="1235" spans="1:5" ht="16">
      <c r="A1235" s="1" t="s">
        <v>1047</v>
      </c>
      <c r="B1235" s="1" t="s">
        <v>1270</v>
      </c>
      <c r="C1235" s="1" t="s">
        <v>332</v>
      </c>
      <c r="D1235" s="1" t="s">
        <v>229</v>
      </c>
      <c r="E1235" s="1"/>
    </row>
    <row r="1236" spans="1:5" ht="16">
      <c r="A1236" s="1" t="s">
        <v>1047</v>
      </c>
      <c r="B1236" s="1" t="s">
        <v>1271</v>
      </c>
      <c r="C1236" s="1" t="s">
        <v>332</v>
      </c>
      <c r="D1236" s="1" t="s">
        <v>229</v>
      </c>
      <c r="E1236" s="1"/>
    </row>
    <row r="1237" spans="1:5" ht="16">
      <c r="A1237" s="1" t="s">
        <v>1047</v>
      </c>
      <c r="B1237" s="1" t="s">
        <v>1272</v>
      </c>
      <c r="C1237" s="1" t="s">
        <v>332</v>
      </c>
      <c r="D1237" s="1" t="s">
        <v>229</v>
      </c>
      <c r="E1237" s="1"/>
    </row>
    <row r="1238" spans="1:5" ht="16">
      <c r="A1238" s="1" t="s">
        <v>1047</v>
      </c>
      <c r="B1238" s="1" t="s">
        <v>1273</v>
      </c>
      <c r="C1238" s="1" t="s">
        <v>332</v>
      </c>
      <c r="D1238" s="1" t="s">
        <v>229</v>
      </c>
      <c r="E1238" s="1"/>
    </row>
    <row r="1239" spans="1:5" ht="16">
      <c r="A1239" s="1" t="s">
        <v>1047</v>
      </c>
      <c r="B1239" s="1" t="s">
        <v>1274</v>
      </c>
      <c r="C1239" s="1" t="s">
        <v>332</v>
      </c>
      <c r="D1239" s="1" t="s">
        <v>229</v>
      </c>
      <c r="E1239" s="1"/>
    </row>
    <row r="1240" spans="1:5" ht="16">
      <c r="A1240" s="1" t="s">
        <v>1047</v>
      </c>
      <c r="B1240" s="1" t="s">
        <v>1275</v>
      </c>
      <c r="C1240" s="1" t="s">
        <v>332</v>
      </c>
      <c r="D1240" s="1" t="s">
        <v>229</v>
      </c>
      <c r="E1240" s="1"/>
    </row>
    <row r="1241" spans="1:5" ht="16">
      <c r="A1241" s="1" t="s">
        <v>1047</v>
      </c>
      <c r="B1241" s="1" t="s">
        <v>1276</v>
      </c>
      <c r="C1241" s="1" t="s">
        <v>332</v>
      </c>
      <c r="D1241" s="1" t="s">
        <v>229</v>
      </c>
      <c r="E1241" s="1"/>
    </row>
    <row r="1242" spans="1:5" ht="16">
      <c r="A1242" s="1" t="s">
        <v>1047</v>
      </c>
      <c r="B1242" s="1" t="s">
        <v>1277</v>
      </c>
      <c r="C1242" s="1" t="s">
        <v>234</v>
      </c>
      <c r="D1242" s="1" t="s">
        <v>229</v>
      </c>
      <c r="E1242" s="1"/>
    </row>
    <row r="1243" spans="1:5" ht="16">
      <c r="A1243" s="1" t="s">
        <v>1047</v>
      </c>
      <c r="B1243" s="1" t="s">
        <v>1278</v>
      </c>
      <c r="C1243" s="1" t="s">
        <v>234</v>
      </c>
      <c r="D1243" s="1" t="s">
        <v>229</v>
      </c>
      <c r="E1243" s="1"/>
    </row>
    <row r="1244" spans="1:5" ht="16">
      <c r="A1244" s="1" t="s">
        <v>1047</v>
      </c>
      <c r="B1244" s="1" t="s">
        <v>1279</v>
      </c>
      <c r="C1244" s="1" t="s">
        <v>332</v>
      </c>
      <c r="D1244" s="1" t="s">
        <v>229</v>
      </c>
      <c r="E1244" s="1"/>
    </row>
    <row r="1245" spans="1:5" ht="16">
      <c r="A1245" s="1" t="s">
        <v>1047</v>
      </c>
      <c r="B1245" s="1" t="s">
        <v>1280</v>
      </c>
      <c r="C1245" s="1" t="s">
        <v>332</v>
      </c>
      <c r="D1245" s="1" t="s">
        <v>229</v>
      </c>
      <c r="E1245" s="1"/>
    </row>
    <row r="1246" spans="1:5" ht="16">
      <c r="A1246" s="1" t="s">
        <v>1047</v>
      </c>
      <c r="B1246" s="1" t="s">
        <v>1281</v>
      </c>
      <c r="C1246" s="1" t="s">
        <v>332</v>
      </c>
      <c r="D1246" s="1" t="s">
        <v>229</v>
      </c>
      <c r="E1246" s="1"/>
    </row>
    <row r="1247" spans="1:5" ht="16">
      <c r="A1247" s="1" t="s">
        <v>1047</v>
      </c>
      <c r="B1247" s="1" t="s">
        <v>1282</v>
      </c>
      <c r="C1247" s="1" t="s">
        <v>332</v>
      </c>
      <c r="D1247" s="1" t="s">
        <v>229</v>
      </c>
      <c r="E1247" s="1"/>
    </row>
    <row r="1248" spans="1:5" ht="16">
      <c r="A1248" s="1" t="s">
        <v>1047</v>
      </c>
      <c r="B1248" s="1" t="s">
        <v>1283</v>
      </c>
      <c r="C1248" s="1" t="s">
        <v>332</v>
      </c>
      <c r="D1248" s="1" t="s">
        <v>229</v>
      </c>
      <c r="E1248" s="1"/>
    </row>
    <row r="1249" spans="1:5" ht="16">
      <c r="A1249" s="1" t="s">
        <v>1047</v>
      </c>
      <c r="B1249" s="1" t="s">
        <v>1284</v>
      </c>
      <c r="C1249" s="1" t="s">
        <v>332</v>
      </c>
      <c r="D1249" s="1" t="s">
        <v>229</v>
      </c>
      <c r="E1249" s="1"/>
    </row>
    <row r="1250" spans="1:5" ht="16">
      <c r="A1250" s="1" t="s">
        <v>1047</v>
      </c>
      <c r="B1250" s="1" t="s">
        <v>1285</v>
      </c>
      <c r="C1250" s="1" t="s">
        <v>332</v>
      </c>
      <c r="D1250" s="1" t="s">
        <v>229</v>
      </c>
      <c r="E1250" s="1"/>
    </row>
    <row r="1251" spans="1:5" ht="16">
      <c r="A1251" s="1" t="s">
        <v>1047</v>
      </c>
      <c r="B1251" s="1" t="s">
        <v>1286</v>
      </c>
      <c r="C1251" s="1" t="s">
        <v>332</v>
      </c>
      <c r="D1251" s="1" t="s">
        <v>229</v>
      </c>
      <c r="E1251" s="1"/>
    </row>
    <row r="1252" spans="1:5" ht="16">
      <c r="A1252" s="1" t="s">
        <v>1047</v>
      </c>
      <c r="B1252" s="1" t="s">
        <v>1287</v>
      </c>
      <c r="C1252" s="1" t="s">
        <v>334</v>
      </c>
      <c r="D1252" s="1" t="s">
        <v>229</v>
      </c>
      <c r="E1252" s="1"/>
    </row>
    <row r="1253" spans="1:5" ht="16">
      <c r="A1253" s="1" t="s">
        <v>1047</v>
      </c>
      <c r="B1253" s="1" t="s">
        <v>1288</v>
      </c>
      <c r="C1253" s="1" t="s">
        <v>334</v>
      </c>
      <c r="D1253" s="1" t="s">
        <v>229</v>
      </c>
      <c r="E1253" s="1"/>
    </row>
    <row r="1254" spans="1:5" ht="16">
      <c r="A1254" s="1" t="s">
        <v>1047</v>
      </c>
      <c r="B1254" s="1" t="s">
        <v>1289</v>
      </c>
      <c r="C1254" s="1" t="s">
        <v>334</v>
      </c>
      <c r="D1254" s="1" t="s">
        <v>229</v>
      </c>
      <c r="E1254" s="1"/>
    </row>
    <row r="1255" spans="1:5" ht="16">
      <c r="A1255" s="1" t="s">
        <v>1047</v>
      </c>
      <c r="B1255" s="1" t="s">
        <v>1290</v>
      </c>
      <c r="C1255" s="1" t="s">
        <v>334</v>
      </c>
      <c r="D1255" s="1" t="s">
        <v>229</v>
      </c>
      <c r="E1255" s="1"/>
    </row>
    <row r="1256" spans="1:5" ht="16">
      <c r="A1256" s="1" t="s">
        <v>1047</v>
      </c>
      <c r="B1256" s="1" t="s">
        <v>1291</v>
      </c>
      <c r="C1256" s="1" t="s">
        <v>334</v>
      </c>
      <c r="D1256" s="1" t="s">
        <v>229</v>
      </c>
      <c r="E1256" s="1"/>
    </row>
    <row r="1257" spans="1:5" ht="16">
      <c r="A1257" s="1" t="s">
        <v>1047</v>
      </c>
      <c r="B1257" s="1" t="s">
        <v>1292</v>
      </c>
      <c r="C1257" s="1" t="s">
        <v>334</v>
      </c>
      <c r="D1257" s="1" t="s">
        <v>229</v>
      </c>
      <c r="E1257" s="1"/>
    </row>
    <row r="1258" spans="1:5" ht="16">
      <c r="A1258" s="1" t="s">
        <v>1047</v>
      </c>
      <c r="B1258" s="1" t="s">
        <v>1293</v>
      </c>
      <c r="C1258" s="1" t="s">
        <v>332</v>
      </c>
      <c r="D1258" s="1" t="s">
        <v>229</v>
      </c>
      <c r="E1258" s="1"/>
    </row>
    <row r="1259" spans="1:5" ht="16">
      <c r="A1259" s="1" t="s">
        <v>1047</v>
      </c>
      <c r="B1259" s="1" t="s">
        <v>1294</v>
      </c>
      <c r="C1259" s="1" t="s">
        <v>332</v>
      </c>
      <c r="D1259" s="1" t="s">
        <v>229</v>
      </c>
      <c r="E1259" s="1"/>
    </row>
    <row r="1260" spans="1:5" ht="16">
      <c r="A1260" s="1" t="s">
        <v>1047</v>
      </c>
      <c r="B1260" s="1" t="s">
        <v>1295</v>
      </c>
      <c r="C1260" s="1" t="s">
        <v>332</v>
      </c>
      <c r="D1260" s="1" t="s">
        <v>229</v>
      </c>
      <c r="E1260" s="1"/>
    </row>
    <row r="1261" spans="1:5" ht="16">
      <c r="A1261" s="1" t="s">
        <v>1047</v>
      </c>
      <c r="B1261" s="1" t="s">
        <v>1296</v>
      </c>
      <c r="C1261" s="1" t="s">
        <v>332</v>
      </c>
      <c r="D1261" s="1" t="s">
        <v>229</v>
      </c>
      <c r="E1261" s="1"/>
    </row>
    <row r="1262" spans="1:5" ht="16">
      <c r="A1262" s="1" t="s">
        <v>1047</v>
      </c>
      <c r="B1262" s="1" t="s">
        <v>1297</v>
      </c>
      <c r="C1262" s="1" t="s">
        <v>332</v>
      </c>
      <c r="D1262" s="1" t="s">
        <v>229</v>
      </c>
      <c r="E1262" s="1"/>
    </row>
    <row r="1263" spans="1:5" ht="16">
      <c r="A1263" s="1" t="s">
        <v>1047</v>
      </c>
      <c r="B1263" s="1" t="s">
        <v>1298</v>
      </c>
      <c r="C1263" s="1" t="s">
        <v>332</v>
      </c>
      <c r="D1263" s="1" t="s">
        <v>229</v>
      </c>
      <c r="E1263" s="1"/>
    </row>
    <row r="1264" spans="1:5" ht="16">
      <c r="A1264" s="1" t="s">
        <v>1047</v>
      </c>
      <c r="B1264" s="1" t="s">
        <v>1299</v>
      </c>
      <c r="C1264" s="1" t="s">
        <v>332</v>
      </c>
      <c r="D1264" s="1" t="s">
        <v>229</v>
      </c>
      <c r="E1264" s="1"/>
    </row>
    <row r="1265" spans="1:5" ht="16">
      <c r="A1265" s="1" t="s">
        <v>1047</v>
      </c>
      <c r="B1265" s="1" t="s">
        <v>1300</v>
      </c>
      <c r="C1265" s="1" t="s">
        <v>334</v>
      </c>
      <c r="D1265" s="1" t="s">
        <v>229</v>
      </c>
      <c r="E1265" s="1"/>
    </row>
    <row r="1266" spans="1:5" ht="16">
      <c r="A1266" s="1" t="s">
        <v>1047</v>
      </c>
      <c r="B1266" s="1" t="s">
        <v>1093</v>
      </c>
      <c r="C1266" s="1" t="s">
        <v>334</v>
      </c>
      <c r="D1266" s="1" t="s">
        <v>229</v>
      </c>
      <c r="E1266" s="1"/>
    </row>
    <row r="1267" spans="1:5" ht="16">
      <c r="A1267" s="1" t="s">
        <v>1047</v>
      </c>
      <c r="B1267" s="1" t="s">
        <v>1301</v>
      </c>
      <c r="C1267" s="1" t="s">
        <v>334</v>
      </c>
      <c r="D1267" s="1" t="s">
        <v>229</v>
      </c>
      <c r="E1267" s="1"/>
    </row>
    <row r="1268" spans="1:5" ht="16">
      <c r="A1268" s="1" t="s">
        <v>1047</v>
      </c>
      <c r="B1268" s="1" t="s">
        <v>1093</v>
      </c>
      <c r="C1268" s="1" t="s">
        <v>334</v>
      </c>
      <c r="D1268" s="1" t="s">
        <v>229</v>
      </c>
      <c r="E1268" s="1"/>
    </row>
    <row r="1269" spans="1:5" ht="16">
      <c r="A1269" s="1" t="s">
        <v>1047</v>
      </c>
      <c r="B1269" s="1" t="s">
        <v>532</v>
      </c>
      <c r="C1269" s="1" t="s">
        <v>334</v>
      </c>
      <c r="D1269" s="1" t="s">
        <v>229</v>
      </c>
      <c r="E1269" s="1"/>
    </row>
    <row r="1270" spans="1:5" ht="16">
      <c r="A1270" s="1" t="s">
        <v>1047</v>
      </c>
      <c r="B1270" s="1" t="s">
        <v>532</v>
      </c>
      <c r="C1270" s="1" t="s">
        <v>334</v>
      </c>
      <c r="D1270" s="1" t="s">
        <v>229</v>
      </c>
      <c r="E1270" s="1"/>
    </row>
    <row r="1271" spans="1:5" ht="16">
      <c r="A1271" s="1" t="s">
        <v>1047</v>
      </c>
      <c r="B1271" s="1" t="s">
        <v>532</v>
      </c>
      <c r="C1271" s="1" t="s">
        <v>334</v>
      </c>
      <c r="D1271" s="1" t="s">
        <v>229</v>
      </c>
      <c r="E1271" s="1"/>
    </row>
    <row r="1272" spans="1:5" ht="16">
      <c r="A1272" s="1" t="s">
        <v>1047</v>
      </c>
      <c r="B1272" s="1" t="s">
        <v>532</v>
      </c>
      <c r="C1272" s="1" t="s">
        <v>334</v>
      </c>
      <c r="D1272" s="1" t="s">
        <v>229</v>
      </c>
      <c r="E1272" s="1"/>
    </row>
    <row r="1273" spans="1:5" ht="16">
      <c r="A1273" s="1" t="s">
        <v>1047</v>
      </c>
      <c r="B1273" s="1" t="s">
        <v>532</v>
      </c>
      <c r="C1273" s="1" t="s">
        <v>334</v>
      </c>
      <c r="D1273" s="1" t="s">
        <v>229</v>
      </c>
      <c r="E1273" s="1"/>
    </row>
    <row r="1274" spans="1:5" ht="16">
      <c r="A1274" s="1" t="s">
        <v>1047</v>
      </c>
      <c r="B1274" s="1" t="s">
        <v>532</v>
      </c>
      <c r="C1274" s="1" t="s">
        <v>334</v>
      </c>
      <c r="D1274" s="1" t="s">
        <v>229</v>
      </c>
      <c r="E1274" s="1"/>
    </row>
    <row r="1275" spans="1:5" ht="16">
      <c r="A1275" s="1" t="s">
        <v>1047</v>
      </c>
      <c r="B1275" s="1" t="s">
        <v>1302</v>
      </c>
      <c r="C1275" s="1" t="s">
        <v>332</v>
      </c>
      <c r="D1275" s="1" t="s">
        <v>229</v>
      </c>
      <c r="E1275" s="1"/>
    </row>
    <row r="1276" spans="1:5" ht="16">
      <c r="A1276" s="1" t="s">
        <v>1047</v>
      </c>
      <c r="B1276" s="1" t="s">
        <v>1303</v>
      </c>
      <c r="C1276" s="1" t="s">
        <v>332</v>
      </c>
      <c r="D1276" s="1" t="s">
        <v>229</v>
      </c>
      <c r="E1276" s="1"/>
    </row>
    <row r="1277" spans="1:5" ht="16">
      <c r="A1277" s="1" t="s">
        <v>1047</v>
      </c>
      <c r="B1277" s="1" t="s">
        <v>1304</v>
      </c>
      <c r="C1277" s="1" t="s">
        <v>332</v>
      </c>
      <c r="D1277" s="1" t="s">
        <v>229</v>
      </c>
      <c r="E1277" s="1"/>
    </row>
    <row r="1278" spans="1:5" ht="16">
      <c r="A1278" s="1" t="s">
        <v>1047</v>
      </c>
      <c r="B1278" s="1" t="s">
        <v>1305</v>
      </c>
      <c r="C1278" s="1" t="s">
        <v>332</v>
      </c>
      <c r="D1278" s="1" t="s">
        <v>229</v>
      </c>
      <c r="E1278" s="1"/>
    </row>
    <row r="1279" spans="1:5" ht="16">
      <c r="A1279" s="1" t="s">
        <v>1047</v>
      </c>
      <c r="B1279" s="1" t="s">
        <v>1306</v>
      </c>
      <c r="C1279" s="1" t="s">
        <v>332</v>
      </c>
      <c r="D1279" s="1" t="s">
        <v>229</v>
      </c>
      <c r="E1279" s="1"/>
    </row>
    <row r="1280" spans="1:5" ht="16">
      <c r="A1280" s="1" t="s">
        <v>1047</v>
      </c>
      <c r="B1280" s="1" t="s">
        <v>1307</v>
      </c>
      <c r="C1280" s="1" t="s">
        <v>332</v>
      </c>
      <c r="D1280" s="1" t="s">
        <v>229</v>
      </c>
      <c r="E1280" s="1"/>
    </row>
    <row r="1281" spans="1:5" ht="16">
      <c r="A1281" s="1" t="s">
        <v>1047</v>
      </c>
      <c r="B1281" s="1" t="s">
        <v>1308</v>
      </c>
      <c r="C1281" s="1" t="s">
        <v>332</v>
      </c>
      <c r="D1281" s="1" t="s">
        <v>229</v>
      </c>
      <c r="E1281" s="1"/>
    </row>
    <row r="1282" spans="1:5" ht="16">
      <c r="A1282" s="1" t="s">
        <v>1047</v>
      </c>
      <c r="B1282" s="1" t="s">
        <v>1309</v>
      </c>
      <c r="C1282" s="1" t="s">
        <v>332</v>
      </c>
      <c r="D1282" s="1" t="s">
        <v>229</v>
      </c>
      <c r="E1282" s="1"/>
    </row>
    <row r="1283" spans="1:5" ht="16">
      <c r="A1283" s="1" t="s">
        <v>1047</v>
      </c>
      <c r="B1283" s="1" t="s">
        <v>1310</v>
      </c>
      <c r="C1283" s="1" t="s">
        <v>332</v>
      </c>
      <c r="D1283" s="1" t="s">
        <v>229</v>
      </c>
      <c r="E1283" s="1"/>
    </row>
    <row r="1284" spans="1:5" ht="16">
      <c r="A1284" s="1" t="s">
        <v>1047</v>
      </c>
      <c r="B1284" s="1" t="s">
        <v>1311</v>
      </c>
      <c r="C1284" s="1" t="s">
        <v>332</v>
      </c>
      <c r="D1284" s="1" t="s">
        <v>229</v>
      </c>
      <c r="E1284" s="1"/>
    </row>
    <row r="1285" spans="1:5" ht="16">
      <c r="A1285" s="1" t="s">
        <v>1047</v>
      </c>
      <c r="B1285" s="1" t="s">
        <v>1312</v>
      </c>
      <c r="C1285" s="1" t="s">
        <v>332</v>
      </c>
      <c r="D1285" s="1" t="s">
        <v>229</v>
      </c>
      <c r="E1285" s="1"/>
    </row>
    <row r="1286" spans="1:5" ht="16">
      <c r="A1286" s="1" t="s">
        <v>1047</v>
      </c>
      <c r="B1286" s="1" t="s">
        <v>1313</v>
      </c>
      <c r="C1286" s="1" t="s">
        <v>332</v>
      </c>
      <c r="D1286" s="1" t="s">
        <v>229</v>
      </c>
      <c r="E1286" s="1"/>
    </row>
    <row r="1287" spans="1:5" ht="16">
      <c r="A1287" s="1" t="s">
        <v>1047</v>
      </c>
      <c r="B1287" s="1" t="s">
        <v>1314</v>
      </c>
      <c r="C1287" s="1" t="s">
        <v>332</v>
      </c>
      <c r="D1287" s="1" t="s">
        <v>229</v>
      </c>
      <c r="E1287" s="1"/>
    </row>
    <row r="1288" spans="1:5" ht="16">
      <c r="A1288" s="1" t="s">
        <v>1047</v>
      </c>
      <c r="B1288" s="1" t="s">
        <v>1315</v>
      </c>
      <c r="C1288" s="1" t="s">
        <v>332</v>
      </c>
      <c r="D1288" s="1" t="s">
        <v>229</v>
      </c>
      <c r="E1288" s="1"/>
    </row>
    <row r="1289" spans="1:5" ht="16">
      <c r="A1289" s="1" t="s">
        <v>1047</v>
      </c>
      <c r="B1289" s="1" t="s">
        <v>1316</v>
      </c>
      <c r="C1289" s="1" t="s">
        <v>332</v>
      </c>
      <c r="D1289" s="1" t="s">
        <v>229</v>
      </c>
      <c r="E1289" s="1"/>
    </row>
    <row r="1290" spans="1:5" ht="16">
      <c r="A1290" s="1" t="s">
        <v>1047</v>
      </c>
      <c r="B1290" s="1" t="s">
        <v>1317</v>
      </c>
      <c r="C1290" s="1" t="s">
        <v>332</v>
      </c>
      <c r="D1290" s="1" t="s">
        <v>229</v>
      </c>
      <c r="E1290" s="1"/>
    </row>
    <row r="1291" spans="1:5" ht="16">
      <c r="A1291" s="1" t="s">
        <v>1047</v>
      </c>
      <c r="B1291" s="1" t="s">
        <v>1318</v>
      </c>
      <c r="C1291" s="1" t="s">
        <v>332</v>
      </c>
      <c r="D1291" s="1" t="s">
        <v>229</v>
      </c>
      <c r="E1291" s="1"/>
    </row>
    <row r="1292" spans="1:5" ht="16">
      <c r="A1292" s="1" t="s">
        <v>1047</v>
      </c>
      <c r="B1292" s="1" t="s">
        <v>1319</v>
      </c>
      <c r="C1292" s="1" t="s">
        <v>332</v>
      </c>
      <c r="D1292" s="1" t="s">
        <v>229</v>
      </c>
      <c r="E1292" s="1"/>
    </row>
    <row r="1293" spans="1:5" ht="16">
      <c r="A1293" s="1" t="s">
        <v>1047</v>
      </c>
      <c r="B1293" s="1" t="s">
        <v>1320</v>
      </c>
      <c r="C1293" s="1" t="s">
        <v>332</v>
      </c>
      <c r="D1293" s="1" t="s">
        <v>229</v>
      </c>
      <c r="E1293" s="1"/>
    </row>
    <row r="1294" spans="1:5" ht="16">
      <c r="A1294" s="1" t="s">
        <v>1047</v>
      </c>
      <c r="B1294" s="1" t="s">
        <v>1321</v>
      </c>
      <c r="C1294" s="1" t="s">
        <v>332</v>
      </c>
      <c r="D1294" s="1" t="s">
        <v>229</v>
      </c>
      <c r="E1294" s="1"/>
    </row>
    <row r="1295" spans="1:5" ht="16">
      <c r="A1295" s="1" t="s">
        <v>1047</v>
      </c>
      <c r="B1295" s="1" t="s">
        <v>1322</v>
      </c>
      <c r="C1295" s="1" t="s">
        <v>234</v>
      </c>
      <c r="D1295" s="1" t="s">
        <v>229</v>
      </c>
      <c r="E1295" s="1"/>
    </row>
    <row r="1296" spans="1:5" ht="16">
      <c r="A1296" s="1" t="s">
        <v>1047</v>
      </c>
      <c r="B1296" s="1" t="s">
        <v>1323</v>
      </c>
      <c r="C1296" s="1" t="s">
        <v>228</v>
      </c>
      <c r="D1296" s="1" t="s">
        <v>229</v>
      </c>
      <c r="E1296" s="1"/>
    </row>
    <row r="1297" spans="1:5" ht="16">
      <c r="A1297" s="1" t="s">
        <v>1047</v>
      </c>
      <c r="B1297" s="1" t="s">
        <v>1324</v>
      </c>
      <c r="C1297" s="1" t="s">
        <v>228</v>
      </c>
      <c r="D1297" s="1" t="s">
        <v>229</v>
      </c>
      <c r="E1297" s="1"/>
    </row>
    <row r="1298" spans="1:5" ht="16">
      <c r="A1298" s="1" t="s">
        <v>1047</v>
      </c>
      <c r="B1298" s="1" t="s">
        <v>1241</v>
      </c>
      <c r="C1298" s="1" t="s">
        <v>228</v>
      </c>
      <c r="D1298" s="1" t="s">
        <v>229</v>
      </c>
      <c r="E1298" s="1"/>
    </row>
    <row r="1299" spans="1:5" ht="16">
      <c r="A1299" s="1" t="s">
        <v>1047</v>
      </c>
      <c r="B1299" s="1" t="s">
        <v>1325</v>
      </c>
      <c r="C1299" s="1" t="s">
        <v>228</v>
      </c>
      <c r="D1299" s="1" t="s">
        <v>229</v>
      </c>
      <c r="E1299" s="1"/>
    </row>
    <row r="1300" spans="1:5" ht="16">
      <c r="A1300" s="1" t="s">
        <v>1047</v>
      </c>
      <c r="B1300" s="1" t="s">
        <v>1326</v>
      </c>
      <c r="C1300" s="1" t="s">
        <v>334</v>
      </c>
      <c r="D1300" s="1" t="s">
        <v>229</v>
      </c>
      <c r="E1300" s="1"/>
    </row>
    <row r="1301" spans="1:5" ht="16">
      <c r="A1301" s="1" t="s">
        <v>1047</v>
      </c>
      <c r="B1301" s="1" t="s">
        <v>1093</v>
      </c>
      <c r="C1301" s="1" t="s">
        <v>334</v>
      </c>
      <c r="D1301" s="1" t="s">
        <v>229</v>
      </c>
      <c r="E1301" s="1"/>
    </row>
    <row r="1302" spans="1:5" ht="16">
      <c r="A1302" s="1" t="s">
        <v>1047</v>
      </c>
      <c r="B1302" s="1" t="s">
        <v>1327</v>
      </c>
      <c r="C1302" s="1" t="s">
        <v>334</v>
      </c>
      <c r="D1302" s="1" t="s">
        <v>229</v>
      </c>
      <c r="E1302" s="1"/>
    </row>
    <row r="1303" spans="1:5" ht="16">
      <c r="A1303" s="1" t="s">
        <v>1047</v>
      </c>
      <c r="B1303" s="1" t="s">
        <v>1328</v>
      </c>
      <c r="C1303" s="1" t="s">
        <v>334</v>
      </c>
      <c r="D1303" s="1" t="s">
        <v>229</v>
      </c>
      <c r="E1303" s="1"/>
    </row>
    <row r="1304" spans="1:5" ht="16">
      <c r="A1304" s="1" t="s">
        <v>1047</v>
      </c>
      <c r="B1304" s="1" t="s">
        <v>1329</v>
      </c>
      <c r="C1304" s="1" t="s">
        <v>307</v>
      </c>
      <c r="D1304" s="1" t="s">
        <v>229</v>
      </c>
      <c r="E1304" s="1"/>
    </row>
    <row r="1305" spans="1:5" ht="16">
      <c r="A1305" s="1" t="s">
        <v>1047</v>
      </c>
      <c r="B1305" s="1" t="s">
        <v>1330</v>
      </c>
      <c r="C1305" s="1" t="s">
        <v>307</v>
      </c>
      <c r="D1305" s="1" t="s">
        <v>229</v>
      </c>
      <c r="E1305" s="1"/>
    </row>
    <row r="1306" spans="1:5" ht="16">
      <c r="A1306" s="1" t="s">
        <v>1047</v>
      </c>
      <c r="B1306" s="1" t="s">
        <v>1331</v>
      </c>
      <c r="C1306" s="1" t="s">
        <v>307</v>
      </c>
      <c r="D1306" s="1" t="s">
        <v>229</v>
      </c>
      <c r="E1306" s="1"/>
    </row>
    <row r="1307" spans="1:5" ht="16">
      <c r="A1307" s="1" t="s">
        <v>1047</v>
      </c>
      <c r="B1307" s="1" t="s">
        <v>532</v>
      </c>
      <c r="C1307" s="1" t="s">
        <v>334</v>
      </c>
      <c r="D1307" s="1" t="s">
        <v>229</v>
      </c>
      <c r="E1307" s="1"/>
    </row>
    <row r="1308" spans="1:5" ht="16">
      <c r="A1308" s="1" t="s">
        <v>1047</v>
      </c>
      <c r="B1308" s="1" t="s">
        <v>531</v>
      </c>
      <c r="C1308" s="1" t="s">
        <v>334</v>
      </c>
      <c r="D1308" s="1" t="s">
        <v>229</v>
      </c>
      <c r="E1308" s="1"/>
    </row>
    <row r="1309" spans="1:5" ht="16">
      <c r="A1309" s="1" t="s">
        <v>1047</v>
      </c>
      <c r="B1309" s="1" t="s">
        <v>1332</v>
      </c>
      <c r="C1309" s="1" t="s">
        <v>332</v>
      </c>
      <c r="D1309" s="1" t="s">
        <v>229</v>
      </c>
      <c r="E1309" s="1"/>
    </row>
    <row r="1310" spans="1:5" ht="16">
      <c r="A1310" s="1" t="s">
        <v>1047</v>
      </c>
      <c r="B1310" s="1" t="s">
        <v>1333</v>
      </c>
      <c r="C1310" s="1" t="s">
        <v>234</v>
      </c>
      <c r="D1310" s="1" t="s">
        <v>229</v>
      </c>
      <c r="E1310" s="1"/>
    </row>
    <row r="1311" spans="1:5" ht="16">
      <c r="A1311" s="1" t="s">
        <v>1047</v>
      </c>
      <c r="B1311" s="1" t="s">
        <v>1334</v>
      </c>
      <c r="C1311" s="1" t="s">
        <v>234</v>
      </c>
      <c r="D1311" s="1" t="s">
        <v>229</v>
      </c>
      <c r="E1311" s="1"/>
    </row>
    <row r="1312" spans="1:5" ht="16">
      <c r="A1312" s="1" t="s">
        <v>1047</v>
      </c>
      <c r="B1312" s="1" t="s">
        <v>1335</v>
      </c>
      <c r="C1312" s="1" t="s">
        <v>332</v>
      </c>
      <c r="D1312" s="1" t="s">
        <v>229</v>
      </c>
      <c r="E1312" s="1"/>
    </row>
    <row r="1313" spans="1:5" ht="16">
      <c r="A1313" s="1" t="s">
        <v>1047</v>
      </c>
      <c r="B1313" s="1" t="s">
        <v>1336</v>
      </c>
      <c r="C1313" s="1" t="s">
        <v>332</v>
      </c>
      <c r="D1313" s="1" t="s">
        <v>229</v>
      </c>
      <c r="E1313" s="1"/>
    </row>
    <row r="1314" spans="1:5" ht="16">
      <c r="A1314" s="1" t="s">
        <v>1047</v>
      </c>
      <c r="B1314" s="1" t="s">
        <v>1337</v>
      </c>
      <c r="C1314" s="1" t="s">
        <v>332</v>
      </c>
      <c r="D1314" s="1" t="s">
        <v>229</v>
      </c>
      <c r="E1314" s="1"/>
    </row>
    <row r="1315" spans="1:5" ht="16">
      <c r="A1315" s="1" t="s">
        <v>1047</v>
      </c>
      <c r="B1315" s="1" t="s">
        <v>1338</v>
      </c>
      <c r="C1315" s="1" t="s">
        <v>332</v>
      </c>
      <c r="D1315" s="1" t="s">
        <v>229</v>
      </c>
      <c r="E1315" s="1"/>
    </row>
    <row r="1316" spans="1:5" ht="16">
      <c r="A1316" s="1" t="s">
        <v>1047</v>
      </c>
      <c r="B1316" s="1" t="s">
        <v>1339</v>
      </c>
      <c r="C1316" s="1" t="s">
        <v>332</v>
      </c>
      <c r="D1316" s="1" t="s">
        <v>229</v>
      </c>
      <c r="E1316" s="1"/>
    </row>
    <row r="1317" spans="1:5" ht="16">
      <c r="A1317" s="1" t="s">
        <v>1047</v>
      </c>
      <c r="B1317" s="1" t="s">
        <v>1340</v>
      </c>
      <c r="C1317" s="1" t="s">
        <v>332</v>
      </c>
      <c r="D1317" s="1" t="s">
        <v>229</v>
      </c>
      <c r="E1317" s="1"/>
    </row>
    <row r="1318" spans="1:5" ht="16">
      <c r="A1318" s="1" t="s">
        <v>1047</v>
      </c>
      <c r="B1318" s="1" t="s">
        <v>1341</v>
      </c>
      <c r="C1318" s="1" t="s">
        <v>332</v>
      </c>
      <c r="D1318" s="1" t="s">
        <v>229</v>
      </c>
      <c r="E1318" s="1"/>
    </row>
    <row r="1319" spans="1:5" ht="16">
      <c r="A1319" s="1" t="s">
        <v>1047</v>
      </c>
      <c r="B1319" s="1" t="s">
        <v>1342</v>
      </c>
      <c r="C1319" s="1" t="s">
        <v>332</v>
      </c>
      <c r="D1319" s="1" t="s">
        <v>229</v>
      </c>
      <c r="E1319" s="1"/>
    </row>
    <row r="1320" spans="1:5" ht="16">
      <c r="A1320" s="1" t="s">
        <v>1047</v>
      </c>
      <c r="B1320" s="1" t="s">
        <v>1343</v>
      </c>
      <c r="C1320" s="1" t="s">
        <v>332</v>
      </c>
      <c r="D1320" s="1" t="s">
        <v>229</v>
      </c>
      <c r="E1320" s="1"/>
    </row>
    <row r="1321" spans="1:5" ht="16">
      <c r="A1321" s="1" t="s">
        <v>1047</v>
      </c>
      <c r="B1321" s="1" t="s">
        <v>1344</v>
      </c>
      <c r="C1321" s="1" t="s">
        <v>332</v>
      </c>
      <c r="D1321" s="1" t="s">
        <v>229</v>
      </c>
      <c r="E1321" s="1"/>
    </row>
    <row r="1322" spans="1:5" ht="16">
      <c r="A1322" s="1" t="s">
        <v>1047</v>
      </c>
      <c r="B1322" s="1" t="s">
        <v>1345</v>
      </c>
      <c r="C1322" s="1" t="s">
        <v>332</v>
      </c>
      <c r="D1322" s="1" t="s">
        <v>229</v>
      </c>
      <c r="E1322" s="1"/>
    </row>
    <row r="1323" spans="1:5" ht="16">
      <c r="A1323" s="1" t="s">
        <v>1047</v>
      </c>
      <c r="B1323" s="1" t="s">
        <v>1346</v>
      </c>
      <c r="C1323" s="1" t="s">
        <v>332</v>
      </c>
      <c r="D1323" s="1" t="s">
        <v>229</v>
      </c>
      <c r="E1323" s="1"/>
    </row>
    <row r="1324" spans="1:5" ht="16">
      <c r="A1324" s="1" t="s">
        <v>1047</v>
      </c>
      <c r="B1324" s="1" t="s">
        <v>1347</v>
      </c>
      <c r="C1324" s="1" t="s">
        <v>332</v>
      </c>
      <c r="D1324" s="1" t="s">
        <v>229</v>
      </c>
      <c r="E1324" s="1"/>
    </row>
    <row r="1325" spans="1:5" ht="16">
      <c r="A1325" s="1" t="s">
        <v>1047</v>
      </c>
      <c r="B1325" s="1" t="s">
        <v>1348</v>
      </c>
      <c r="C1325" s="1" t="s">
        <v>332</v>
      </c>
      <c r="D1325" s="1" t="s">
        <v>229</v>
      </c>
      <c r="E1325" s="1"/>
    </row>
    <row r="1326" spans="1:5" ht="16">
      <c r="A1326" s="1" t="s">
        <v>1047</v>
      </c>
      <c r="B1326" s="1" t="s">
        <v>1349</v>
      </c>
      <c r="C1326" s="1" t="s">
        <v>332</v>
      </c>
      <c r="D1326" s="1" t="s">
        <v>229</v>
      </c>
      <c r="E1326" s="1"/>
    </row>
    <row r="1327" spans="1:5" ht="16">
      <c r="A1327" s="1" t="s">
        <v>1047</v>
      </c>
      <c r="B1327" s="1" t="s">
        <v>1350</v>
      </c>
      <c r="C1327" s="1" t="s">
        <v>332</v>
      </c>
      <c r="D1327" s="1" t="s">
        <v>229</v>
      </c>
      <c r="E1327" s="1"/>
    </row>
    <row r="1328" spans="1:5" ht="16">
      <c r="A1328" s="1" t="s">
        <v>1047</v>
      </c>
      <c r="B1328" s="1" t="s">
        <v>1351</v>
      </c>
      <c r="C1328" s="1" t="s">
        <v>332</v>
      </c>
      <c r="D1328" s="1" t="s">
        <v>229</v>
      </c>
      <c r="E1328" s="1"/>
    </row>
    <row r="1329" spans="1:5" ht="16">
      <c r="A1329" s="1" t="s">
        <v>1047</v>
      </c>
      <c r="B1329" s="1" t="s">
        <v>1352</v>
      </c>
      <c r="C1329" s="1" t="s">
        <v>332</v>
      </c>
      <c r="D1329" s="1" t="s">
        <v>229</v>
      </c>
      <c r="E1329" s="1"/>
    </row>
    <row r="1330" spans="1:5" ht="16">
      <c r="A1330" s="1" t="s">
        <v>1047</v>
      </c>
      <c r="B1330" s="1" t="s">
        <v>1353</v>
      </c>
      <c r="C1330" s="1" t="s">
        <v>332</v>
      </c>
      <c r="D1330" s="1" t="s">
        <v>229</v>
      </c>
      <c r="E1330" s="1"/>
    </row>
    <row r="1331" spans="1:5" ht="16">
      <c r="A1331" s="1" t="s">
        <v>1047</v>
      </c>
      <c r="B1331" s="1" t="s">
        <v>1354</v>
      </c>
      <c r="C1331" s="1" t="s">
        <v>332</v>
      </c>
      <c r="D1331" s="1" t="s">
        <v>229</v>
      </c>
      <c r="E1331" s="1"/>
    </row>
    <row r="1332" spans="1:5" ht="16">
      <c r="A1332" s="1" t="s">
        <v>1047</v>
      </c>
      <c r="B1332" s="1" t="s">
        <v>1355</v>
      </c>
      <c r="C1332" s="1" t="s">
        <v>332</v>
      </c>
      <c r="D1332" s="1" t="s">
        <v>229</v>
      </c>
      <c r="E1332" s="1"/>
    </row>
    <row r="1333" spans="1:5" ht="16">
      <c r="A1333" s="1" t="s">
        <v>1047</v>
      </c>
      <c r="B1333" s="1" t="s">
        <v>1356</v>
      </c>
      <c r="C1333" s="1" t="s">
        <v>332</v>
      </c>
      <c r="D1333" s="1" t="s">
        <v>229</v>
      </c>
      <c r="E1333" s="1"/>
    </row>
    <row r="1334" spans="1:5" ht="16">
      <c r="A1334" s="1" t="s">
        <v>1047</v>
      </c>
      <c r="B1334" s="1" t="s">
        <v>1357</v>
      </c>
      <c r="C1334" s="1" t="s">
        <v>332</v>
      </c>
      <c r="D1334" s="1" t="s">
        <v>229</v>
      </c>
      <c r="E1334" s="1"/>
    </row>
    <row r="1335" spans="1:5" ht="16">
      <c r="A1335" s="1" t="s">
        <v>1047</v>
      </c>
      <c r="B1335" s="1" t="s">
        <v>1358</v>
      </c>
      <c r="C1335" s="1" t="s">
        <v>332</v>
      </c>
      <c r="D1335" s="1" t="s">
        <v>229</v>
      </c>
      <c r="E1335" s="1"/>
    </row>
    <row r="1336" spans="1:5" ht="16">
      <c r="A1336" s="1" t="s">
        <v>1047</v>
      </c>
      <c r="B1336" s="1" t="s">
        <v>1359</v>
      </c>
      <c r="C1336" s="1" t="s">
        <v>332</v>
      </c>
      <c r="D1336" s="1" t="s">
        <v>229</v>
      </c>
      <c r="E1336" s="1"/>
    </row>
    <row r="1337" spans="1:5" ht="16">
      <c r="A1337" s="1" t="s">
        <v>1047</v>
      </c>
      <c r="B1337" s="1" t="s">
        <v>1360</v>
      </c>
      <c r="C1337" s="1" t="s">
        <v>332</v>
      </c>
      <c r="D1337" s="1" t="s">
        <v>229</v>
      </c>
      <c r="E1337" s="1"/>
    </row>
    <row r="1338" spans="1:5" ht="16">
      <c r="A1338" s="1" t="s">
        <v>1047</v>
      </c>
      <c r="B1338" s="1" t="s">
        <v>1361</v>
      </c>
      <c r="C1338" s="1" t="s">
        <v>332</v>
      </c>
      <c r="D1338" s="1" t="s">
        <v>229</v>
      </c>
      <c r="E1338" s="1"/>
    </row>
    <row r="1339" spans="1:5" ht="16">
      <c r="A1339" s="1" t="s">
        <v>1047</v>
      </c>
      <c r="B1339" s="1" t="s">
        <v>1362</v>
      </c>
      <c r="C1339" s="1" t="s">
        <v>332</v>
      </c>
      <c r="D1339" s="1" t="s">
        <v>229</v>
      </c>
      <c r="E1339" s="1"/>
    </row>
    <row r="1340" spans="1:5" ht="16">
      <c r="A1340" s="1" t="s">
        <v>1047</v>
      </c>
      <c r="B1340" s="1" t="s">
        <v>1363</v>
      </c>
      <c r="C1340" s="1" t="s">
        <v>332</v>
      </c>
      <c r="D1340" s="1" t="s">
        <v>229</v>
      </c>
      <c r="E1340" s="1"/>
    </row>
    <row r="1341" spans="1:5" ht="16">
      <c r="A1341" s="1" t="s">
        <v>1047</v>
      </c>
      <c r="B1341" s="1" t="s">
        <v>1364</v>
      </c>
      <c r="C1341" s="1" t="s">
        <v>332</v>
      </c>
      <c r="D1341" s="1" t="s">
        <v>229</v>
      </c>
      <c r="E1341" s="1"/>
    </row>
    <row r="1342" spans="1:5" ht="16">
      <c r="A1342" s="1" t="s">
        <v>1047</v>
      </c>
      <c r="B1342" s="1" t="s">
        <v>1365</v>
      </c>
      <c r="C1342" s="1" t="s">
        <v>332</v>
      </c>
      <c r="D1342" s="1" t="s">
        <v>229</v>
      </c>
      <c r="E1342" s="1"/>
    </row>
    <row r="1343" spans="1:5" ht="16">
      <c r="A1343" s="1" t="s">
        <v>1047</v>
      </c>
      <c r="B1343" s="1" t="s">
        <v>1366</v>
      </c>
      <c r="C1343" s="1" t="s">
        <v>332</v>
      </c>
      <c r="D1343" s="1" t="s">
        <v>229</v>
      </c>
      <c r="E1343" s="1"/>
    </row>
    <row r="1344" spans="1:5" ht="16">
      <c r="A1344" s="1" t="s">
        <v>1047</v>
      </c>
      <c r="B1344" s="1" t="s">
        <v>1367</v>
      </c>
      <c r="C1344" s="1" t="s">
        <v>332</v>
      </c>
      <c r="D1344" s="1" t="s">
        <v>229</v>
      </c>
      <c r="E1344" s="1"/>
    </row>
    <row r="1345" spans="1:5" ht="16">
      <c r="A1345" s="1" t="s">
        <v>1047</v>
      </c>
      <c r="B1345" s="1" t="s">
        <v>1368</v>
      </c>
      <c r="C1345" s="1" t="s">
        <v>332</v>
      </c>
      <c r="D1345" s="1" t="s">
        <v>229</v>
      </c>
      <c r="E1345" s="1"/>
    </row>
    <row r="1346" spans="1:5" ht="16">
      <c r="A1346" s="1" t="s">
        <v>1047</v>
      </c>
      <c r="B1346" s="1" t="s">
        <v>1369</v>
      </c>
      <c r="C1346" s="1" t="s">
        <v>332</v>
      </c>
      <c r="D1346" s="1" t="s">
        <v>229</v>
      </c>
      <c r="E1346" s="1"/>
    </row>
    <row r="1347" spans="1:5" ht="16">
      <c r="A1347" s="1" t="s">
        <v>1047</v>
      </c>
      <c r="B1347" s="1" t="s">
        <v>1370</v>
      </c>
      <c r="C1347" s="1" t="s">
        <v>332</v>
      </c>
      <c r="D1347" s="1" t="s">
        <v>229</v>
      </c>
      <c r="E1347" s="1"/>
    </row>
    <row r="1348" spans="1:5" ht="16">
      <c r="A1348" s="1" t="s">
        <v>1047</v>
      </c>
      <c r="B1348" s="1" t="s">
        <v>1371</v>
      </c>
      <c r="C1348" s="1" t="s">
        <v>332</v>
      </c>
      <c r="D1348" s="1" t="s">
        <v>229</v>
      </c>
      <c r="E1348" s="1"/>
    </row>
    <row r="1349" spans="1:5" ht="16">
      <c r="A1349" s="1" t="s">
        <v>1047</v>
      </c>
      <c r="B1349" s="1" t="s">
        <v>1372</v>
      </c>
      <c r="C1349" s="1" t="s">
        <v>364</v>
      </c>
      <c r="D1349" s="1" t="s">
        <v>229</v>
      </c>
      <c r="E1349" s="1"/>
    </row>
    <row r="1350" spans="1:5" ht="16">
      <c r="A1350" s="1" t="s">
        <v>1047</v>
      </c>
      <c r="B1350" s="1" t="s">
        <v>1373</v>
      </c>
      <c r="C1350" s="1" t="s">
        <v>234</v>
      </c>
      <c r="D1350" s="1" t="s">
        <v>229</v>
      </c>
      <c r="E1350" s="1"/>
    </row>
    <row r="1351" spans="1:5" ht="16">
      <c r="A1351" s="1" t="s">
        <v>1047</v>
      </c>
      <c r="B1351" s="1" t="s">
        <v>1374</v>
      </c>
      <c r="C1351" s="1" t="s">
        <v>234</v>
      </c>
      <c r="D1351" s="1" t="s">
        <v>229</v>
      </c>
      <c r="E1351" s="1"/>
    </row>
    <row r="1352" spans="1:5" ht="16">
      <c r="A1352" s="1" t="s">
        <v>1047</v>
      </c>
      <c r="B1352" s="1" t="s">
        <v>1375</v>
      </c>
      <c r="C1352" s="1" t="s">
        <v>334</v>
      </c>
      <c r="D1352" s="1" t="s">
        <v>229</v>
      </c>
      <c r="E1352" s="1"/>
    </row>
    <row r="1353" spans="1:5" ht="16">
      <c r="A1353" s="1" t="s">
        <v>1047</v>
      </c>
      <c r="B1353" s="1" t="s">
        <v>1376</v>
      </c>
      <c r="C1353" s="1" t="s">
        <v>334</v>
      </c>
      <c r="D1353" s="1" t="s">
        <v>229</v>
      </c>
      <c r="E1353" s="1"/>
    </row>
    <row r="1354" spans="1:5" ht="16">
      <c r="A1354" s="1" t="s">
        <v>1047</v>
      </c>
      <c r="B1354" s="1" t="s">
        <v>1377</v>
      </c>
      <c r="C1354" s="1" t="s">
        <v>334</v>
      </c>
      <c r="D1354" s="1" t="s">
        <v>229</v>
      </c>
      <c r="E1354" s="1"/>
    </row>
    <row r="1355" spans="1:5" ht="16">
      <c r="A1355" s="1" t="s">
        <v>1047</v>
      </c>
      <c r="B1355" s="1" t="s">
        <v>1378</v>
      </c>
      <c r="C1355" s="1" t="s">
        <v>334</v>
      </c>
      <c r="D1355" s="1" t="s">
        <v>229</v>
      </c>
      <c r="E1355" s="1"/>
    </row>
    <row r="1356" spans="1:5" ht="16">
      <c r="A1356" s="1" t="s">
        <v>1047</v>
      </c>
      <c r="B1356" s="1" t="s">
        <v>1379</v>
      </c>
      <c r="C1356" s="1" t="s">
        <v>334</v>
      </c>
      <c r="D1356" s="1" t="s">
        <v>229</v>
      </c>
      <c r="E1356" s="1"/>
    </row>
    <row r="1357" spans="1:5" ht="16">
      <c r="A1357" s="1" t="s">
        <v>1047</v>
      </c>
      <c r="B1357" s="1" t="s">
        <v>1380</v>
      </c>
      <c r="C1357" s="1" t="s">
        <v>334</v>
      </c>
      <c r="D1357" s="1" t="s">
        <v>229</v>
      </c>
      <c r="E1357" s="1"/>
    </row>
    <row r="1358" spans="1:5" ht="16">
      <c r="A1358" s="1" t="s">
        <v>1047</v>
      </c>
      <c r="B1358" s="1" t="s">
        <v>1381</v>
      </c>
      <c r="C1358" s="1" t="s">
        <v>334</v>
      </c>
      <c r="D1358" s="1" t="s">
        <v>229</v>
      </c>
      <c r="E1358" s="1"/>
    </row>
    <row r="1359" spans="1:5" ht="16">
      <c r="A1359" s="1" t="s">
        <v>1047</v>
      </c>
      <c r="B1359" s="1" t="s">
        <v>1382</v>
      </c>
      <c r="C1359" s="1" t="s">
        <v>334</v>
      </c>
      <c r="D1359" s="1" t="s">
        <v>229</v>
      </c>
      <c r="E1359" s="1"/>
    </row>
    <row r="1360" spans="1:5" ht="16">
      <c r="A1360" s="1" t="s">
        <v>1047</v>
      </c>
      <c r="B1360" s="1" t="s">
        <v>1383</v>
      </c>
      <c r="C1360" s="1" t="s">
        <v>334</v>
      </c>
      <c r="D1360" s="1" t="s">
        <v>229</v>
      </c>
      <c r="E1360" s="1"/>
    </row>
    <row r="1361" spans="1:5" ht="16">
      <c r="A1361" s="1" t="s">
        <v>1047</v>
      </c>
      <c r="B1361" s="1" t="s">
        <v>1384</v>
      </c>
      <c r="C1361" s="1" t="s">
        <v>334</v>
      </c>
      <c r="D1361" s="1" t="s">
        <v>229</v>
      </c>
      <c r="E1361" s="1"/>
    </row>
    <row r="1362" spans="1:5" ht="16">
      <c r="A1362" s="1" t="s">
        <v>1047</v>
      </c>
      <c r="B1362" s="1" t="s">
        <v>1385</v>
      </c>
      <c r="C1362" s="1" t="s">
        <v>334</v>
      </c>
      <c r="D1362" s="1" t="s">
        <v>229</v>
      </c>
      <c r="E1362" s="1"/>
    </row>
    <row r="1363" spans="1:5" ht="16">
      <c r="A1363" s="1" t="s">
        <v>1047</v>
      </c>
      <c r="B1363" s="1" t="s">
        <v>1386</v>
      </c>
      <c r="C1363" s="1" t="s">
        <v>332</v>
      </c>
      <c r="D1363" s="1" t="s">
        <v>229</v>
      </c>
      <c r="E1363" s="1"/>
    </row>
    <row r="1364" spans="1:5" ht="16">
      <c r="A1364" s="1" t="s">
        <v>1047</v>
      </c>
      <c r="B1364" s="1" t="s">
        <v>1387</v>
      </c>
      <c r="C1364" s="1" t="s">
        <v>332</v>
      </c>
      <c r="D1364" s="1" t="s">
        <v>229</v>
      </c>
      <c r="E1364" s="1"/>
    </row>
    <row r="1365" spans="1:5" ht="16">
      <c r="A1365" s="1" t="s">
        <v>1047</v>
      </c>
      <c r="B1365" s="1" t="s">
        <v>1388</v>
      </c>
      <c r="C1365" s="1" t="s">
        <v>332</v>
      </c>
      <c r="D1365" s="1" t="s">
        <v>229</v>
      </c>
      <c r="E1365" s="1"/>
    </row>
    <row r="1366" spans="1:5" ht="16">
      <c r="A1366" s="1" t="s">
        <v>1047</v>
      </c>
      <c r="B1366" s="1" t="s">
        <v>1389</v>
      </c>
      <c r="C1366" s="1" t="s">
        <v>332</v>
      </c>
      <c r="D1366" s="1" t="s">
        <v>229</v>
      </c>
      <c r="E1366" s="1"/>
    </row>
    <row r="1367" spans="1:5" ht="16">
      <c r="A1367" s="1" t="s">
        <v>1047</v>
      </c>
      <c r="B1367" s="1" t="s">
        <v>1390</v>
      </c>
      <c r="C1367" s="1" t="s">
        <v>332</v>
      </c>
      <c r="D1367" s="1" t="s">
        <v>229</v>
      </c>
      <c r="E1367" s="1"/>
    </row>
    <row r="1368" spans="1:5" ht="16">
      <c r="A1368" s="1" t="s">
        <v>1047</v>
      </c>
      <c r="B1368" s="1" t="s">
        <v>1391</v>
      </c>
      <c r="C1368" s="1" t="s">
        <v>332</v>
      </c>
      <c r="D1368" s="1" t="s">
        <v>229</v>
      </c>
      <c r="E1368" s="1"/>
    </row>
    <row r="1369" spans="1:5" ht="16">
      <c r="A1369" s="1" t="s">
        <v>1047</v>
      </c>
      <c r="B1369" s="1" t="s">
        <v>1392</v>
      </c>
      <c r="C1369" s="1" t="s">
        <v>332</v>
      </c>
      <c r="D1369" s="1" t="s">
        <v>229</v>
      </c>
      <c r="E1369" s="1"/>
    </row>
    <row r="1370" spans="1:5" ht="16">
      <c r="A1370" s="1" t="s">
        <v>1047</v>
      </c>
      <c r="B1370" s="1" t="s">
        <v>1393</v>
      </c>
      <c r="C1370" s="1" t="s">
        <v>332</v>
      </c>
      <c r="D1370" s="1" t="s">
        <v>229</v>
      </c>
      <c r="E1370" s="1"/>
    </row>
    <row r="1371" spans="1:5" ht="16">
      <c r="A1371" s="1" t="s">
        <v>1047</v>
      </c>
      <c r="B1371" s="1" t="s">
        <v>1394</v>
      </c>
      <c r="C1371" s="1" t="s">
        <v>332</v>
      </c>
      <c r="D1371" s="1" t="s">
        <v>229</v>
      </c>
      <c r="E1371" s="1"/>
    </row>
    <row r="1372" spans="1:5" ht="16">
      <c r="A1372" s="1" t="s">
        <v>1047</v>
      </c>
      <c r="B1372" s="1" t="s">
        <v>1395</v>
      </c>
      <c r="C1372" s="1" t="s">
        <v>332</v>
      </c>
      <c r="D1372" s="1" t="s">
        <v>229</v>
      </c>
      <c r="E1372" s="1"/>
    </row>
    <row r="1373" spans="1:5" ht="16">
      <c r="A1373" s="1" t="s">
        <v>1047</v>
      </c>
      <c r="B1373" s="1" t="s">
        <v>1396</v>
      </c>
      <c r="C1373" s="1" t="s">
        <v>332</v>
      </c>
      <c r="D1373" s="1" t="s">
        <v>229</v>
      </c>
      <c r="E1373" s="1"/>
    </row>
    <row r="1374" spans="1:5" ht="16">
      <c r="A1374" s="1" t="s">
        <v>1047</v>
      </c>
      <c r="B1374" s="1" t="s">
        <v>1397</v>
      </c>
      <c r="C1374" s="1" t="s">
        <v>332</v>
      </c>
      <c r="D1374" s="1" t="s">
        <v>229</v>
      </c>
      <c r="E1374" s="1"/>
    </row>
    <row r="1375" spans="1:5" ht="16">
      <c r="A1375" s="1" t="s">
        <v>1047</v>
      </c>
      <c r="B1375" s="1" t="s">
        <v>1398</v>
      </c>
      <c r="C1375" s="1" t="s">
        <v>228</v>
      </c>
      <c r="D1375" s="1" t="s">
        <v>229</v>
      </c>
      <c r="E1375" s="1"/>
    </row>
    <row r="1376" spans="1:5" ht="16">
      <c r="A1376" s="1" t="s">
        <v>1047</v>
      </c>
      <c r="B1376" s="1" t="s">
        <v>1399</v>
      </c>
      <c r="C1376" s="1" t="s">
        <v>228</v>
      </c>
      <c r="D1376" s="1" t="s">
        <v>229</v>
      </c>
      <c r="E1376" s="1"/>
    </row>
    <row r="1377" spans="1:5" ht="16">
      <c r="A1377" s="1" t="s">
        <v>1047</v>
      </c>
      <c r="B1377" s="1" t="s">
        <v>1400</v>
      </c>
      <c r="C1377" s="1" t="s">
        <v>228</v>
      </c>
      <c r="D1377" s="1" t="s">
        <v>229</v>
      </c>
      <c r="E1377" s="1"/>
    </row>
    <row r="1378" spans="1:5" ht="16">
      <c r="A1378" s="1" t="s">
        <v>1047</v>
      </c>
      <c r="B1378" s="1" t="s">
        <v>1401</v>
      </c>
      <c r="C1378" s="1" t="s">
        <v>332</v>
      </c>
      <c r="D1378" s="1" t="s">
        <v>229</v>
      </c>
      <c r="E1378" s="1"/>
    </row>
    <row r="1379" spans="1:5" ht="16">
      <c r="A1379" s="1" t="s">
        <v>1047</v>
      </c>
      <c r="B1379" s="1" t="s">
        <v>1402</v>
      </c>
      <c r="C1379" s="1" t="s">
        <v>332</v>
      </c>
      <c r="D1379" s="1" t="s">
        <v>229</v>
      </c>
      <c r="E1379" s="1"/>
    </row>
    <row r="1380" spans="1:5" ht="16">
      <c r="A1380" s="1" t="s">
        <v>1047</v>
      </c>
      <c r="B1380" s="1" t="s">
        <v>1403</v>
      </c>
      <c r="C1380" s="1" t="s">
        <v>332</v>
      </c>
      <c r="D1380" s="1" t="s">
        <v>229</v>
      </c>
      <c r="E1380" s="1"/>
    </row>
    <row r="1381" spans="1:5" ht="16">
      <c r="A1381" s="1" t="s">
        <v>1047</v>
      </c>
      <c r="B1381" s="1" t="s">
        <v>1404</v>
      </c>
      <c r="C1381" s="1" t="s">
        <v>332</v>
      </c>
      <c r="D1381" s="1" t="s">
        <v>229</v>
      </c>
      <c r="E1381" s="1"/>
    </row>
    <row r="1382" spans="1:5" ht="16">
      <c r="A1382" s="1" t="s">
        <v>1047</v>
      </c>
      <c r="B1382" s="1" t="s">
        <v>1405</v>
      </c>
      <c r="C1382" s="1" t="s">
        <v>332</v>
      </c>
      <c r="D1382" s="1" t="s">
        <v>229</v>
      </c>
      <c r="E1382" s="1"/>
    </row>
    <row r="1383" spans="1:5" ht="16">
      <c r="A1383" s="1" t="s">
        <v>1047</v>
      </c>
      <c r="B1383" s="1" t="s">
        <v>1406</v>
      </c>
      <c r="C1383" s="1" t="s">
        <v>332</v>
      </c>
      <c r="D1383" s="1" t="s">
        <v>229</v>
      </c>
      <c r="E1383" s="1"/>
    </row>
    <row r="1384" spans="1:5" ht="16">
      <c r="A1384" s="1" t="s">
        <v>1047</v>
      </c>
      <c r="B1384" s="1" t="s">
        <v>1407</v>
      </c>
      <c r="C1384" s="1" t="s">
        <v>332</v>
      </c>
      <c r="D1384" s="1" t="s">
        <v>229</v>
      </c>
      <c r="E1384" s="1"/>
    </row>
    <row r="1385" spans="1:5" ht="16">
      <c r="A1385" s="1" t="s">
        <v>1047</v>
      </c>
      <c r="B1385" s="1" t="s">
        <v>1408</v>
      </c>
      <c r="C1385" s="1" t="s">
        <v>332</v>
      </c>
      <c r="D1385" s="1" t="s">
        <v>229</v>
      </c>
      <c r="E1385" s="1"/>
    </row>
    <row r="1386" spans="1:5" ht="16">
      <c r="A1386" s="1" t="s">
        <v>1047</v>
      </c>
      <c r="B1386" s="1" t="s">
        <v>1409</v>
      </c>
      <c r="C1386" s="1" t="s">
        <v>332</v>
      </c>
      <c r="D1386" s="1" t="s">
        <v>229</v>
      </c>
      <c r="E1386" s="1"/>
    </row>
    <row r="1387" spans="1:5" ht="16">
      <c r="A1387" s="1" t="s">
        <v>1047</v>
      </c>
      <c r="B1387" s="1" t="s">
        <v>1410</v>
      </c>
      <c r="C1387" s="1" t="s">
        <v>1411</v>
      </c>
      <c r="D1387" s="1" t="s">
        <v>229</v>
      </c>
      <c r="E1387" s="1"/>
    </row>
    <row r="1388" spans="1:5" ht="16">
      <c r="A1388" s="1" t="s">
        <v>1047</v>
      </c>
      <c r="B1388" s="1" t="s">
        <v>1412</v>
      </c>
      <c r="C1388" s="1" t="s">
        <v>1411</v>
      </c>
      <c r="D1388" s="1" t="s">
        <v>229</v>
      </c>
      <c r="E1388" s="1"/>
    </row>
    <row r="1389" spans="1:5" ht="16">
      <c r="A1389" s="1" t="s">
        <v>1047</v>
      </c>
      <c r="B1389" s="1" t="s">
        <v>1413</v>
      </c>
      <c r="C1389" s="1" t="s">
        <v>1411</v>
      </c>
      <c r="D1389" s="1" t="s">
        <v>229</v>
      </c>
      <c r="E1389" s="1"/>
    </row>
    <row r="1390" spans="1:5" ht="16">
      <c r="A1390" s="1" t="s">
        <v>1047</v>
      </c>
      <c r="B1390" s="1" t="s">
        <v>1414</v>
      </c>
      <c r="C1390" s="1" t="s">
        <v>334</v>
      </c>
      <c r="D1390" s="1" t="s">
        <v>229</v>
      </c>
      <c r="E1390" s="1"/>
    </row>
    <row r="1391" spans="1:5" ht="16">
      <c r="A1391" s="1" t="s">
        <v>1047</v>
      </c>
      <c r="B1391" s="1" t="s">
        <v>1068</v>
      </c>
      <c r="C1391" s="1" t="s">
        <v>334</v>
      </c>
      <c r="D1391" s="1" t="s">
        <v>229</v>
      </c>
      <c r="E1391" s="1"/>
    </row>
    <row r="1392" spans="1:5" ht="16">
      <c r="A1392" s="1" t="s">
        <v>1047</v>
      </c>
      <c r="B1392" s="1" t="s">
        <v>1415</v>
      </c>
      <c r="C1392" s="1" t="s">
        <v>334</v>
      </c>
      <c r="D1392" s="1" t="s">
        <v>229</v>
      </c>
      <c r="E1392" s="1"/>
    </row>
    <row r="1393" spans="1:5" ht="16">
      <c r="A1393" s="1" t="s">
        <v>1047</v>
      </c>
      <c r="B1393" s="1" t="s">
        <v>1416</v>
      </c>
      <c r="C1393" s="1" t="s">
        <v>332</v>
      </c>
      <c r="D1393" s="1" t="s">
        <v>229</v>
      </c>
      <c r="E1393" s="1"/>
    </row>
    <row r="1394" spans="1:5" ht="16">
      <c r="A1394" s="1" t="s">
        <v>1047</v>
      </c>
      <c r="B1394" s="1" t="s">
        <v>1417</v>
      </c>
      <c r="C1394" s="1" t="s">
        <v>332</v>
      </c>
      <c r="D1394" s="1" t="s">
        <v>229</v>
      </c>
      <c r="E1394" s="1"/>
    </row>
    <row r="1395" spans="1:5" ht="16">
      <c r="A1395" s="1" t="s">
        <v>1047</v>
      </c>
      <c r="B1395" s="1" t="s">
        <v>1418</v>
      </c>
      <c r="C1395" s="1" t="s">
        <v>332</v>
      </c>
      <c r="D1395" s="1" t="s">
        <v>229</v>
      </c>
      <c r="E1395" s="1"/>
    </row>
    <row r="1396" spans="1:5" ht="16">
      <c r="A1396" s="1" t="s">
        <v>1047</v>
      </c>
      <c r="B1396" s="1" t="s">
        <v>1419</v>
      </c>
      <c r="C1396" s="1" t="s">
        <v>332</v>
      </c>
      <c r="D1396" s="1" t="s">
        <v>229</v>
      </c>
      <c r="E1396" s="1"/>
    </row>
    <row r="1397" spans="1:5" ht="16">
      <c r="A1397" s="1" t="s">
        <v>1047</v>
      </c>
      <c r="B1397" s="1" t="s">
        <v>1420</v>
      </c>
      <c r="C1397" s="1" t="s">
        <v>332</v>
      </c>
      <c r="D1397" s="1" t="s">
        <v>229</v>
      </c>
      <c r="E1397" s="1"/>
    </row>
    <row r="1398" spans="1:5" ht="16">
      <c r="A1398" s="1" t="s">
        <v>1047</v>
      </c>
      <c r="B1398" s="1" t="s">
        <v>1421</v>
      </c>
      <c r="C1398" s="1" t="s">
        <v>332</v>
      </c>
      <c r="D1398" s="1" t="s">
        <v>229</v>
      </c>
      <c r="E1398" s="1"/>
    </row>
    <row r="1399" spans="1:5" ht="16">
      <c r="A1399" s="1" t="s">
        <v>1047</v>
      </c>
      <c r="B1399" s="1" t="s">
        <v>1422</v>
      </c>
      <c r="C1399" s="1" t="s">
        <v>332</v>
      </c>
      <c r="D1399" s="1" t="s">
        <v>229</v>
      </c>
      <c r="E1399" s="1"/>
    </row>
    <row r="1400" spans="1:5" ht="16">
      <c r="A1400" s="1" t="s">
        <v>1047</v>
      </c>
      <c r="B1400" s="1" t="s">
        <v>1423</v>
      </c>
      <c r="C1400" s="1" t="s">
        <v>332</v>
      </c>
      <c r="D1400" s="1" t="s">
        <v>229</v>
      </c>
      <c r="E1400" s="1"/>
    </row>
    <row r="1401" spans="1:5" ht="16">
      <c r="A1401" s="1" t="s">
        <v>1047</v>
      </c>
      <c r="B1401" s="1" t="s">
        <v>1424</v>
      </c>
      <c r="C1401" s="1" t="s">
        <v>332</v>
      </c>
      <c r="D1401" s="1" t="s">
        <v>229</v>
      </c>
      <c r="E1401" s="1"/>
    </row>
    <row r="1402" spans="1:5" ht="16">
      <c r="A1402" s="1" t="s">
        <v>1047</v>
      </c>
      <c r="B1402" s="1" t="s">
        <v>1425</v>
      </c>
      <c r="C1402" s="1" t="s">
        <v>332</v>
      </c>
      <c r="D1402" s="1" t="s">
        <v>229</v>
      </c>
      <c r="E1402" s="1"/>
    </row>
    <row r="1403" spans="1:5" ht="16">
      <c r="A1403" s="1" t="s">
        <v>1047</v>
      </c>
      <c r="B1403" s="1" t="s">
        <v>1426</v>
      </c>
      <c r="C1403" s="1" t="s">
        <v>332</v>
      </c>
      <c r="D1403" s="1" t="s">
        <v>229</v>
      </c>
      <c r="E1403" s="1"/>
    </row>
    <row r="1404" spans="1:5" ht="16">
      <c r="A1404" s="1" t="s">
        <v>1047</v>
      </c>
      <c r="B1404" s="1" t="s">
        <v>1427</v>
      </c>
      <c r="C1404" s="1" t="s">
        <v>1411</v>
      </c>
      <c r="D1404" s="1" t="s">
        <v>229</v>
      </c>
      <c r="E1404" s="1"/>
    </row>
    <row r="1405" spans="1:5" ht="16">
      <c r="A1405" s="1" t="s">
        <v>1047</v>
      </c>
      <c r="B1405" s="1" t="s">
        <v>486</v>
      </c>
      <c r="C1405" s="1" t="s">
        <v>334</v>
      </c>
      <c r="D1405" s="1" t="s">
        <v>229</v>
      </c>
      <c r="E1405" s="1"/>
    </row>
    <row r="1406" spans="1:5" ht="16">
      <c r="A1406" s="1" t="s">
        <v>1047</v>
      </c>
      <c r="B1406" s="1" t="s">
        <v>486</v>
      </c>
      <c r="C1406" s="1" t="s">
        <v>334</v>
      </c>
      <c r="D1406" s="1" t="s">
        <v>229</v>
      </c>
      <c r="E1406" s="1"/>
    </row>
    <row r="1407" spans="1:5" ht="16">
      <c r="A1407" s="1" t="s">
        <v>1047</v>
      </c>
      <c r="B1407" s="1" t="s">
        <v>486</v>
      </c>
      <c r="C1407" s="1" t="s">
        <v>334</v>
      </c>
      <c r="D1407" s="1" t="s">
        <v>229</v>
      </c>
      <c r="E1407" s="1"/>
    </row>
    <row r="1408" spans="1:5" ht="16">
      <c r="A1408" s="1" t="s">
        <v>1047</v>
      </c>
      <c r="B1408" s="1" t="s">
        <v>532</v>
      </c>
      <c r="C1408" s="1" t="s">
        <v>334</v>
      </c>
      <c r="D1408" s="1" t="s">
        <v>229</v>
      </c>
      <c r="E1408" s="1"/>
    </row>
    <row r="1409" spans="1:5" ht="16">
      <c r="A1409" s="1" t="s">
        <v>1047</v>
      </c>
      <c r="B1409" s="1" t="s">
        <v>532</v>
      </c>
      <c r="C1409" s="1" t="s">
        <v>334</v>
      </c>
      <c r="D1409" s="1" t="s">
        <v>229</v>
      </c>
      <c r="E1409" s="1"/>
    </row>
    <row r="1410" spans="1:5" ht="16">
      <c r="A1410" s="1" t="s">
        <v>1047</v>
      </c>
      <c r="B1410" s="1" t="s">
        <v>532</v>
      </c>
      <c r="C1410" s="1" t="s">
        <v>334</v>
      </c>
      <c r="D1410" s="1" t="s">
        <v>229</v>
      </c>
      <c r="E1410" s="1"/>
    </row>
    <row r="1411" spans="1:5" ht="16">
      <c r="A1411" s="1" t="s">
        <v>1047</v>
      </c>
      <c r="B1411" s="1" t="s">
        <v>1428</v>
      </c>
      <c r="C1411" s="1" t="s">
        <v>228</v>
      </c>
      <c r="D1411" s="1" t="s">
        <v>229</v>
      </c>
      <c r="E1411" s="1"/>
    </row>
    <row r="1412" spans="1:5" ht="16">
      <c r="A1412" s="1" t="s">
        <v>1047</v>
      </c>
      <c r="B1412" s="1" t="s">
        <v>1429</v>
      </c>
      <c r="C1412" s="1" t="s">
        <v>332</v>
      </c>
      <c r="D1412" s="1" t="s">
        <v>229</v>
      </c>
      <c r="E1412" s="1"/>
    </row>
    <row r="1413" spans="1:5" ht="16">
      <c r="A1413" s="1" t="s">
        <v>1047</v>
      </c>
      <c r="B1413" s="1" t="s">
        <v>1430</v>
      </c>
      <c r="C1413" s="1" t="s">
        <v>332</v>
      </c>
      <c r="D1413" s="1" t="s">
        <v>229</v>
      </c>
      <c r="E1413" s="1"/>
    </row>
    <row r="1414" spans="1:5" ht="16">
      <c r="A1414" s="1" t="s">
        <v>1047</v>
      </c>
      <c r="B1414" s="1" t="s">
        <v>1431</v>
      </c>
      <c r="C1414" s="1" t="s">
        <v>332</v>
      </c>
      <c r="D1414" s="1" t="s">
        <v>229</v>
      </c>
      <c r="E1414" s="1"/>
    </row>
    <row r="1415" spans="1:5" ht="16">
      <c r="A1415" s="1" t="s">
        <v>1047</v>
      </c>
      <c r="B1415" s="1" t="s">
        <v>1432</v>
      </c>
      <c r="C1415" s="1" t="s">
        <v>332</v>
      </c>
      <c r="D1415" s="1" t="s">
        <v>229</v>
      </c>
      <c r="E1415" s="1"/>
    </row>
    <row r="1416" spans="1:5" ht="16">
      <c r="A1416" s="1" t="s">
        <v>1047</v>
      </c>
      <c r="B1416" s="1" t="s">
        <v>1433</v>
      </c>
      <c r="C1416" s="1" t="s">
        <v>332</v>
      </c>
      <c r="D1416" s="1" t="s">
        <v>229</v>
      </c>
      <c r="E1416" s="1"/>
    </row>
    <row r="1417" spans="1:5" ht="16">
      <c r="A1417" s="1" t="s">
        <v>1047</v>
      </c>
      <c r="B1417" s="1" t="s">
        <v>1434</v>
      </c>
      <c r="C1417" s="1" t="s">
        <v>332</v>
      </c>
      <c r="D1417" s="1" t="s">
        <v>229</v>
      </c>
      <c r="E1417" s="1"/>
    </row>
    <row r="1418" spans="1:5" ht="16">
      <c r="A1418" s="1" t="s">
        <v>1047</v>
      </c>
      <c r="B1418" s="1" t="s">
        <v>1435</v>
      </c>
      <c r="C1418" s="1" t="s">
        <v>332</v>
      </c>
      <c r="D1418" s="1" t="s">
        <v>229</v>
      </c>
      <c r="E1418" s="1"/>
    </row>
    <row r="1419" spans="1:5" ht="16">
      <c r="A1419" s="1" t="s">
        <v>1047</v>
      </c>
      <c r="B1419" s="1" t="s">
        <v>1436</v>
      </c>
      <c r="C1419" s="1" t="s">
        <v>332</v>
      </c>
      <c r="D1419" s="1" t="s">
        <v>229</v>
      </c>
      <c r="E1419" s="1"/>
    </row>
    <row r="1420" spans="1:5" ht="16">
      <c r="A1420" s="1" t="s">
        <v>1047</v>
      </c>
      <c r="B1420" s="1" t="s">
        <v>1437</v>
      </c>
      <c r="C1420" s="1" t="s">
        <v>332</v>
      </c>
      <c r="D1420" s="1" t="s">
        <v>229</v>
      </c>
      <c r="E1420" s="1"/>
    </row>
    <row r="1421" spans="1:5" ht="16">
      <c r="A1421" s="1" t="s">
        <v>1047</v>
      </c>
      <c r="B1421" s="1" t="s">
        <v>1438</v>
      </c>
      <c r="C1421" s="1" t="s">
        <v>332</v>
      </c>
      <c r="D1421" s="1" t="s">
        <v>229</v>
      </c>
      <c r="E1421" s="1"/>
    </row>
    <row r="1422" spans="1:5" ht="16">
      <c r="A1422" s="1" t="s">
        <v>1047</v>
      </c>
      <c r="B1422" s="1" t="s">
        <v>1439</v>
      </c>
      <c r="C1422" s="1" t="s">
        <v>332</v>
      </c>
      <c r="D1422" s="1" t="s">
        <v>229</v>
      </c>
      <c r="E1422" s="1"/>
    </row>
    <row r="1423" spans="1:5" ht="16">
      <c r="A1423" s="1" t="s">
        <v>1047</v>
      </c>
      <c r="B1423" s="1" t="s">
        <v>1440</v>
      </c>
      <c r="C1423" s="1" t="s">
        <v>332</v>
      </c>
      <c r="D1423" s="1" t="s">
        <v>229</v>
      </c>
      <c r="E1423" s="1"/>
    </row>
    <row r="1424" spans="1:5" ht="16">
      <c r="A1424" s="1" t="s">
        <v>1047</v>
      </c>
      <c r="B1424" s="1" t="s">
        <v>1441</v>
      </c>
      <c r="C1424" s="1" t="s">
        <v>332</v>
      </c>
      <c r="D1424" s="1" t="s">
        <v>229</v>
      </c>
      <c r="E1424" s="1"/>
    </row>
    <row r="1425" spans="1:5" ht="16">
      <c r="A1425" s="1" t="s">
        <v>1047</v>
      </c>
      <c r="B1425" s="1" t="s">
        <v>1442</v>
      </c>
      <c r="C1425" s="1" t="s">
        <v>332</v>
      </c>
      <c r="D1425" s="1" t="s">
        <v>229</v>
      </c>
      <c r="E1425" s="1"/>
    </row>
    <row r="1426" spans="1:5" ht="16">
      <c r="A1426" s="1" t="s">
        <v>1047</v>
      </c>
      <c r="B1426" s="1" t="s">
        <v>1443</v>
      </c>
      <c r="C1426" s="1" t="s">
        <v>332</v>
      </c>
      <c r="D1426" s="1" t="s">
        <v>229</v>
      </c>
      <c r="E1426" s="1"/>
    </row>
    <row r="1427" spans="1:5" ht="16">
      <c r="A1427" s="1" t="s">
        <v>1047</v>
      </c>
      <c r="B1427" s="1" t="s">
        <v>1444</v>
      </c>
      <c r="C1427" s="1" t="s">
        <v>332</v>
      </c>
      <c r="D1427" s="1" t="s">
        <v>229</v>
      </c>
      <c r="E1427" s="1"/>
    </row>
    <row r="1428" spans="1:5" ht="16">
      <c r="A1428" s="1" t="s">
        <v>1047</v>
      </c>
      <c r="B1428" s="1" t="s">
        <v>1445</v>
      </c>
      <c r="C1428" s="1" t="s">
        <v>332</v>
      </c>
      <c r="D1428" s="1" t="s">
        <v>229</v>
      </c>
      <c r="E1428" s="1"/>
    </row>
    <row r="1429" spans="1:5" ht="16">
      <c r="A1429" s="1" t="s">
        <v>1047</v>
      </c>
      <c r="B1429" s="1" t="s">
        <v>1446</v>
      </c>
      <c r="C1429" s="1" t="s">
        <v>332</v>
      </c>
      <c r="D1429" s="1" t="s">
        <v>229</v>
      </c>
      <c r="E1429" s="1"/>
    </row>
    <row r="1430" spans="1:5" ht="16">
      <c r="A1430" s="1" t="s">
        <v>1047</v>
      </c>
      <c r="B1430" s="1" t="s">
        <v>1447</v>
      </c>
      <c r="C1430" s="1" t="s">
        <v>332</v>
      </c>
      <c r="D1430" s="1" t="s">
        <v>229</v>
      </c>
      <c r="E1430" s="1"/>
    </row>
    <row r="1431" spans="1:5" ht="16">
      <c r="A1431" s="1" t="s">
        <v>1047</v>
      </c>
      <c r="B1431" s="1" t="s">
        <v>1448</v>
      </c>
      <c r="C1431" s="1" t="s">
        <v>332</v>
      </c>
      <c r="D1431" s="1" t="s">
        <v>229</v>
      </c>
      <c r="E1431" s="1"/>
    </row>
    <row r="1432" spans="1:5" ht="16">
      <c r="A1432" s="1" t="s">
        <v>1047</v>
      </c>
      <c r="B1432" s="1" t="s">
        <v>1449</v>
      </c>
      <c r="C1432" s="1" t="s">
        <v>332</v>
      </c>
      <c r="D1432" s="1" t="s">
        <v>229</v>
      </c>
      <c r="E1432" s="1"/>
    </row>
    <row r="1433" spans="1:5" ht="16">
      <c r="A1433" s="1" t="s">
        <v>1047</v>
      </c>
      <c r="B1433" s="1" t="s">
        <v>1450</v>
      </c>
      <c r="C1433" s="1" t="s">
        <v>332</v>
      </c>
      <c r="D1433" s="1" t="s">
        <v>229</v>
      </c>
      <c r="E1433" s="1"/>
    </row>
    <row r="1434" spans="1:5" ht="16">
      <c r="A1434" s="1" t="s">
        <v>1047</v>
      </c>
      <c r="B1434" s="1" t="s">
        <v>1451</v>
      </c>
      <c r="C1434" s="1" t="s">
        <v>332</v>
      </c>
      <c r="D1434" s="1" t="s">
        <v>229</v>
      </c>
      <c r="E1434" s="1"/>
    </row>
    <row r="1435" spans="1:5" ht="16">
      <c r="A1435" s="1" t="s">
        <v>1047</v>
      </c>
      <c r="B1435" s="1" t="s">
        <v>531</v>
      </c>
      <c r="C1435" s="1" t="s">
        <v>334</v>
      </c>
      <c r="D1435" s="1" t="s">
        <v>229</v>
      </c>
      <c r="E1435" s="1"/>
    </row>
    <row r="1436" spans="1:5" ht="16">
      <c r="A1436" s="1" t="s">
        <v>1047</v>
      </c>
      <c r="B1436" s="1" t="s">
        <v>531</v>
      </c>
      <c r="C1436" s="1" t="s">
        <v>334</v>
      </c>
      <c r="D1436" s="1" t="s">
        <v>229</v>
      </c>
      <c r="E1436" s="1"/>
    </row>
    <row r="1437" spans="1:5" ht="16">
      <c r="A1437" s="1" t="s">
        <v>1047</v>
      </c>
      <c r="B1437" s="1" t="s">
        <v>531</v>
      </c>
      <c r="C1437" s="1" t="s">
        <v>334</v>
      </c>
      <c r="D1437" s="1" t="s">
        <v>229</v>
      </c>
      <c r="E1437" s="1"/>
    </row>
    <row r="1438" spans="1:5" ht="16">
      <c r="A1438" s="1" t="s">
        <v>1047</v>
      </c>
      <c r="B1438" s="1" t="s">
        <v>1452</v>
      </c>
      <c r="C1438" s="1" t="s">
        <v>332</v>
      </c>
      <c r="D1438" s="1" t="s">
        <v>229</v>
      </c>
      <c r="E1438" s="1"/>
    </row>
    <row r="1439" spans="1:5" ht="16">
      <c r="A1439" s="1" t="s">
        <v>1047</v>
      </c>
      <c r="B1439" s="1" t="s">
        <v>1453</v>
      </c>
      <c r="C1439" s="1" t="s">
        <v>332</v>
      </c>
      <c r="D1439" s="1" t="s">
        <v>229</v>
      </c>
      <c r="E1439" s="1"/>
    </row>
    <row r="1440" spans="1:5" ht="16">
      <c r="A1440" s="1" t="s">
        <v>1047</v>
      </c>
      <c r="B1440" s="1" t="s">
        <v>1454</v>
      </c>
      <c r="C1440" s="1" t="s">
        <v>332</v>
      </c>
      <c r="D1440" s="1" t="s">
        <v>229</v>
      </c>
      <c r="E1440" s="1"/>
    </row>
    <row r="1441" spans="1:5" ht="16">
      <c r="A1441" s="1" t="s">
        <v>1047</v>
      </c>
      <c r="B1441" s="1" t="s">
        <v>1455</v>
      </c>
      <c r="C1441" s="1" t="s">
        <v>332</v>
      </c>
      <c r="D1441" s="1" t="s">
        <v>229</v>
      </c>
      <c r="E1441" s="1"/>
    </row>
    <row r="1442" spans="1:5" ht="16">
      <c r="A1442" s="1" t="s">
        <v>1047</v>
      </c>
      <c r="B1442" s="1" t="s">
        <v>1456</v>
      </c>
      <c r="C1442" s="1" t="s">
        <v>332</v>
      </c>
      <c r="D1442" s="1" t="s">
        <v>229</v>
      </c>
      <c r="E1442" s="1"/>
    </row>
    <row r="1443" spans="1:5" ht="16">
      <c r="A1443" s="1" t="s">
        <v>1047</v>
      </c>
      <c r="B1443" s="1" t="s">
        <v>1457</v>
      </c>
      <c r="C1443" s="1" t="s">
        <v>332</v>
      </c>
      <c r="D1443" s="1" t="s">
        <v>229</v>
      </c>
      <c r="E1443" s="1"/>
    </row>
    <row r="1444" spans="1:5" ht="16">
      <c r="A1444" s="1" t="s">
        <v>1047</v>
      </c>
      <c r="B1444" s="1" t="s">
        <v>1458</v>
      </c>
      <c r="C1444" s="1" t="s">
        <v>332</v>
      </c>
      <c r="D1444" s="1" t="s">
        <v>229</v>
      </c>
      <c r="E1444" s="1"/>
    </row>
    <row r="1445" spans="1:5" ht="16">
      <c r="A1445" s="1" t="s">
        <v>1047</v>
      </c>
      <c r="B1445" s="1" t="s">
        <v>1459</v>
      </c>
      <c r="C1445" s="1" t="s">
        <v>332</v>
      </c>
      <c r="D1445" s="1" t="s">
        <v>229</v>
      </c>
      <c r="E1445" s="1"/>
    </row>
    <row r="1446" spans="1:5" ht="16">
      <c r="A1446" s="1" t="s">
        <v>1047</v>
      </c>
      <c r="B1446" s="1" t="s">
        <v>1460</v>
      </c>
      <c r="C1446" s="1" t="s">
        <v>332</v>
      </c>
      <c r="D1446" s="1" t="s">
        <v>229</v>
      </c>
      <c r="E1446" s="1"/>
    </row>
    <row r="1447" spans="1:5" ht="16">
      <c r="A1447" s="1" t="s">
        <v>1047</v>
      </c>
      <c r="B1447" s="1" t="s">
        <v>1461</v>
      </c>
      <c r="C1447" s="1" t="s">
        <v>332</v>
      </c>
      <c r="D1447" s="1" t="s">
        <v>229</v>
      </c>
      <c r="E1447" s="1"/>
    </row>
    <row r="1448" spans="1:5" ht="16">
      <c r="A1448" s="1" t="s">
        <v>1047</v>
      </c>
      <c r="B1448" s="1" t="s">
        <v>1462</v>
      </c>
      <c r="C1448" s="1" t="s">
        <v>332</v>
      </c>
      <c r="D1448" s="1" t="s">
        <v>229</v>
      </c>
      <c r="E1448" s="1"/>
    </row>
    <row r="1449" spans="1:5" ht="16">
      <c r="A1449" s="1" t="s">
        <v>1047</v>
      </c>
      <c r="B1449" s="1" t="s">
        <v>1463</v>
      </c>
      <c r="C1449" s="1" t="s">
        <v>332</v>
      </c>
      <c r="D1449" s="1" t="s">
        <v>229</v>
      </c>
      <c r="E1449" s="1"/>
    </row>
    <row r="1450" spans="1:5" ht="16">
      <c r="A1450" s="1" t="s">
        <v>1047</v>
      </c>
      <c r="B1450" s="1" t="s">
        <v>1464</v>
      </c>
      <c r="C1450" s="1" t="s">
        <v>332</v>
      </c>
      <c r="D1450" s="1" t="s">
        <v>229</v>
      </c>
      <c r="E1450" s="1"/>
    </row>
    <row r="1451" spans="1:5" ht="16">
      <c r="A1451" s="1" t="s">
        <v>1047</v>
      </c>
      <c r="B1451" s="1" t="s">
        <v>1465</v>
      </c>
      <c r="C1451" s="1" t="s">
        <v>332</v>
      </c>
      <c r="D1451" s="1" t="s">
        <v>229</v>
      </c>
      <c r="E1451" s="1"/>
    </row>
    <row r="1452" spans="1:5" ht="16">
      <c r="A1452" s="1" t="s">
        <v>1047</v>
      </c>
      <c r="B1452" s="1" t="s">
        <v>1466</v>
      </c>
      <c r="C1452" s="1" t="s">
        <v>332</v>
      </c>
      <c r="D1452" s="1" t="s">
        <v>229</v>
      </c>
      <c r="E1452" s="1"/>
    </row>
    <row r="1453" spans="1:5" ht="16">
      <c r="A1453" s="1" t="s">
        <v>1047</v>
      </c>
      <c r="B1453" s="1" t="s">
        <v>1467</v>
      </c>
      <c r="C1453" s="1" t="s">
        <v>332</v>
      </c>
      <c r="D1453" s="1" t="s">
        <v>229</v>
      </c>
      <c r="E1453" s="1"/>
    </row>
    <row r="1454" spans="1:5" ht="16">
      <c r="A1454" s="1" t="s">
        <v>1047</v>
      </c>
      <c r="B1454" s="1" t="s">
        <v>1468</v>
      </c>
      <c r="C1454" s="1" t="s">
        <v>332</v>
      </c>
      <c r="D1454" s="1" t="s">
        <v>229</v>
      </c>
      <c r="E1454" s="1"/>
    </row>
    <row r="1455" spans="1:5" ht="16">
      <c r="A1455" s="1" t="s">
        <v>1047</v>
      </c>
      <c r="B1455" s="1" t="s">
        <v>1469</v>
      </c>
      <c r="C1455" s="1" t="s">
        <v>332</v>
      </c>
      <c r="D1455" s="1" t="s">
        <v>229</v>
      </c>
      <c r="E1455" s="1"/>
    </row>
    <row r="1456" spans="1:5" ht="16">
      <c r="A1456" s="1" t="s">
        <v>1047</v>
      </c>
      <c r="B1456" s="1" t="s">
        <v>1470</v>
      </c>
      <c r="C1456" s="1" t="s">
        <v>332</v>
      </c>
      <c r="D1456" s="1" t="s">
        <v>229</v>
      </c>
      <c r="E1456" s="1"/>
    </row>
    <row r="1457" spans="1:5" ht="16">
      <c r="A1457" s="1" t="s">
        <v>1047</v>
      </c>
      <c r="B1457" s="1" t="s">
        <v>1471</v>
      </c>
      <c r="C1457" s="1" t="s">
        <v>332</v>
      </c>
      <c r="D1457" s="1" t="s">
        <v>229</v>
      </c>
      <c r="E1457" s="1"/>
    </row>
    <row r="1458" spans="1:5" ht="16">
      <c r="A1458" s="1" t="s">
        <v>1047</v>
      </c>
      <c r="B1458" s="1" t="s">
        <v>1472</v>
      </c>
      <c r="C1458" s="1" t="s">
        <v>332</v>
      </c>
      <c r="D1458" s="1" t="s">
        <v>229</v>
      </c>
      <c r="E1458" s="1"/>
    </row>
    <row r="1459" spans="1:5" ht="16">
      <c r="A1459" s="1" t="s">
        <v>1047</v>
      </c>
      <c r="B1459" s="1" t="s">
        <v>1473</v>
      </c>
      <c r="C1459" s="1" t="s">
        <v>332</v>
      </c>
      <c r="D1459" s="1" t="s">
        <v>229</v>
      </c>
      <c r="E1459" s="1"/>
    </row>
    <row r="1460" spans="1:5" ht="16">
      <c r="A1460" s="1" t="s">
        <v>1047</v>
      </c>
      <c r="B1460" s="1" t="s">
        <v>1474</v>
      </c>
      <c r="C1460" s="1" t="s">
        <v>332</v>
      </c>
      <c r="D1460" s="1" t="s">
        <v>229</v>
      </c>
      <c r="E1460" s="1"/>
    </row>
    <row r="1461" spans="1:5" ht="16">
      <c r="A1461" s="1" t="s">
        <v>1047</v>
      </c>
      <c r="B1461" s="1" t="s">
        <v>1475</v>
      </c>
      <c r="C1461" s="1" t="s">
        <v>332</v>
      </c>
      <c r="D1461" s="1" t="s">
        <v>229</v>
      </c>
      <c r="E1461" s="1"/>
    </row>
    <row r="1462" spans="1:5" ht="16">
      <c r="A1462" s="1" t="s">
        <v>1047</v>
      </c>
      <c r="B1462" s="1" t="s">
        <v>1476</v>
      </c>
      <c r="C1462" s="1" t="s">
        <v>332</v>
      </c>
      <c r="D1462" s="1" t="s">
        <v>229</v>
      </c>
      <c r="E1462" s="1"/>
    </row>
    <row r="1463" spans="1:5" ht="16">
      <c r="A1463" s="1" t="s">
        <v>1047</v>
      </c>
      <c r="B1463" s="1" t="s">
        <v>1477</v>
      </c>
      <c r="C1463" s="1" t="s">
        <v>332</v>
      </c>
      <c r="D1463" s="1" t="s">
        <v>229</v>
      </c>
      <c r="E1463" s="1"/>
    </row>
    <row r="1464" spans="1:5" ht="16">
      <c r="A1464" s="1" t="s">
        <v>1047</v>
      </c>
      <c r="B1464" s="1" t="s">
        <v>1478</v>
      </c>
      <c r="C1464" s="1" t="s">
        <v>332</v>
      </c>
      <c r="D1464" s="1" t="s">
        <v>229</v>
      </c>
      <c r="E1464" s="1"/>
    </row>
    <row r="1465" spans="1:5" ht="16">
      <c r="A1465" s="1" t="s">
        <v>1047</v>
      </c>
      <c r="B1465" s="1" t="s">
        <v>1479</v>
      </c>
      <c r="C1465" s="1" t="s">
        <v>332</v>
      </c>
      <c r="D1465" s="1" t="s">
        <v>229</v>
      </c>
      <c r="E1465" s="1"/>
    </row>
    <row r="1466" spans="1:5" ht="16">
      <c r="A1466" s="1" t="s">
        <v>1047</v>
      </c>
      <c r="B1466" s="1" t="s">
        <v>1480</v>
      </c>
      <c r="C1466" s="1" t="s">
        <v>332</v>
      </c>
      <c r="D1466" s="1" t="s">
        <v>229</v>
      </c>
      <c r="E1466" s="1"/>
    </row>
    <row r="1467" spans="1:5" ht="16">
      <c r="A1467" s="1" t="s">
        <v>1047</v>
      </c>
      <c r="B1467" s="1" t="s">
        <v>1481</v>
      </c>
      <c r="C1467" s="1" t="s">
        <v>332</v>
      </c>
      <c r="D1467" s="1" t="s">
        <v>229</v>
      </c>
      <c r="E1467" s="1"/>
    </row>
    <row r="1468" spans="1:5" ht="16">
      <c r="A1468" s="1" t="s">
        <v>1047</v>
      </c>
      <c r="B1468" s="1" t="s">
        <v>1482</v>
      </c>
      <c r="C1468" s="1" t="s">
        <v>332</v>
      </c>
      <c r="D1468" s="1" t="s">
        <v>229</v>
      </c>
      <c r="E1468" s="1"/>
    </row>
    <row r="1469" spans="1:5" ht="16">
      <c r="A1469" s="1" t="s">
        <v>1047</v>
      </c>
      <c r="B1469" s="1" t="s">
        <v>1483</v>
      </c>
      <c r="C1469" s="1" t="s">
        <v>332</v>
      </c>
      <c r="D1469" s="1" t="s">
        <v>229</v>
      </c>
      <c r="E1469" s="1"/>
    </row>
    <row r="1470" spans="1:5" ht="16">
      <c r="A1470" s="1" t="s">
        <v>1047</v>
      </c>
      <c r="B1470" s="1" t="s">
        <v>1484</v>
      </c>
      <c r="C1470" s="1" t="s">
        <v>332</v>
      </c>
      <c r="D1470" s="1" t="s">
        <v>229</v>
      </c>
      <c r="E1470" s="1"/>
    </row>
    <row r="1471" spans="1:5" ht="16">
      <c r="A1471" s="1" t="s">
        <v>1047</v>
      </c>
      <c r="B1471" s="1" t="s">
        <v>1485</v>
      </c>
      <c r="C1471" s="1" t="s">
        <v>332</v>
      </c>
      <c r="D1471" s="1" t="s">
        <v>229</v>
      </c>
      <c r="E1471" s="1"/>
    </row>
    <row r="1472" spans="1:5" ht="16">
      <c r="A1472" s="1" t="s">
        <v>1047</v>
      </c>
      <c r="B1472" s="1" t="s">
        <v>1486</v>
      </c>
      <c r="C1472" s="1" t="s">
        <v>332</v>
      </c>
      <c r="D1472" s="1" t="s">
        <v>229</v>
      </c>
      <c r="E1472" s="1"/>
    </row>
    <row r="1473" spans="1:5" ht="16">
      <c r="A1473" s="1" t="s">
        <v>1047</v>
      </c>
      <c r="B1473" s="1" t="s">
        <v>1487</v>
      </c>
      <c r="C1473" s="1" t="s">
        <v>332</v>
      </c>
      <c r="D1473" s="1" t="s">
        <v>229</v>
      </c>
      <c r="E1473" s="1"/>
    </row>
    <row r="1474" spans="1:5" ht="16">
      <c r="A1474" s="1" t="s">
        <v>1047</v>
      </c>
      <c r="B1474" s="1" t="s">
        <v>1488</v>
      </c>
      <c r="C1474" s="1" t="s">
        <v>332</v>
      </c>
      <c r="D1474" s="1" t="s">
        <v>229</v>
      </c>
      <c r="E1474" s="1"/>
    </row>
    <row r="1475" spans="1:5" ht="16">
      <c r="A1475" s="1" t="s">
        <v>1047</v>
      </c>
      <c r="B1475" s="1" t="s">
        <v>1489</v>
      </c>
      <c r="C1475" s="1" t="s">
        <v>332</v>
      </c>
      <c r="D1475" s="1" t="s">
        <v>229</v>
      </c>
      <c r="E1475" s="1"/>
    </row>
    <row r="1476" spans="1:5" ht="16">
      <c r="A1476" s="1" t="s">
        <v>1047</v>
      </c>
      <c r="B1476" s="1" t="s">
        <v>1490</v>
      </c>
      <c r="C1476" s="1" t="s">
        <v>332</v>
      </c>
      <c r="D1476" s="1" t="s">
        <v>229</v>
      </c>
      <c r="E1476" s="1"/>
    </row>
    <row r="1477" spans="1:5" ht="16">
      <c r="A1477" s="1" t="s">
        <v>1047</v>
      </c>
      <c r="B1477" s="1" t="s">
        <v>1491</v>
      </c>
      <c r="C1477" s="1" t="s">
        <v>332</v>
      </c>
      <c r="D1477" s="1" t="s">
        <v>229</v>
      </c>
      <c r="E1477" s="1"/>
    </row>
    <row r="1478" spans="1:5" ht="16">
      <c r="A1478" s="1" t="s">
        <v>1047</v>
      </c>
      <c r="B1478" s="1" t="s">
        <v>1492</v>
      </c>
      <c r="C1478" s="1" t="s">
        <v>332</v>
      </c>
      <c r="D1478" s="1" t="s">
        <v>229</v>
      </c>
      <c r="E1478" s="1"/>
    </row>
    <row r="1479" spans="1:5" ht="16">
      <c r="A1479" s="1" t="s">
        <v>1047</v>
      </c>
      <c r="B1479" s="1" t="s">
        <v>1493</v>
      </c>
      <c r="C1479" s="1" t="s">
        <v>332</v>
      </c>
      <c r="D1479" s="1" t="s">
        <v>229</v>
      </c>
      <c r="E1479" s="1"/>
    </row>
    <row r="1480" spans="1:5" ht="16">
      <c r="A1480" s="1" t="s">
        <v>1047</v>
      </c>
      <c r="B1480" s="1" t="s">
        <v>1494</v>
      </c>
      <c r="C1480" s="1" t="s">
        <v>332</v>
      </c>
      <c r="D1480" s="1" t="s">
        <v>229</v>
      </c>
      <c r="E1480" s="1"/>
    </row>
    <row r="1481" spans="1:5" ht="16">
      <c r="A1481" s="1" t="s">
        <v>1047</v>
      </c>
      <c r="B1481" s="1" t="s">
        <v>1495</v>
      </c>
      <c r="C1481" s="1" t="s">
        <v>332</v>
      </c>
      <c r="D1481" s="1" t="s">
        <v>229</v>
      </c>
      <c r="E1481" s="1"/>
    </row>
    <row r="1482" spans="1:5" ht="16">
      <c r="A1482" s="1" t="s">
        <v>1047</v>
      </c>
      <c r="B1482" s="1" t="s">
        <v>1496</v>
      </c>
      <c r="C1482" s="1" t="s">
        <v>332</v>
      </c>
      <c r="D1482" s="1" t="s">
        <v>229</v>
      </c>
      <c r="E1482" s="1"/>
    </row>
    <row r="1483" spans="1:5" ht="16">
      <c r="A1483" s="1" t="s">
        <v>1047</v>
      </c>
      <c r="B1483" s="1" t="s">
        <v>1497</v>
      </c>
      <c r="C1483" s="1" t="s">
        <v>332</v>
      </c>
      <c r="D1483" s="1" t="s">
        <v>229</v>
      </c>
      <c r="E1483" s="1"/>
    </row>
    <row r="1484" spans="1:5" ht="16">
      <c r="A1484" s="1" t="s">
        <v>1047</v>
      </c>
      <c r="B1484" s="1" t="s">
        <v>1498</v>
      </c>
      <c r="C1484" s="1" t="s">
        <v>332</v>
      </c>
      <c r="D1484" s="1" t="s">
        <v>229</v>
      </c>
      <c r="E1484" s="1"/>
    </row>
    <row r="1485" spans="1:5" ht="16">
      <c r="A1485" s="1" t="s">
        <v>1047</v>
      </c>
      <c r="B1485" s="1" t="s">
        <v>1499</v>
      </c>
      <c r="C1485" s="1" t="s">
        <v>332</v>
      </c>
      <c r="D1485" s="1" t="s">
        <v>229</v>
      </c>
      <c r="E1485" s="1"/>
    </row>
    <row r="1486" spans="1:5" ht="16">
      <c r="A1486" s="1" t="s">
        <v>1047</v>
      </c>
      <c r="B1486" s="1" t="s">
        <v>1500</v>
      </c>
      <c r="C1486" s="1" t="s">
        <v>332</v>
      </c>
      <c r="D1486" s="1" t="s">
        <v>229</v>
      </c>
      <c r="E1486" s="1"/>
    </row>
    <row r="1487" spans="1:5" ht="16">
      <c r="A1487" s="1" t="s">
        <v>1047</v>
      </c>
      <c r="B1487" s="1" t="s">
        <v>1501</v>
      </c>
      <c r="C1487" s="1" t="s">
        <v>332</v>
      </c>
      <c r="D1487" s="1" t="s">
        <v>229</v>
      </c>
      <c r="E1487" s="1"/>
    </row>
    <row r="1488" spans="1:5" ht="16">
      <c r="A1488" s="1" t="s">
        <v>1047</v>
      </c>
      <c r="B1488" s="1" t="s">
        <v>1502</v>
      </c>
      <c r="C1488" s="1" t="s">
        <v>332</v>
      </c>
      <c r="D1488" s="1" t="s">
        <v>229</v>
      </c>
      <c r="E1488" s="1"/>
    </row>
    <row r="1489" spans="1:5" ht="16">
      <c r="A1489" s="1" t="s">
        <v>1047</v>
      </c>
      <c r="B1489" s="1" t="s">
        <v>1503</v>
      </c>
      <c r="C1489" s="1" t="s">
        <v>332</v>
      </c>
      <c r="D1489" s="1" t="s">
        <v>229</v>
      </c>
      <c r="E1489" s="1"/>
    </row>
    <row r="1490" spans="1:5" ht="16">
      <c r="A1490" s="1" t="s">
        <v>1047</v>
      </c>
      <c r="B1490" s="1" t="s">
        <v>1504</v>
      </c>
      <c r="C1490" s="1" t="s">
        <v>332</v>
      </c>
      <c r="D1490" s="1" t="s">
        <v>229</v>
      </c>
      <c r="E1490" s="1"/>
    </row>
    <row r="1491" spans="1:5" ht="16">
      <c r="A1491" s="1" t="s">
        <v>1047</v>
      </c>
      <c r="B1491" s="1" t="s">
        <v>1505</v>
      </c>
      <c r="C1491" s="1" t="s">
        <v>332</v>
      </c>
      <c r="D1491" s="1" t="s">
        <v>229</v>
      </c>
      <c r="E1491" s="1"/>
    </row>
    <row r="1492" spans="1:5" ht="16">
      <c r="A1492" s="1" t="s">
        <v>1047</v>
      </c>
      <c r="B1492" s="1" t="s">
        <v>1506</v>
      </c>
      <c r="C1492" s="1" t="s">
        <v>332</v>
      </c>
      <c r="D1492" s="1" t="s">
        <v>229</v>
      </c>
      <c r="E1492" s="1"/>
    </row>
    <row r="1493" spans="1:5" ht="16">
      <c r="A1493" s="1" t="s">
        <v>1047</v>
      </c>
      <c r="B1493" s="1" t="s">
        <v>1507</v>
      </c>
      <c r="C1493" s="1" t="s">
        <v>332</v>
      </c>
      <c r="D1493" s="1" t="s">
        <v>229</v>
      </c>
      <c r="E1493" s="1"/>
    </row>
    <row r="1494" spans="1:5" ht="16">
      <c r="A1494" s="1" t="s">
        <v>1047</v>
      </c>
      <c r="B1494" s="1" t="s">
        <v>1508</v>
      </c>
      <c r="C1494" s="1" t="s">
        <v>332</v>
      </c>
      <c r="D1494" s="1" t="s">
        <v>229</v>
      </c>
      <c r="E1494" s="1"/>
    </row>
    <row r="1495" spans="1:5" ht="16">
      <c r="A1495" s="1" t="s">
        <v>1047</v>
      </c>
      <c r="B1495" s="1" t="s">
        <v>1509</v>
      </c>
      <c r="C1495" s="1" t="s">
        <v>332</v>
      </c>
      <c r="D1495" s="1" t="s">
        <v>229</v>
      </c>
      <c r="E1495" s="1"/>
    </row>
    <row r="1496" spans="1:5" ht="16">
      <c r="A1496" s="1" t="s">
        <v>1047</v>
      </c>
      <c r="B1496" s="1" t="s">
        <v>1510</v>
      </c>
      <c r="C1496" s="1" t="s">
        <v>332</v>
      </c>
      <c r="D1496" s="1" t="s">
        <v>229</v>
      </c>
      <c r="E1496" s="1"/>
    </row>
    <row r="1497" spans="1:5" ht="16">
      <c r="A1497" s="1" t="s">
        <v>1047</v>
      </c>
      <c r="B1497" s="1" t="s">
        <v>1511</v>
      </c>
      <c r="C1497" s="1" t="s">
        <v>332</v>
      </c>
      <c r="D1497" s="1" t="s">
        <v>229</v>
      </c>
      <c r="E1497" s="1"/>
    </row>
    <row r="1498" spans="1:5" ht="16">
      <c r="A1498" s="1" t="s">
        <v>1047</v>
      </c>
      <c r="B1498" s="1" t="s">
        <v>1512</v>
      </c>
      <c r="C1498" s="1" t="s">
        <v>332</v>
      </c>
      <c r="D1498" s="1" t="s">
        <v>229</v>
      </c>
      <c r="E1498" s="1"/>
    </row>
    <row r="1499" spans="1:5" ht="16">
      <c r="A1499" s="1" t="s">
        <v>1047</v>
      </c>
      <c r="B1499" s="1" t="s">
        <v>1513</v>
      </c>
      <c r="C1499" s="1" t="s">
        <v>332</v>
      </c>
      <c r="D1499" s="1" t="s">
        <v>229</v>
      </c>
      <c r="E1499" s="1"/>
    </row>
    <row r="1500" spans="1:5" ht="16">
      <c r="A1500" s="1" t="s">
        <v>1047</v>
      </c>
      <c r="B1500" s="1" t="s">
        <v>1514</v>
      </c>
      <c r="C1500" s="1" t="s">
        <v>332</v>
      </c>
      <c r="D1500" s="1" t="s">
        <v>229</v>
      </c>
      <c r="E1500" s="1"/>
    </row>
    <row r="1501" spans="1:5" ht="16">
      <c r="A1501" s="1" t="s">
        <v>1047</v>
      </c>
      <c r="B1501" s="1" t="s">
        <v>1515</v>
      </c>
      <c r="C1501" s="1" t="s">
        <v>332</v>
      </c>
      <c r="D1501" s="1" t="s">
        <v>229</v>
      </c>
      <c r="E1501" s="1"/>
    </row>
    <row r="1502" spans="1:5" ht="16">
      <c r="A1502" s="1" t="s">
        <v>1047</v>
      </c>
      <c r="B1502" s="1" t="s">
        <v>1516</v>
      </c>
      <c r="C1502" s="1" t="s">
        <v>332</v>
      </c>
      <c r="D1502" s="1" t="s">
        <v>229</v>
      </c>
      <c r="E1502" s="1"/>
    </row>
    <row r="1503" spans="1:5" ht="16">
      <c r="A1503" s="1" t="s">
        <v>1047</v>
      </c>
      <c r="B1503" s="1" t="s">
        <v>1517</v>
      </c>
      <c r="C1503" s="1" t="s">
        <v>332</v>
      </c>
      <c r="D1503" s="1" t="s">
        <v>229</v>
      </c>
      <c r="E1503" s="1"/>
    </row>
    <row r="1504" spans="1:5" ht="16">
      <c r="A1504" s="1" t="s">
        <v>1047</v>
      </c>
      <c r="B1504" s="1" t="s">
        <v>1518</v>
      </c>
      <c r="C1504" s="1" t="s">
        <v>332</v>
      </c>
      <c r="D1504" s="1" t="s">
        <v>229</v>
      </c>
      <c r="E1504" s="1"/>
    </row>
    <row r="1505" spans="1:5" ht="16">
      <c r="A1505" s="1" t="s">
        <v>1047</v>
      </c>
      <c r="B1505" s="1" t="s">
        <v>1519</v>
      </c>
      <c r="C1505" s="1" t="s">
        <v>332</v>
      </c>
      <c r="D1505" s="1" t="s">
        <v>229</v>
      </c>
      <c r="E1505" s="1"/>
    </row>
    <row r="1506" spans="1:5" ht="16">
      <c r="A1506" s="1" t="s">
        <v>1047</v>
      </c>
      <c r="B1506" s="1" t="s">
        <v>1520</v>
      </c>
      <c r="C1506" s="1" t="s">
        <v>334</v>
      </c>
      <c r="D1506" s="1" t="s">
        <v>229</v>
      </c>
      <c r="E1506" s="1"/>
    </row>
    <row r="1507" spans="1:5" ht="16">
      <c r="A1507" s="1" t="s">
        <v>1047</v>
      </c>
      <c r="B1507" s="1" t="s">
        <v>1521</v>
      </c>
      <c r="C1507" s="1" t="s">
        <v>334</v>
      </c>
      <c r="D1507" s="1" t="s">
        <v>229</v>
      </c>
      <c r="E1507" s="1"/>
    </row>
    <row r="1508" spans="1:5" ht="16">
      <c r="A1508" s="1" t="s">
        <v>1047</v>
      </c>
      <c r="B1508" s="1" t="s">
        <v>1522</v>
      </c>
      <c r="C1508" s="1" t="s">
        <v>334</v>
      </c>
      <c r="D1508" s="1" t="s">
        <v>229</v>
      </c>
      <c r="E1508" s="1"/>
    </row>
    <row r="1509" spans="1:5" ht="16">
      <c r="A1509" s="1" t="s">
        <v>1047</v>
      </c>
      <c r="B1509" s="1" t="s">
        <v>1523</v>
      </c>
      <c r="C1509" s="1" t="s">
        <v>334</v>
      </c>
      <c r="D1509" s="1" t="s">
        <v>229</v>
      </c>
      <c r="E1509" s="1"/>
    </row>
    <row r="1510" spans="1:5" ht="16">
      <c r="A1510" s="1" t="s">
        <v>1047</v>
      </c>
      <c r="B1510" s="1" t="s">
        <v>1068</v>
      </c>
      <c r="C1510" s="1" t="s">
        <v>334</v>
      </c>
      <c r="D1510" s="1" t="s">
        <v>229</v>
      </c>
      <c r="E1510" s="1"/>
    </row>
    <row r="1511" spans="1:5" ht="16">
      <c r="A1511" s="1" t="s">
        <v>1047</v>
      </c>
      <c r="B1511" s="1" t="s">
        <v>1524</v>
      </c>
      <c r="C1511" s="1" t="s">
        <v>332</v>
      </c>
      <c r="D1511" s="1" t="s">
        <v>229</v>
      </c>
      <c r="E1511" s="1"/>
    </row>
    <row r="1512" spans="1:5" ht="16">
      <c r="A1512" s="1" t="s">
        <v>1047</v>
      </c>
      <c r="B1512" s="1" t="s">
        <v>1525</v>
      </c>
      <c r="C1512" s="1" t="s">
        <v>332</v>
      </c>
      <c r="D1512" s="1" t="s">
        <v>229</v>
      </c>
      <c r="E1512" s="1"/>
    </row>
    <row r="1513" spans="1:5" ht="16">
      <c r="A1513" s="1" t="s">
        <v>1047</v>
      </c>
      <c r="B1513" s="1" t="s">
        <v>1526</v>
      </c>
      <c r="C1513" s="1" t="s">
        <v>332</v>
      </c>
      <c r="D1513" s="1" t="s">
        <v>229</v>
      </c>
      <c r="E1513" s="1"/>
    </row>
    <row r="1514" spans="1:5" ht="16">
      <c r="A1514" s="1" t="s">
        <v>1047</v>
      </c>
      <c r="B1514" s="1" t="s">
        <v>1527</v>
      </c>
      <c r="C1514" s="1" t="s">
        <v>332</v>
      </c>
      <c r="D1514" s="1" t="s">
        <v>229</v>
      </c>
      <c r="E1514" s="1"/>
    </row>
    <row r="1515" spans="1:5" ht="16">
      <c r="A1515" s="1" t="s">
        <v>1047</v>
      </c>
      <c r="B1515" s="1" t="s">
        <v>1528</v>
      </c>
      <c r="C1515" s="1" t="s">
        <v>332</v>
      </c>
      <c r="D1515" s="1" t="s">
        <v>229</v>
      </c>
      <c r="E1515" s="1"/>
    </row>
    <row r="1516" spans="1:5" ht="16">
      <c r="A1516" s="1" t="s">
        <v>1047</v>
      </c>
      <c r="B1516" s="1" t="s">
        <v>1529</v>
      </c>
      <c r="C1516" s="1" t="s">
        <v>332</v>
      </c>
      <c r="D1516" s="1" t="s">
        <v>229</v>
      </c>
      <c r="E1516" s="1"/>
    </row>
    <row r="1517" spans="1:5" ht="16">
      <c r="A1517" s="1" t="s">
        <v>1047</v>
      </c>
      <c r="B1517" s="1" t="s">
        <v>1530</v>
      </c>
      <c r="C1517" s="1" t="s">
        <v>332</v>
      </c>
      <c r="D1517" s="1" t="s">
        <v>229</v>
      </c>
      <c r="E1517" s="1"/>
    </row>
    <row r="1518" spans="1:5" ht="16">
      <c r="A1518" s="1" t="s">
        <v>1047</v>
      </c>
      <c r="B1518" s="1" t="s">
        <v>1531</v>
      </c>
      <c r="C1518" s="1" t="s">
        <v>332</v>
      </c>
      <c r="D1518" s="1" t="s">
        <v>229</v>
      </c>
      <c r="E1518" s="1"/>
    </row>
    <row r="1519" spans="1:5" ht="16">
      <c r="A1519" s="1" t="s">
        <v>1047</v>
      </c>
      <c r="B1519" s="1" t="s">
        <v>1532</v>
      </c>
      <c r="C1519" s="1" t="s">
        <v>332</v>
      </c>
      <c r="D1519" s="1" t="s">
        <v>229</v>
      </c>
      <c r="E1519" s="1"/>
    </row>
    <row r="1520" spans="1:5" ht="16">
      <c r="A1520" s="1" t="s">
        <v>1047</v>
      </c>
      <c r="B1520" s="1" t="s">
        <v>1533</v>
      </c>
      <c r="C1520" s="1" t="s">
        <v>332</v>
      </c>
      <c r="D1520" s="1" t="s">
        <v>229</v>
      </c>
      <c r="E1520" s="1"/>
    </row>
    <row r="1521" spans="1:5" ht="16">
      <c r="A1521" s="1" t="s">
        <v>1047</v>
      </c>
      <c r="B1521" s="1" t="s">
        <v>1534</v>
      </c>
      <c r="C1521" s="1" t="s">
        <v>332</v>
      </c>
      <c r="D1521" s="1" t="s">
        <v>229</v>
      </c>
      <c r="E1521" s="1"/>
    </row>
    <row r="1522" spans="1:5" ht="16">
      <c r="A1522" s="1" t="s">
        <v>1047</v>
      </c>
      <c r="B1522" s="1" t="s">
        <v>1535</v>
      </c>
      <c r="C1522" s="1" t="s">
        <v>332</v>
      </c>
      <c r="D1522" s="1" t="s">
        <v>229</v>
      </c>
      <c r="E1522" s="1"/>
    </row>
    <row r="1523" spans="1:5" ht="16">
      <c r="A1523" s="1" t="s">
        <v>1047</v>
      </c>
      <c r="B1523" s="1" t="s">
        <v>1536</v>
      </c>
      <c r="C1523" s="1" t="s">
        <v>332</v>
      </c>
      <c r="D1523" s="1" t="s">
        <v>229</v>
      </c>
      <c r="E1523" s="1"/>
    </row>
    <row r="1524" spans="1:5" ht="16">
      <c r="A1524" s="1" t="s">
        <v>1047</v>
      </c>
      <c r="B1524" s="1" t="s">
        <v>1537</v>
      </c>
      <c r="C1524" s="1" t="s">
        <v>332</v>
      </c>
      <c r="D1524" s="1" t="s">
        <v>229</v>
      </c>
      <c r="E1524" s="1"/>
    </row>
    <row r="1525" spans="1:5" ht="16">
      <c r="A1525" s="1" t="s">
        <v>1047</v>
      </c>
      <c r="B1525" s="1" t="s">
        <v>1538</v>
      </c>
      <c r="C1525" s="1" t="s">
        <v>332</v>
      </c>
      <c r="D1525" s="1" t="s">
        <v>229</v>
      </c>
      <c r="E1525" s="1"/>
    </row>
    <row r="1526" spans="1:5" ht="16">
      <c r="A1526" s="1" t="s">
        <v>1047</v>
      </c>
      <c r="B1526" s="1" t="s">
        <v>1539</v>
      </c>
      <c r="C1526" s="1" t="s">
        <v>332</v>
      </c>
      <c r="D1526" s="1" t="s">
        <v>229</v>
      </c>
      <c r="E1526" s="1"/>
    </row>
    <row r="1527" spans="1:5" ht="16">
      <c r="A1527" s="1" t="s">
        <v>1047</v>
      </c>
      <c r="B1527" s="1" t="s">
        <v>1540</v>
      </c>
      <c r="C1527" s="1" t="s">
        <v>332</v>
      </c>
      <c r="D1527" s="1" t="s">
        <v>229</v>
      </c>
      <c r="E1527" s="1"/>
    </row>
    <row r="1528" spans="1:5" ht="16">
      <c r="A1528" s="1" t="s">
        <v>1047</v>
      </c>
      <c r="B1528" s="1" t="s">
        <v>1541</v>
      </c>
      <c r="C1528" s="1" t="s">
        <v>332</v>
      </c>
      <c r="D1528" s="1" t="s">
        <v>229</v>
      </c>
      <c r="E1528" s="1"/>
    </row>
    <row r="1529" spans="1:5" ht="16">
      <c r="A1529" s="1" t="s">
        <v>1047</v>
      </c>
      <c r="B1529" s="1" t="s">
        <v>1542</v>
      </c>
      <c r="C1529" s="1" t="s">
        <v>332</v>
      </c>
      <c r="D1529" s="1" t="s">
        <v>229</v>
      </c>
      <c r="E1529" s="1"/>
    </row>
    <row r="1530" spans="1:5" ht="16">
      <c r="A1530" s="1" t="s">
        <v>1047</v>
      </c>
      <c r="B1530" s="1" t="s">
        <v>1543</v>
      </c>
      <c r="C1530" s="1" t="s">
        <v>332</v>
      </c>
      <c r="D1530" s="1" t="s">
        <v>229</v>
      </c>
      <c r="E1530" s="1"/>
    </row>
    <row r="1531" spans="1:5" ht="16">
      <c r="A1531" s="1" t="s">
        <v>1047</v>
      </c>
      <c r="B1531" s="1" t="s">
        <v>1544</v>
      </c>
      <c r="C1531" s="1" t="s">
        <v>332</v>
      </c>
      <c r="D1531" s="1" t="s">
        <v>229</v>
      </c>
      <c r="E1531" s="1"/>
    </row>
    <row r="1532" spans="1:5" ht="16">
      <c r="A1532" s="1" t="s">
        <v>1047</v>
      </c>
      <c r="B1532" s="1" t="s">
        <v>1545</v>
      </c>
      <c r="C1532" s="1" t="s">
        <v>332</v>
      </c>
      <c r="D1532" s="1" t="s">
        <v>229</v>
      </c>
      <c r="E1532" s="1"/>
    </row>
    <row r="1533" spans="1:5" ht="16">
      <c r="A1533" s="1" t="s">
        <v>1047</v>
      </c>
      <c r="B1533" s="1" t="s">
        <v>1546</v>
      </c>
      <c r="C1533" s="1" t="s">
        <v>234</v>
      </c>
      <c r="D1533" s="1" t="s">
        <v>229</v>
      </c>
      <c r="E1533" s="1"/>
    </row>
    <row r="1534" spans="1:5" ht="16">
      <c r="A1534" s="1" t="s">
        <v>1047</v>
      </c>
      <c r="B1534" s="1" t="s">
        <v>1547</v>
      </c>
      <c r="C1534" s="1" t="s">
        <v>234</v>
      </c>
      <c r="D1534" s="1" t="s">
        <v>229</v>
      </c>
      <c r="E1534" s="1"/>
    </row>
    <row r="1535" spans="1:5" ht="16">
      <c r="A1535" s="1" t="s">
        <v>1047</v>
      </c>
      <c r="B1535" s="1" t="s">
        <v>1548</v>
      </c>
      <c r="C1535" s="1" t="s">
        <v>332</v>
      </c>
      <c r="D1535" s="1" t="s">
        <v>229</v>
      </c>
      <c r="E1535" s="1"/>
    </row>
    <row r="1536" spans="1:5" ht="16">
      <c r="A1536" s="1" t="s">
        <v>1047</v>
      </c>
      <c r="B1536" s="1" t="s">
        <v>1549</v>
      </c>
      <c r="C1536" s="1" t="s">
        <v>332</v>
      </c>
      <c r="D1536" s="1" t="s">
        <v>229</v>
      </c>
      <c r="E1536" s="1"/>
    </row>
    <row r="1537" spans="1:5" ht="16">
      <c r="A1537" s="1" t="s">
        <v>1047</v>
      </c>
      <c r="B1537" s="1" t="s">
        <v>1550</v>
      </c>
      <c r="C1537" s="1" t="s">
        <v>332</v>
      </c>
      <c r="D1537" s="1" t="s">
        <v>229</v>
      </c>
      <c r="E1537" s="1"/>
    </row>
    <row r="1538" spans="1:5" ht="16">
      <c r="A1538" s="1" t="s">
        <v>1047</v>
      </c>
      <c r="B1538" s="1" t="s">
        <v>1551</v>
      </c>
      <c r="C1538" s="1" t="s">
        <v>332</v>
      </c>
      <c r="D1538" s="1" t="s">
        <v>229</v>
      </c>
      <c r="E1538" s="1"/>
    </row>
    <row r="1539" spans="1:5" ht="16">
      <c r="A1539" s="1" t="s">
        <v>1047</v>
      </c>
      <c r="B1539" s="1" t="s">
        <v>1552</v>
      </c>
      <c r="C1539" s="1" t="s">
        <v>332</v>
      </c>
      <c r="D1539" s="1" t="s">
        <v>229</v>
      </c>
      <c r="E1539" s="1"/>
    </row>
    <row r="1540" spans="1:5" ht="16">
      <c r="A1540" s="1" t="s">
        <v>1047</v>
      </c>
      <c r="B1540" s="1" t="s">
        <v>1553</v>
      </c>
      <c r="C1540" s="1" t="s">
        <v>332</v>
      </c>
      <c r="D1540" s="1" t="s">
        <v>229</v>
      </c>
      <c r="E1540" s="1"/>
    </row>
    <row r="1541" spans="1:5" ht="16">
      <c r="A1541" s="1" t="s">
        <v>1047</v>
      </c>
      <c r="B1541" s="1" t="s">
        <v>1554</v>
      </c>
      <c r="C1541" s="1" t="s">
        <v>332</v>
      </c>
      <c r="D1541" s="1" t="s">
        <v>229</v>
      </c>
      <c r="E1541" s="1"/>
    </row>
    <row r="1542" spans="1:5" ht="16">
      <c r="A1542" s="1" t="s">
        <v>1047</v>
      </c>
      <c r="B1542" s="1" t="s">
        <v>1555</v>
      </c>
      <c r="C1542" s="1" t="s">
        <v>332</v>
      </c>
      <c r="D1542" s="1" t="s">
        <v>229</v>
      </c>
      <c r="E1542" s="1"/>
    </row>
    <row r="1543" spans="1:5" ht="16">
      <c r="A1543" s="1" t="s">
        <v>1047</v>
      </c>
      <c r="B1543" s="1" t="s">
        <v>1556</v>
      </c>
      <c r="C1543" s="1" t="s">
        <v>332</v>
      </c>
      <c r="D1543" s="1" t="s">
        <v>229</v>
      </c>
      <c r="E1543" s="1"/>
    </row>
    <row r="1544" spans="1:5" ht="16">
      <c r="A1544" s="1" t="s">
        <v>1047</v>
      </c>
      <c r="B1544" s="1" t="s">
        <v>1557</v>
      </c>
      <c r="C1544" s="1" t="s">
        <v>332</v>
      </c>
      <c r="D1544" s="1" t="s">
        <v>229</v>
      </c>
      <c r="E1544" s="1"/>
    </row>
    <row r="1545" spans="1:5" ht="16">
      <c r="A1545" s="1" t="s">
        <v>1047</v>
      </c>
      <c r="B1545" s="1" t="s">
        <v>1558</v>
      </c>
      <c r="C1545" s="1" t="s">
        <v>332</v>
      </c>
      <c r="D1545" s="1" t="s">
        <v>229</v>
      </c>
      <c r="E1545" s="1"/>
    </row>
    <row r="1546" spans="1:5" ht="16">
      <c r="A1546" s="1" t="s">
        <v>1047</v>
      </c>
      <c r="B1546" s="1" t="s">
        <v>1559</v>
      </c>
      <c r="C1546" s="1" t="s">
        <v>332</v>
      </c>
      <c r="D1546" s="1" t="s">
        <v>229</v>
      </c>
      <c r="E1546" s="1"/>
    </row>
    <row r="1547" spans="1:5" ht="16">
      <c r="A1547" s="1" t="s">
        <v>1047</v>
      </c>
      <c r="B1547" s="1" t="s">
        <v>1560</v>
      </c>
      <c r="C1547" s="1" t="s">
        <v>332</v>
      </c>
      <c r="D1547" s="1" t="s">
        <v>229</v>
      </c>
      <c r="E1547" s="1"/>
    </row>
    <row r="1548" spans="1:5" ht="16">
      <c r="A1548" s="1" t="s">
        <v>1047</v>
      </c>
      <c r="B1548" s="1" t="s">
        <v>1561</v>
      </c>
      <c r="C1548" s="1" t="s">
        <v>332</v>
      </c>
      <c r="D1548" s="1" t="s">
        <v>229</v>
      </c>
      <c r="E1548" s="1"/>
    </row>
    <row r="1549" spans="1:5" ht="16">
      <c r="A1549" s="1" t="s">
        <v>1047</v>
      </c>
      <c r="B1549" s="1" t="s">
        <v>1562</v>
      </c>
      <c r="C1549" s="1" t="s">
        <v>332</v>
      </c>
      <c r="D1549" s="1" t="s">
        <v>229</v>
      </c>
      <c r="E1549" s="1"/>
    </row>
    <row r="1550" spans="1:5" ht="16">
      <c r="A1550" s="1" t="s">
        <v>1047</v>
      </c>
      <c r="B1550" s="1" t="s">
        <v>1563</v>
      </c>
      <c r="C1550" s="1" t="s">
        <v>332</v>
      </c>
      <c r="D1550" s="1" t="s">
        <v>229</v>
      </c>
      <c r="E1550" s="1"/>
    </row>
    <row r="1551" spans="1:5" ht="16">
      <c r="A1551" s="1" t="s">
        <v>1047</v>
      </c>
      <c r="B1551" s="1" t="s">
        <v>1564</v>
      </c>
      <c r="C1551" s="1" t="s">
        <v>332</v>
      </c>
      <c r="D1551" s="1" t="s">
        <v>229</v>
      </c>
      <c r="E1551" s="1"/>
    </row>
    <row r="1552" spans="1:5" ht="16">
      <c r="A1552" s="1" t="s">
        <v>1047</v>
      </c>
      <c r="B1552" s="1" t="s">
        <v>1565</v>
      </c>
      <c r="C1552" s="1" t="s">
        <v>332</v>
      </c>
      <c r="D1552" s="1" t="s">
        <v>229</v>
      </c>
      <c r="E1552" s="1"/>
    </row>
    <row r="1553" spans="1:5" ht="16">
      <c r="A1553" s="1" t="s">
        <v>1047</v>
      </c>
      <c r="B1553" s="1" t="s">
        <v>1566</v>
      </c>
      <c r="C1553" s="1" t="s">
        <v>332</v>
      </c>
      <c r="D1553" s="1" t="s">
        <v>229</v>
      </c>
      <c r="E1553" s="1"/>
    </row>
    <row r="1554" spans="1:5" ht="16">
      <c r="A1554" s="1" t="s">
        <v>1047</v>
      </c>
      <c r="B1554" s="1" t="s">
        <v>1567</v>
      </c>
      <c r="C1554" s="1" t="s">
        <v>332</v>
      </c>
      <c r="D1554" s="1" t="s">
        <v>229</v>
      </c>
      <c r="E1554" s="1"/>
    </row>
    <row r="1555" spans="1:5" ht="16">
      <c r="A1555" s="1" t="s">
        <v>1047</v>
      </c>
      <c r="B1555" s="1" t="s">
        <v>1568</v>
      </c>
      <c r="C1555" s="1" t="s">
        <v>332</v>
      </c>
      <c r="D1555" s="1" t="s">
        <v>229</v>
      </c>
      <c r="E1555" s="1"/>
    </row>
    <row r="1556" spans="1:5" ht="16">
      <c r="A1556" s="1" t="s">
        <v>1047</v>
      </c>
      <c r="B1556" s="1" t="s">
        <v>1569</v>
      </c>
      <c r="C1556" s="1" t="s">
        <v>332</v>
      </c>
      <c r="D1556" s="1" t="s">
        <v>229</v>
      </c>
      <c r="E1556" s="1"/>
    </row>
    <row r="1557" spans="1:5" ht="16">
      <c r="A1557" s="1" t="s">
        <v>1047</v>
      </c>
      <c r="B1557" s="1" t="s">
        <v>1570</v>
      </c>
      <c r="C1557" s="1" t="s">
        <v>332</v>
      </c>
      <c r="D1557" s="1" t="s">
        <v>229</v>
      </c>
      <c r="E1557" s="1"/>
    </row>
    <row r="1558" spans="1:5" ht="16">
      <c r="A1558" s="1" t="s">
        <v>1047</v>
      </c>
      <c r="B1558" s="1" t="s">
        <v>1571</v>
      </c>
      <c r="C1558" s="1" t="s">
        <v>228</v>
      </c>
      <c r="D1558" s="1" t="s">
        <v>229</v>
      </c>
      <c r="E1558" s="1"/>
    </row>
    <row r="1559" spans="1:5" ht="16">
      <c r="A1559" s="1" t="s">
        <v>1047</v>
      </c>
      <c r="B1559" s="1" t="s">
        <v>1572</v>
      </c>
      <c r="C1559" s="1" t="s">
        <v>234</v>
      </c>
      <c r="D1559" s="1" t="s">
        <v>229</v>
      </c>
      <c r="E1559" s="1"/>
    </row>
    <row r="1560" spans="1:5" ht="16">
      <c r="A1560" s="1" t="s">
        <v>1047</v>
      </c>
      <c r="B1560" s="1" t="s">
        <v>1573</v>
      </c>
      <c r="C1560" s="1" t="s">
        <v>334</v>
      </c>
      <c r="D1560" s="1" t="s">
        <v>229</v>
      </c>
      <c r="E1560" s="1"/>
    </row>
    <row r="1561" spans="1:5" ht="16">
      <c r="A1561" s="1" t="s">
        <v>1047</v>
      </c>
      <c r="B1561" s="1" t="s">
        <v>1574</v>
      </c>
      <c r="C1561" s="1" t="s">
        <v>332</v>
      </c>
      <c r="D1561" s="1" t="s">
        <v>229</v>
      </c>
      <c r="E1561" s="1"/>
    </row>
    <row r="1562" spans="1:5" ht="16">
      <c r="A1562" s="1" t="s">
        <v>1047</v>
      </c>
      <c r="B1562" s="1" t="s">
        <v>1575</v>
      </c>
      <c r="C1562" s="1" t="s">
        <v>332</v>
      </c>
      <c r="D1562" s="1" t="s">
        <v>229</v>
      </c>
      <c r="E1562" s="1"/>
    </row>
    <row r="1563" spans="1:5" ht="16">
      <c r="A1563" s="1" t="s">
        <v>1047</v>
      </c>
      <c r="B1563" s="1" t="s">
        <v>1576</v>
      </c>
      <c r="C1563" s="1" t="s">
        <v>332</v>
      </c>
      <c r="D1563" s="1" t="s">
        <v>229</v>
      </c>
      <c r="E1563" s="1"/>
    </row>
    <row r="1564" spans="1:5" ht="16">
      <c r="A1564" s="1" t="s">
        <v>1047</v>
      </c>
      <c r="B1564" s="1" t="s">
        <v>1577</v>
      </c>
      <c r="C1564" s="1" t="s">
        <v>332</v>
      </c>
      <c r="D1564" s="1" t="s">
        <v>229</v>
      </c>
      <c r="E1564" s="1"/>
    </row>
    <row r="1565" spans="1:5" ht="16">
      <c r="A1565" s="1" t="s">
        <v>1047</v>
      </c>
      <c r="B1565" s="1" t="s">
        <v>1578</v>
      </c>
      <c r="C1565" s="1" t="s">
        <v>332</v>
      </c>
      <c r="D1565" s="1" t="s">
        <v>229</v>
      </c>
      <c r="E1565" s="1"/>
    </row>
    <row r="1566" spans="1:5" ht="16">
      <c r="A1566" s="1" t="s">
        <v>1047</v>
      </c>
      <c r="B1566" s="1" t="s">
        <v>1579</v>
      </c>
      <c r="C1566" s="1" t="s">
        <v>332</v>
      </c>
      <c r="D1566" s="1" t="s">
        <v>229</v>
      </c>
      <c r="E1566" s="1"/>
    </row>
    <row r="1567" spans="1:5" ht="16">
      <c r="A1567" s="1" t="s">
        <v>1047</v>
      </c>
      <c r="B1567" s="1" t="s">
        <v>1580</v>
      </c>
      <c r="C1567" s="1" t="s">
        <v>332</v>
      </c>
      <c r="D1567" s="1" t="s">
        <v>229</v>
      </c>
      <c r="E1567" s="1"/>
    </row>
    <row r="1568" spans="1:5" ht="16">
      <c r="A1568" s="1" t="s">
        <v>1047</v>
      </c>
      <c r="B1568" s="1" t="s">
        <v>1581</v>
      </c>
      <c r="C1568" s="1" t="s">
        <v>332</v>
      </c>
      <c r="D1568" s="1" t="s">
        <v>229</v>
      </c>
      <c r="E1568" s="1"/>
    </row>
    <row r="1569" spans="1:5" ht="16">
      <c r="A1569" s="1" t="s">
        <v>1047</v>
      </c>
      <c r="B1569" s="1" t="s">
        <v>1582</v>
      </c>
      <c r="C1569" s="1" t="s">
        <v>332</v>
      </c>
      <c r="D1569" s="1" t="s">
        <v>229</v>
      </c>
      <c r="E1569" s="1"/>
    </row>
    <row r="1570" spans="1:5" ht="16">
      <c r="A1570" s="1" t="s">
        <v>1047</v>
      </c>
      <c r="B1570" s="1" t="s">
        <v>1583</v>
      </c>
      <c r="C1570" s="1" t="s">
        <v>332</v>
      </c>
      <c r="D1570" s="1" t="s">
        <v>229</v>
      </c>
      <c r="E1570" s="1"/>
    </row>
    <row r="1571" spans="1:5" ht="16">
      <c r="A1571" s="1" t="s">
        <v>1047</v>
      </c>
      <c r="B1571" s="1" t="s">
        <v>1584</v>
      </c>
      <c r="C1571" s="1" t="s">
        <v>332</v>
      </c>
      <c r="D1571" s="1" t="s">
        <v>229</v>
      </c>
      <c r="E1571" s="1"/>
    </row>
    <row r="1572" spans="1:5" ht="16">
      <c r="A1572" s="1" t="s">
        <v>1047</v>
      </c>
      <c r="B1572" s="1" t="s">
        <v>1585</v>
      </c>
      <c r="C1572" s="1" t="s">
        <v>332</v>
      </c>
      <c r="D1572" s="1" t="s">
        <v>229</v>
      </c>
      <c r="E1572" s="1"/>
    </row>
    <row r="1573" spans="1:5" ht="16">
      <c r="A1573" s="1" t="s">
        <v>1047</v>
      </c>
      <c r="B1573" s="1" t="s">
        <v>1586</v>
      </c>
      <c r="C1573" s="1" t="s">
        <v>332</v>
      </c>
      <c r="D1573" s="1" t="s">
        <v>229</v>
      </c>
      <c r="E1573" s="1"/>
    </row>
    <row r="1574" spans="1:5" ht="16">
      <c r="A1574" s="1" t="s">
        <v>1047</v>
      </c>
      <c r="B1574" s="1" t="s">
        <v>1587</v>
      </c>
      <c r="C1574" s="1" t="s">
        <v>332</v>
      </c>
      <c r="D1574" s="1" t="s">
        <v>229</v>
      </c>
      <c r="E1574" s="1"/>
    </row>
    <row r="1575" spans="1:5" ht="16">
      <c r="A1575" s="1" t="s">
        <v>1047</v>
      </c>
      <c r="B1575" s="1" t="s">
        <v>1588</v>
      </c>
      <c r="C1575" s="1" t="s">
        <v>332</v>
      </c>
      <c r="D1575" s="1" t="s">
        <v>229</v>
      </c>
      <c r="E1575" s="1"/>
    </row>
    <row r="1576" spans="1:5" ht="16">
      <c r="A1576" s="1" t="s">
        <v>1047</v>
      </c>
      <c r="B1576" s="1" t="s">
        <v>1589</v>
      </c>
      <c r="C1576" s="1" t="s">
        <v>332</v>
      </c>
      <c r="D1576" s="1" t="s">
        <v>229</v>
      </c>
      <c r="E1576" s="1"/>
    </row>
    <row r="1577" spans="1:5" ht="16">
      <c r="A1577" s="1" t="s">
        <v>1047</v>
      </c>
      <c r="B1577" s="1" t="s">
        <v>1391</v>
      </c>
      <c r="C1577" s="1" t="s">
        <v>332</v>
      </c>
      <c r="D1577" s="1" t="s">
        <v>229</v>
      </c>
      <c r="E1577" s="1"/>
    </row>
    <row r="1578" spans="1:5" ht="16">
      <c r="A1578" s="1" t="s">
        <v>1047</v>
      </c>
      <c r="B1578" s="1" t="s">
        <v>1392</v>
      </c>
      <c r="C1578" s="1" t="s">
        <v>332</v>
      </c>
      <c r="D1578" s="1" t="s">
        <v>229</v>
      </c>
      <c r="E1578" s="1"/>
    </row>
    <row r="1579" spans="1:5" ht="16">
      <c r="A1579" s="1" t="s">
        <v>1047</v>
      </c>
      <c r="B1579" s="1" t="s">
        <v>1406</v>
      </c>
      <c r="C1579" s="1" t="s">
        <v>332</v>
      </c>
      <c r="D1579" s="1" t="s">
        <v>229</v>
      </c>
      <c r="E1579" s="1"/>
    </row>
    <row r="1580" spans="1:5" ht="16">
      <c r="A1580" s="1" t="s">
        <v>1047</v>
      </c>
      <c r="B1580" s="1" t="s">
        <v>1407</v>
      </c>
      <c r="C1580" s="1" t="s">
        <v>332</v>
      </c>
      <c r="D1580" s="1" t="s">
        <v>229</v>
      </c>
      <c r="E1580" s="1"/>
    </row>
    <row r="1581" spans="1:5" ht="16">
      <c r="A1581" s="1" t="s">
        <v>1047</v>
      </c>
      <c r="B1581" s="1" t="s">
        <v>1408</v>
      </c>
      <c r="C1581" s="1" t="s">
        <v>332</v>
      </c>
      <c r="D1581" s="1" t="s">
        <v>229</v>
      </c>
      <c r="E1581" s="1"/>
    </row>
    <row r="1582" spans="1:5" ht="16">
      <c r="A1582" s="1" t="s">
        <v>1047</v>
      </c>
      <c r="B1582" s="1" t="s">
        <v>1409</v>
      </c>
      <c r="C1582" s="1" t="s">
        <v>332</v>
      </c>
      <c r="D1582" s="1" t="s">
        <v>229</v>
      </c>
      <c r="E1582" s="1"/>
    </row>
    <row r="1583" spans="1:5" ht="16">
      <c r="A1583" s="1" t="s">
        <v>1047</v>
      </c>
      <c r="B1583" s="1" t="s">
        <v>1393</v>
      </c>
      <c r="C1583" s="1" t="s">
        <v>332</v>
      </c>
      <c r="D1583" s="1" t="s">
        <v>229</v>
      </c>
      <c r="E1583" s="1"/>
    </row>
    <row r="1584" spans="1:5" ht="16">
      <c r="A1584" s="1" t="s">
        <v>1047</v>
      </c>
      <c r="B1584" s="1" t="s">
        <v>1394</v>
      </c>
      <c r="C1584" s="1" t="s">
        <v>332</v>
      </c>
      <c r="D1584" s="1" t="s">
        <v>229</v>
      </c>
      <c r="E1584" s="1"/>
    </row>
    <row r="1585" spans="1:5" ht="16">
      <c r="A1585" s="1" t="s">
        <v>1047</v>
      </c>
      <c r="B1585" s="1" t="s">
        <v>1395</v>
      </c>
      <c r="C1585" s="1" t="s">
        <v>332</v>
      </c>
      <c r="D1585" s="1" t="s">
        <v>229</v>
      </c>
      <c r="E1585" s="1"/>
    </row>
    <row r="1586" spans="1:5" ht="16">
      <c r="A1586" s="1" t="s">
        <v>1047</v>
      </c>
      <c r="B1586" s="1" t="s">
        <v>1590</v>
      </c>
      <c r="C1586" s="1" t="s">
        <v>332</v>
      </c>
      <c r="D1586" s="1" t="s">
        <v>229</v>
      </c>
      <c r="E1586" s="1"/>
    </row>
    <row r="1587" spans="1:5" ht="16">
      <c r="A1587" s="1" t="s">
        <v>1047</v>
      </c>
      <c r="B1587" s="1" t="s">
        <v>1397</v>
      </c>
      <c r="C1587" s="1" t="s">
        <v>332</v>
      </c>
      <c r="D1587" s="1" t="s">
        <v>229</v>
      </c>
      <c r="E1587" s="1"/>
    </row>
    <row r="1588" spans="1:5" ht="16">
      <c r="A1588" s="1" t="s">
        <v>1047</v>
      </c>
      <c r="B1588" s="1" t="s">
        <v>1401</v>
      </c>
      <c r="C1588" s="1" t="s">
        <v>332</v>
      </c>
      <c r="D1588" s="1" t="s">
        <v>229</v>
      </c>
      <c r="E1588" s="1"/>
    </row>
    <row r="1589" spans="1:5" ht="16">
      <c r="A1589" s="1" t="s">
        <v>1047</v>
      </c>
      <c r="B1589" s="1" t="s">
        <v>1402</v>
      </c>
      <c r="C1589" s="1" t="s">
        <v>332</v>
      </c>
      <c r="D1589" s="1" t="s">
        <v>229</v>
      </c>
      <c r="E1589" s="1"/>
    </row>
    <row r="1590" spans="1:5" ht="16">
      <c r="A1590" s="1" t="s">
        <v>1047</v>
      </c>
      <c r="B1590" s="1" t="s">
        <v>1403</v>
      </c>
      <c r="C1590" s="1" t="s">
        <v>332</v>
      </c>
      <c r="D1590" s="1" t="s">
        <v>229</v>
      </c>
      <c r="E1590" s="1"/>
    </row>
    <row r="1591" spans="1:5" ht="16">
      <c r="A1591" s="1" t="s">
        <v>1047</v>
      </c>
      <c r="B1591" s="1" t="s">
        <v>1404</v>
      </c>
      <c r="C1591" s="1" t="s">
        <v>332</v>
      </c>
      <c r="D1591" s="1" t="s">
        <v>229</v>
      </c>
      <c r="E1591" s="1"/>
    </row>
    <row r="1592" spans="1:5" ht="16">
      <c r="A1592" s="1" t="s">
        <v>1047</v>
      </c>
      <c r="B1592" s="1" t="s">
        <v>1405</v>
      </c>
      <c r="C1592" s="1" t="s">
        <v>332</v>
      </c>
      <c r="D1592" s="1" t="s">
        <v>229</v>
      </c>
      <c r="E1592" s="1"/>
    </row>
    <row r="1593" spans="1:5" ht="16">
      <c r="A1593" s="1" t="s">
        <v>1047</v>
      </c>
      <c r="B1593" s="1" t="s">
        <v>1591</v>
      </c>
      <c r="C1593" s="1" t="s">
        <v>332</v>
      </c>
      <c r="D1593" s="1" t="s">
        <v>229</v>
      </c>
      <c r="E1593" s="1"/>
    </row>
    <row r="1594" spans="1:5" ht="16">
      <c r="A1594" s="1" t="s">
        <v>1047</v>
      </c>
      <c r="B1594" s="1" t="s">
        <v>1592</v>
      </c>
      <c r="C1594" s="1" t="s">
        <v>332</v>
      </c>
      <c r="D1594" s="1" t="s">
        <v>229</v>
      </c>
      <c r="E1594" s="1"/>
    </row>
    <row r="1595" spans="1:5" ht="16">
      <c r="A1595" s="1" t="s">
        <v>1047</v>
      </c>
      <c r="B1595" s="1" t="s">
        <v>1593</v>
      </c>
      <c r="C1595" s="1" t="s">
        <v>332</v>
      </c>
      <c r="D1595" s="1" t="s">
        <v>229</v>
      </c>
      <c r="E1595" s="1"/>
    </row>
    <row r="1596" spans="1:5" ht="16">
      <c r="A1596" s="1" t="s">
        <v>1047</v>
      </c>
      <c r="B1596" s="1" t="s">
        <v>1594</v>
      </c>
      <c r="C1596" s="1" t="s">
        <v>332</v>
      </c>
      <c r="D1596" s="1" t="s">
        <v>229</v>
      </c>
      <c r="E1596" s="1"/>
    </row>
    <row r="1597" spans="1:5" ht="16">
      <c r="A1597" s="1" t="s">
        <v>1047</v>
      </c>
      <c r="B1597" s="1" t="s">
        <v>1595</v>
      </c>
      <c r="C1597" s="1" t="s">
        <v>332</v>
      </c>
      <c r="D1597" s="1" t="s">
        <v>229</v>
      </c>
      <c r="E1597" s="1"/>
    </row>
    <row r="1598" spans="1:5" ht="16">
      <c r="A1598" s="1" t="s">
        <v>1047</v>
      </c>
      <c r="B1598" s="1" t="s">
        <v>1596</v>
      </c>
      <c r="C1598" s="1" t="s">
        <v>332</v>
      </c>
      <c r="D1598" s="1" t="s">
        <v>229</v>
      </c>
      <c r="E1598" s="1"/>
    </row>
    <row r="1599" spans="1:5" ht="16">
      <c r="A1599" s="1" t="s">
        <v>1047</v>
      </c>
      <c r="B1599" s="1" t="s">
        <v>1597</v>
      </c>
      <c r="C1599" s="1" t="s">
        <v>332</v>
      </c>
      <c r="D1599" s="1" t="s">
        <v>229</v>
      </c>
      <c r="E1599" s="1"/>
    </row>
    <row r="1600" spans="1:5" ht="16">
      <c r="A1600" s="1" t="s">
        <v>1047</v>
      </c>
      <c r="B1600" s="1" t="s">
        <v>1598</v>
      </c>
      <c r="C1600" s="1" t="s">
        <v>332</v>
      </c>
      <c r="D1600" s="1" t="s">
        <v>229</v>
      </c>
      <c r="E1600" s="1"/>
    </row>
    <row r="1601" spans="1:5" ht="16">
      <c r="A1601" s="1" t="s">
        <v>1047</v>
      </c>
      <c r="B1601" s="1" t="s">
        <v>1599</v>
      </c>
      <c r="C1601" s="1" t="s">
        <v>332</v>
      </c>
      <c r="D1601" s="1" t="s">
        <v>229</v>
      </c>
      <c r="E1601" s="1"/>
    </row>
    <row r="1602" spans="1:5" ht="16">
      <c r="A1602" s="1" t="s">
        <v>1047</v>
      </c>
      <c r="B1602" s="1" t="s">
        <v>1600</v>
      </c>
      <c r="C1602" s="1" t="s">
        <v>332</v>
      </c>
      <c r="D1602" s="1" t="s">
        <v>229</v>
      </c>
      <c r="E1602" s="1"/>
    </row>
    <row r="1603" spans="1:5" ht="16">
      <c r="A1603" s="1" t="s">
        <v>1047</v>
      </c>
      <c r="B1603" s="1" t="s">
        <v>1601</v>
      </c>
      <c r="C1603" s="1" t="s">
        <v>332</v>
      </c>
      <c r="D1603" s="1" t="s">
        <v>229</v>
      </c>
      <c r="E1603" s="1"/>
    </row>
    <row r="1604" spans="1:5" ht="16">
      <c r="A1604" s="1" t="s">
        <v>1047</v>
      </c>
      <c r="B1604" s="1" t="s">
        <v>1602</v>
      </c>
      <c r="C1604" s="1" t="s">
        <v>332</v>
      </c>
      <c r="D1604" s="1" t="s">
        <v>229</v>
      </c>
      <c r="E1604" s="1"/>
    </row>
    <row r="1605" spans="1:5" ht="16">
      <c r="A1605" s="1" t="s">
        <v>1047</v>
      </c>
      <c r="B1605" s="1" t="s">
        <v>1603</v>
      </c>
      <c r="C1605" s="1" t="s">
        <v>332</v>
      </c>
      <c r="D1605" s="1" t="s">
        <v>229</v>
      </c>
      <c r="E1605" s="1"/>
    </row>
    <row r="1606" spans="1:5" ht="16">
      <c r="A1606" s="1" t="s">
        <v>1047</v>
      </c>
      <c r="B1606" s="1" t="s">
        <v>1604</v>
      </c>
      <c r="C1606" s="1" t="s">
        <v>332</v>
      </c>
      <c r="D1606" s="1" t="s">
        <v>229</v>
      </c>
      <c r="E1606" s="1"/>
    </row>
    <row r="1607" spans="1:5" ht="16">
      <c r="A1607" s="1" t="s">
        <v>1047</v>
      </c>
      <c r="B1607" s="1" t="s">
        <v>1605</v>
      </c>
      <c r="C1607" s="1" t="s">
        <v>332</v>
      </c>
      <c r="D1607" s="1" t="s">
        <v>229</v>
      </c>
      <c r="E1607" s="1"/>
    </row>
    <row r="1608" spans="1:5" ht="16">
      <c r="A1608" s="1" t="s">
        <v>1047</v>
      </c>
      <c r="B1608" s="1" t="s">
        <v>1606</v>
      </c>
      <c r="C1608" s="1" t="s">
        <v>332</v>
      </c>
      <c r="D1608" s="1" t="s">
        <v>229</v>
      </c>
      <c r="E1608" s="1"/>
    </row>
    <row r="1609" spans="1:5" ht="16">
      <c r="A1609" s="1" t="s">
        <v>1047</v>
      </c>
      <c r="B1609" s="1" t="s">
        <v>1607</v>
      </c>
      <c r="C1609" s="1" t="s">
        <v>332</v>
      </c>
      <c r="D1609" s="1" t="s">
        <v>229</v>
      </c>
      <c r="E1609" s="1"/>
    </row>
    <row r="1610" spans="1:5" ht="16">
      <c r="A1610" s="1" t="s">
        <v>1047</v>
      </c>
      <c r="B1610" s="1" t="s">
        <v>1608</v>
      </c>
      <c r="C1610" s="1" t="s">
        <v>332</v>
      </c>
      <c r="D1610" s="1" t="s">
        <v>229</v>
      </c>
      <c r="E1610" s="1"/>
    </row>
    <row r="1611" spans="1:5" ht="16">
      <c r="A1611" s="1" t="s">
        <v>1047</v>
      </c>
      <c r="B1611" s="1" t="s">
        <v>1608</v>
      </c>
      <c r="C1611" s="1" t="s">
        <v>332</v>
      </c>
      <c r="D1611" s="1" t="s">
        <v>229</v>
      </c>
      <c r="E1611" s="1"/>
    </row>
    <row r="1612" spans="1:5" ht="16">
      <c r="A1612" s="1" t="s">
        <v>1047</v>
      </c>
      <c r="B1612" s="1" t="s">
        <v>1609</v>
      </c>
      <c r="C1612" s="1" t="s">
        <v>334</v>
      </c>
      <c r="D1612" s="1" t="s">
        <v>229</v>
      </c>
      <c r="E1612" s="1"/>
    </row>
    <row r="1613" spans="1:5" ht="16">
      <c r="A1613" s="1" t="s">
        <v>1047</v>
      </c>
      <c r="B1613" s="1" t="s">
        <v>1610</v>
      </c>
      <c r="C1613" s="1" t="s">
        <v>263</v>
      </c>
      <c r="D1613" s="1" t="s">
        <v>229</v>
      </c>
      <c r="E1613" s="1"/>
    </row>
    <row r="1614" spans="1:5" ht="16">
      <c r="A1614" s="1" t="s">
        <v>1047</v>
      </c>
      <c r="B1614" s="1" t="s">
        <v>1611</v>
      </c>
      <c r="C1614" s="1" t="s">
        <v>263</v>
      </c>
      <c r="D1614" s="1" t="s">
        <v>229</v>
      </c>
      <c r="E1614" s="1"/>
    </row>
    <row r="1615" spans="1:5" ht="16">
      <c r="A1615" s="1" t="s">
        <v>1047</v>
      </c>
      <c r="B1615" s="1" t="s">
        <v>1612</v>
      </c>
      <c r="C1615" s="1" t="s">
        <v>228</v>
      </c>
      <c r="D1615" s="1" t="s">
        <v>229</v>
      </c>
      <c r="E1615" s="1"/>
    </row>
    <row r="1616" spans="1:5" ht="16">
      <c r="A1616" s="1" t="s">
        <v>1047</v>
      </c>
      <c r="B1616" s="1" t="s">
        <v>1613</v>
      </c>
      <c r="C1616" s="1" t="s">
        <v>228</v>
      </c>
      <c r="D1616" s="1" t="s">
        <v>229</v>
      </c>
      <c r="E1616" s="1"/>
    </row>
    <row r="1617" spans="1:5" ht="16">
      <c r="A1617" s="1" t="s">
        <v>1047</v>
      </c>
      <c r="B1617" s="1" t="s">
        <v>1614</v>
      </c>
      <c r="C1617" s="1" t="s">
        <v>364</v>
      </c>
      <c r="D1617" s="1" t="s">
        <v>229</v>
      </c>
      <c r="E1617" s="1"/>
    </row>
    <row r="1618" spans="1:5" ht="16">
      <c r="A1618" s="1" t="s">
        <v>1047</v>
      </c>
      <c r="B1618" s="1" t="s">
        <v>1615</v>
      </c>
      <c r="C1618" s="1" t="s">
        <v>364</v>
      </c>
      <c r="D1618" s="1" t="s">
        <v>229</v>
      </c>
      <c r="E1618" s="1"/>
    </row>
    <row r="1619" spans="1:5" ht="16">
      <c r="A1619" s="1" t="s">
        <v>1047</v>
      </c>
      <c r="B1619" s="1" t="s">
        <v>1616</v>
      </c>
      <c r="C1619" s="1" t="s">
        <v>364</v>
      </c>
      <c r="D1619" s="1" t="s">
        <v>229</v>
      </c>
      <c r="E1619" s="1"/>
    </row>
    <row r="1620" spans="1:5" ht="16">
      <c r="A1620" s="1" t="s">
        <v>1047</v>
      </c>
      <c r="B1620" s="1" t="s">
        <v>1617</v>
      </c>
      <c r="C1620" s="1" t="s">
        <v>364</v>
      </c>
      <c r="D1620" s="1" t="s">
        <v>229</v>
      </c>
      <c r="E1620" s="1"/>
    </row>
    <row r="1621" spans="1:5" ht="16">
      <c r="A1621" s="1" t="s">
        <v>1047</v>
      </c>
      <c r="B1621" s="1" t="s">
        <v>1618</v>
      </c>
      <c r="C1621" s="1" t="s">
        <v>364</v>
      </c>
      <c r="D1621" s="1" t="s">
        <v>229</v>
      </c>
      <c r="E1621" s="1"/>
    </row>
    <row r="1622" spans="1:5" ht="16">
      <c r="A1622" s="1" t="s">
        <v>1047</v>
      </c>
      <c r="B1622" s="1" t="s">
        <v>1619</v>
      </c>
      <c r="C1622" s="1" t="s">
        <v>364</v>
      </c>
      <c r="D1622" s="1" t="s">
        <v>229</v>
      </c>
      <c r="E1622" s="1"/>
    </row>
    <row r="1623" spans="1:5" ht="16">
      <c r="A1623" s="1" t="s">
        <v>1047</v>
      </c>
      <c r="B1623" s="1" t="s">
        <v>1620</v>
      </c>
      <c r="C1623" s="1" t="s">
        <v>332</v>
      </c>
      <c r="D1623" s="1" t="s">
        <v>229</v>
      </c>
      <c r="E1623" s="1"/>
    </row>
    <row r="1624" spans="1:5" ht="16">
      <c r="A1624" s="1" t="s">
        <v>1047</v>
      </c>
      <c r="B1624" s="1" t="s">
        <v>1621</v>
      </c>
      <c r="C1624" s="1" t="s">
        <v>332</v>
      </c>
      <c r="D1624" s="1" t="s">
        <v>229</v>
      </c>
      <c r="E1624" s="1"/>
    </row>
    <row r="1625" spans="1:5" ht="16">
      <c r="A1625" s="1" t="s">
        <v>1047</v>
      </c>
      <c r="B1625" s="1" t="s">
        <v>1622</v>
      </c>
      <c r="C1625" s="1" t="s">
        <v>332</v>
      </c>
      <c r="D1625" s="1" t="s">
        <v>229</v>
      </c>
      <c r="E1625" s="1"/>
    </row>
    <row r="1626" spans="1:5" ht="16">
      <c r="A1626" s="1" t="s">
        <v>1047</v>
      </c>
      <c r="B1626" s="1" t="s">
        <v>1623</v>
      </c>
      <c r="C1626" s="1" t="s">
        <v>332</v>
      </c>
      <c r="D1626" s="1" t="s">
        <v>229</v>
      </c>
      <c r="E1626" s="1"/>
    </row>
    <row r="1627" spans="1:5" ht="16">
      <c r="A1627" s="1" t="s">
        <v>1047</v>
      </c>
      <c r="B1627" s="1" t="s">
        <v>1624</v>
      </c>
      <c r="C1627" s="1" t="s">
        <v>332</v>
      </c>
      <c r="D1627" s="1" t="s">
        <v>229</v>
      </c>
      <c r="E1627" s="1"/>
    </row>
    <row r="1628" spans="1:5" ht="16">
      <c r="A1628" s="1" t="s">
        <v>1047</v>
      </c>
      <c r="B1628" s="1" t="s">
        <v>1625</v>
      </c>
      <c r="C1628" s="1" t="s">
        <v>332</v>
      </c>
      <c r="D1628" s="1" t="s">
        <v>229</v>
      </c>
      <c r="E1628" s="1"/>
    </row>
    <row r="1629" spans="1:5" ht="16">
      <c r="A1629" s="1" t="s">
        <v>1047</v>
      </c>
      <c r="B1629" s="1" t="s">
        <v>1626</v>
      </c>
      <c r="C1629" s="1" t="s">
        <v>332</v>
      </c>
      <c r="D1629" s="1" t="s">
        <v>229</v>
      </c>
      <c r="E1629" s="1"/>
    </row>
    <row r="1630" spans="1:5" ht="16">
      <c r="A1630" s="1" t="s">
        <v>1047</v>
      </c>
      <c r="B1630" s="1" t="s">
        <v>1627</v>
      </c>
      <c r="C1630" s="1" t="s">
        <v>332</v>
      </c>
      <c r="D1630" s="1" t="s">
        <v>229</v>
      </c>
      <c r="E1630" s="1"/>
    </row>
    <row r="1631" spans="1:5" ht="16">
      <c r="A1631" s="1" t="s">
        <v>1047</v>
      </c>
      <c r="B1631" s="1" t="s">
        <v>1628</v>
      </c>
      <c r="C1631" s="1" t="s">
        <v>332</v>
      </c>
      <c r="D1631" s="1" t="s">
        <v>229</v>
      </c>
      <c r="E1631" s="1"/>
    </row>
    <row r="1632" spans="1:5" ht="16">
      <c r="A1632" s="1" t="s">
        <v>1047</v>
      </c>
      <c r="B1632" s="1" t="s">
        <v>1629</v>
      </c>
      <c r="C1632" s="1" t="s">
        <v>332</v>
      </c>
      <c r="D1632" s="1" t="s">
        <v>229</v>
      </c>
      <c r="E1632" s="1"/>
    </row>
    <row r="1633" spans="1:5" ht="16">
      <c r="A1633" s="1" t="s">
        <v>1047</v>
      </c>
      <c r="B1633" s="1" t="s">
        <v>1630</v>
      </c>
      <c r="C1633" s="1" t="s">
        <v>332</v>
      </c>
      <c r="D1633" s="1" t="s">
        <v>229</v>
      </c>
      <c r="E1633" s="1"/>
    </row>
    <row r="1634" spans="1:5" ht="16">
      <c r="A1634" s="1" t="s">
        <v>1047</v>
      </c>
      <c r="B1634" s="1" t="s">
        <v>1631</v>
      </c>
      <c r="C1634" s="1" t="s">
        <v>332</v>
      </c>
      <c r="D1634" s="1" t="s">
        <v>229</v>
      </c>
      <c r="E1634" s="1"/>
    </row>
    <row r="1635" spans="1:5" ht="16">
      <c r="A1635" s="1" t="s">
        <v>1047</v>
      </c>
      <c r="B1635" s="1" t="s">
        <v>1632</v>
      </c>
      <c r="C1635" s="1" t="s">
        <v>332</v>
      </c>
      <c r="D1635" s="1" t="s">
        <v>229</v>
      </c>
      <c r="E1635" s="1"/>
    </row>
    <row r="1636" spans="1:5" ht="16">
      <c r="A1636" s="1" t="s">
        <v>1047</v>
      </c>
      <c r="B1636" s="1" t="s">
        <v>1633</v>
      </c>
      <c r="C1636" s="1" t="s">
        <v>332</v>
      </c>
      <c r="D1636" s="1" t="s">
        <v>229</v>
      </c>
      <c r="E1636" s="1"/>
    </row>
    <row r="1637" spans="1:5" ht="16">
      <c r="A1637" s="1" t="s">
        <v>1047</v>
      </c>
      <c r="B1637" s="1" t="s">
        <v>1634</v>
      </c>
      <c r="C1637" s="1" t="s">
        <v>332</v>
      </c>
      <c r="D1637" s="1" t="s">
        <v>229</v>
      </c>
      <c r="E1637" s="1"/>
    </row>
    <row r="1638" spans="1:5" ht="16">
      <c r="A1638" s="1" t="s">
        <v>1047</v>
      </c>
      <c r="B1638" s="1" t="s">
        <v>1635</v>
      </c>
      <c r="C1638" s="1" t="s">
        <v>332</v>
      </c>
      <c r="D1638" s="1" t="s">
        <v>229</v>
      </c>
      <c r="E1638" s="1"/>
    </row>
    <row r="1639" spans="1:5" ht="16">
      <c r="A1639" s="1" t="s">
        <v>1047</v>
      </c>
      <c r="B1639" s="1" t="s">
        <v>1636</v>
      </c>
      <c r="C1639" s="1" t="s">
        <v>332</v>
      </c>
      <c r="D1639" s="1" t="s">
        <v>229</v>
      </c>
      <c r="E1639" s="1"/>
    </row>
    <row r="1640" spans="1:5" ht="16">
      <c r="A1640" s="1" t="s">
        <v>1047</v>
      </c>
      <c r="B1640" s="1" t="s">
        <v>1637</v>
      </c>
      <c r="C1640" s="1" t="s">
        <v>332</v>
      </c>
      <c r="D1640" s="1" t="s">
        <v>229</v>
      </c>
      <c r="E1640" s="1"/>
    </row>
    <row r="1641" spans="1:5" ht="16">
      <c r="A1641" s="1" t="s">
        <v>1047</v>
      </c>
      <c r="B1641" s="1" t="s">
        <v>1638</v>
      </c>
      <c r="C1641" s="1" t="s">
        <v>332</v>
      </c>
      <c r="D1641" s="1" t="s">
        <v>229</v>
      </c>
      <c r="E1641" s="1"/>
    </row>
    <row r="1642" spans="1:5" ht="16">
      <c r="A1642" s="1" t="s">
        <v>1047</v>
      </c>
      <c r="B1642" s="1" t="s">
        <v>1639</v>
      </c>
      <c r="C1642" s="1" t="s">
        <v>332</v>
      </c>
      <c r="D1642" s="1" t="s">
        <v>229</v>
      </c>
      <c r="E1642" s="1"/>
    </row>
    <row r="1643" spans="1:5" ht="16">
      <c r="A1643" s="1" t="s">
        <v>1047</v>
      </c>
      <c r="B1643" s="1" t="s">
        <v>1640</v>
      </c>
      <c r="C1643" s="1" t="s">
        <v>332</v>
      </c>
      <c r="D1643" s="1" t="s">
        <v>229</v>
      </c>
      <c r="E1643" s="1"/>
    </row>
    <row r="1644" spans="1:5" ht="16">
      <c r="A1644" s="1" t="s">
        <v>1047</v>
      </c>
      <c r="B1644" s="1" t="s">
        <v>1641</v>
      </c>
      <c r="C1644" s="1" t="s">
        <v>332</v>
      </c>
      <c r="D1644" s="1" t="s">
        <v>229</v>
      </c>
      <c r="E1644" s="1"/>
    </row>
    <row r="1645" spans="1:5" ht="16">
      <c r="A1645" s="1" t="s">
        <v>1047</v>
      </c>
      <c r="B1645" s="1" t="s">
        <v>1642</v>
      </c>
      <c r="C1645" s="1" t="s">
        <v>332</v>
      </c>
      <c r="D1645" s="1" t="s">
        <v>229</v>
      </c>
      <c r="E1645" s="1"/>
    </row>
    <row r="1646" spans="1:5" ht="16">
      <c r="A1646" s="1" t="s">
        <v>1047</v>
      </c>
      <c r="B1646" s="1" t="s">
        <v>1643</v>
      </c>
      <c r="C1646" s="1" t="s">
        <v>332</v>
      </c>
      <c r="D1646" s="1" t="s">
        <v>229</v>
      </c>
      <c r="E1646" s="1"/>
    </row>
    <row r="1647" spans="1:5" ht="16">
      <c r="A1647" s="1" t="s">
        <v>1047</v>
      </c>
      <c r="B1647" s="1" t="s">
        <v>1644</v>
      </c>
      <c r="C1647" s="1" t="s">
        <v>332</v>
      </c>
      <c r="D1647" s="1" t="s">
        <v>229</v>
      </c>
      <c r="E1647" s="1"/>
    </row>
    <row r="1648" spans="1:5" ht="16">
      <c r="A1648" s="1" t="s">
        <v>1047</v>
      </c>
      <c r="B1648" s="1" t="s">
        <v>1645</v>
      </c>
      <c r="C1648" s="1" t="s">
        <v>332</v>
      </c>
      <c r="D1648" s="1" t="s">
        <v>229</v>
      </c>
      <c r="E1648" s="1"/>
    </row>
    <row r="1649" spans="1:5" ht="16">
      <c r="A1649" s="1" t="s">
        <v>1047</v>
      </c>
      <c r="B1649" s="1" t="s">
        <v>1646</v>
      </c>
      <c r="C1649" s="1" t="s">
        <v>332</v>
      </c>
      <c r="D1649" s="1" t="s">
        <v>229</v>
      </c>
      <c r="E1649" s="1"/>
    </row>
    <row r="1650" spans="1:5" ht="16">
      <c r="A1650" s="1" t="s">
        <v>1047</v>
      </c>
      <c r="B1650" s="1" t="s">
        <v>1647</v>
      </c>
      <c r="C1650" s="1" t="s">
        <v>332</v>
      </c>
      <c r="D1650" s="1" t="s">
        <v>229</v>
      </c>
      <c r="E1650" s="1"/>
    </row>
    <row r="1651" spans="1:5" ht="16">
      <c r="A1651" s="1" t="s">
        <v>1047</v>
      </c>
      <c r="B1651" s="1" t="s">
        <v>1648</v>
      </c>
      <c r="C1651" s="1" t="s">
        <v>332</v>
      </c>
      <c r="D1651" s="1" t="s">
        <v>229</v>
      </c>
      <c r="E1651" s="1"/>
    </row>
    <row r="1652" spans="1:5" ht="16">
      <c r="A1652" s="1" t="s">
        <v>1047</v>
      </c>
      <c r="B1652" s="1" t="s">
        <v>1649</v>
      </c>
      <c r="C1652" s="1" t="s">
        <v>332</v>
      </c>
      <c r="D1652" s="1" t="s">
        <v>229</v>
      </c>
      <c r="E1652" s="1"/>
    </row>
    <row r="1653" spans="1:5" ht="16">
      <c r="A1653" s="1" t="s">
        <v>1047</v>
      </c>
      <c r="B1653" s="1" t="s">
        <v>1650</v>
      </c>
      <c r="C1653" s="1" t="s">
        <v>332</v>
      </c>
      <c r="D1653" s="1" t="s">
        <v>229</v>
      </c>
      <c r="E1653" s="1"/>
    </row>
    <row r="1654" spans="1:5" ht="16">
      <c r="A1654" s="1" t="s">
        <v>1047</v>
      </c>
      <c r="B1654" s="1" t="s">
        <v>1524</v>
      </c>
      <c r="C1654" s="1" t="s">
        <v>332</v>
      </c>
      <c r="D1654" s="1" t="s">
        <v>229</v>
      </c>
      <c r="E1654" s="1"/>
    </row>
    <row r="1655" spans="1:5" ht="16">
      <c r="A1655" s="1" t="s">
        <v>1047</v>
      </c>
      <c r="B1655" s="1" t="s">
        <v>1651</v>
      </c>
      <c r="C1655" s="1" t="s">
        <v>332</v>
      </c>
      <c r="D1655" s="1" t="s">
        <v>229</v>
      </c>
      <c r="E1655" s="1"/>
    </row>
    <row r="1656" spans="1:5" ht="16">
      <c r="A1656" s="1" t="s">
        <v>1047</v>
      </c>
      <c r="B1656" s="1" t="s">
        <v>1652</v>
      </c>
      <c r="C1656" s="1" t="s">
        <v>332</v>
      </c>
      <c r="D1656" s="1" t="s">
        <v>229</v>
      </c>
      <c r="E1656" s="1"/>
    </row>
    <row r="1657" spans="1:5" ht="16">
      <c r="A1657" s="1" t="s">
        <v>1047</v>
      </c>
      <c r="B1657" s="1" t="s">
        <v>1653</v>
      </c>
      <c r="C1657" s="1" t="s">
        <v>332</v>
      </c>
      <c r="D1657" s="1" t="s">
        <v>229</v>
      </c>
      <c r="E1657" s="1"/>
    </row>
    <row r="1658" spans="1:5" ht="16">
      <c r="A1658" s="1" t="s">
        <v>1047</v>
      </c>
      <c r="B1658" s="1" t="s">
        <v>1654</v>
      </c>
      <c r="C1658" s="1" t="s">
        <v>332</v>
      </c>
      <c r="D1658" s="1" t="s">
        <v>229</v>
      </c>
      <c r="E1658" s="1"/>
    </row>
    <row r="1659" spans="1:5" ht="16">
      <c r="A1659" s="1" t="s">
        <v>1047</v>
      </c>
      <c r="B1659" s="1" t="s">
        <v>1655</v>
      </c>
      <c r="C1659" s="1" t="s">
        <v>332</v>
      </c>
      <c r="D1659" s="1" t="s">
        <v>229</v>
      </c>
      <c r="E1659" s="1"/>
    </row>
    <row r="1660" spans="1:5" ht="16">
      <c r="A1660" s="1" t="s">
        <v>1047</v>
      </c>
      <c r="B1660" s="1" t="s">
        <v>1656</v>
      </c>
      <c r="C1660" s="1" t="s">
        <v>332</v>
      </c>
      <c r="D1660" s="1" t="s">
        <v>229</v>
      </c>
      <c r="E1660" s="1"/>
    </row>
    <row r="1661" spans="1:5" ht="16">
      <c r="A1661" s="1" t="s">
        <v>1047</v>
      </c>
      <c r="B1661" s="1" t="s">
        <v>1657</v>
      </c>
      <c r="C1661" s="1" t="s">
        <v>332</v>
      </c>
      <c r="D1661" s="1" t="s">
        <v>229</v>
      </c>
      <c r="E1661" s="1"/>
    </row>
    <row r="1662" spans="1:5" ht="16">
      <c r="A1662" s="1" t="s">
        <v>1047</v>
      </c>
      <c r="B1662" s="1" t="s">
        <v>1658</v>
      </c>
      <c r="C1662" s="1" t="s">
        <v>332</v>
      </c>
      <c r="D1662" s="1" t="s">
        <v>229</v>
      </c>
      <c r="E1662" s="1"/>
    </row>
    <row r="1663" spans="1:5" ht="16">
      <c r="A1663" s="1" t="s">
        <v>1047</v>
      </c>
      <c r="B1663" s="1" t="s">
        <v>1659</v>
      </c>
      <c r="C1663" s="1" t="s">
        <v>332</v>
      </c>
      <c r="D1663" s="1" t="s">
        <v>229</v>
      </c>
      <c r="E1663" s="1"/>
    </row>
    <row r="1664" spans="1:5" ht="16">
      <c r="A1664" s="1" t="s">
        <v>1047</v>
      </c>
      <c r="B1664" s="1" t="s">
        <v>1660</v>
      </c>
      <c r="C1664" s="1" t="s">
        <v>332</v>
      </c>
      <c r="D1664" s="1" t="s">
        <v>229</v>
      </c>
      <c r="E1664" s="1"/>
    </row>
    <row r="1665" spans="1:5" ht="16">
      <c r="A1665" s="1" t="s">
        <v>1047</v>
      </c>
      <c r="B1665" s="1" t="s">
        <v>1661</v>
      </c>
      <c r="C1665" s="1" t="s">
        <v>332</v>
      </c>
      <c r="D1665" s="1" t="s">
        <v>229</v>
      </c>
      <c r="E1665" s="1"/>
    </row>
    <row r="1666" spans="1:5" ht="16">
      <c r="A1666" s="1" t="s">
        <v>1047</v>
      </c>
      <c r="B1666" s="1" t="s">
        <v>1662</v>
      </c>
      <c r="C1666" s="1" t="s">
        <v>332</v>
      </c>
      <c r="D1666" s="1" t="s">
        <v>229</v>
      </c>
      <c r="E1666" s="1"/>
    </row>
    <row r="1667" spans="1:5" ht="16">
      <c r="A1667" s="1" t="s">
        <v>1047</v>
      </c>
      <c r="B1667" s="1" t="s">
        <v>1663</v>
      </c>
      <c r="C1667" s="1" t="s">
        <v>332</v>
      </c>
      <c r="D1667" s="1" t="s">
        <v>229</v>
      </c>
      <c r="E1667" s="1"/>
    </row>
    <row r="1668" spans="1:5" ht="16">
      <c r="A1668" s="1" t="s">
        <v>1047</v>
      </c>
      <c r="B1668" s="1" t="s">
        <v>1664</v>
      </c>
      <c r="C1668" s="1" t="s">
        <v>332</v>
      </c>
      <c r="D1668" s="1" t="s">
        <v>229</v>
      </c>
      <c r="E1668" s="1"/>
    </row>
    <row r="1669" spans="1:5" ht="16">
      <c r="A1669" s="1" t="s">
        <v>1047</v>
      </c>
      <c r="B1669" s="1" t="s">
        <v>1665</v>
      </c>
      <c r="C1669" s="1" t="s">
        <v>332</v>
      </c>
      <c r="D1669" s="1" t="s">
        <v>229</v>
      </c>
      <c r="E1669" s="1"/>
    </row>
    <row r="1670" spans="1:5" ht="16">
      <c r="A1670" s="1" t="s">
        <v>1047</v>
      </c>
      <c r="B1670" s="1" t="s">
        <v>1666</v>
      </c>
      <c r="C1670" s="1" t="s">
        <v>332</v>
      </c>
      <c r="D1670" s="1" t="s">
        <v>229</v>
      </c>
      <c r="E1670" s="1"/>
    </row>
    <row r="1671" spans="1:5" ht="16">
      <c r="A1671" s="1" t="s">
        <v>1047</v>
      </c>
      <c r="B1671" s="1" t="s">
        <v>1667</v>
      </c>
      <c r="C1671" s="1" t="s">
        <v>332</v>
      </c>
      <c r="D1671" s="1" t="s">
        <v>229</v>
      </c>
      <c r="E1671" s="1"/>
    </row>
    <row r="1672" spans="1:5" ht="16">
      <c r="A1672" s="1" t="s">
        <v>1047</v>
      </c>
      <c r="B1672" s="1" t="s">
        <v>1668</v>
      </c>
      <c r="C1672" s="1" t="s">
        <v>332</v>
      </c>
      <c r="D1672" s="1" t="s">
        <v>229</v>
      </c>
      <c r="E1672" s="1"/>
    </row>
    <row r="1673" spans="1:5" ht="16">
      <c r="A1673" s="1" t="s">
        <v>1047</v>
      </c>
      <c r="B1673" s="1" t="s">
        <v>1669</v>
      </c>
      <c r="C1673" s="1" t="s">
        <v>332</v>
      </c>
      <c r="D1673" s="1" t="s">
        <v>229</v>
      </c>
      <c r="E1673" s="1"/>
    </row>
    <row r="1674" spans="1:5" ht="16">
      <c r="A1674" s="1" t="s">
        <v>1047</v>
      </c>
      <c r="B1674" s="1" t="s">
        <v>1670</v>
      </c>
      <c r="C1674" s="1" t="s">
        <v>332</v>
      </c>
      <c r="D1674" s="1" t="s">
        <v>229</v>
      </c>
      <c r="E1674" s="1"/>
    </row>
    <row r="1675" spans="1:5" ht="16">
      <c r="A1675" s="1" t="s">
        <v>1047</v>
      </c>
      <c r="B1675" s="1" t="s">
        <v>1671</v>
      </c>
      <c r="C1675" s="1" t="s">
        <v>332</v>
      </c>
      <c r="D1675" s="1" t="s">
        <v>229</v>
      </c>
      <c r="E1675" s="1"/>
    </row>
    <row r="1676" spans="1:5" ht="16">
      <c r="A1676" s="1" t="s">
        <v>1047</v>
      </c>
      <c r="B1676" s="1" t="s">
        <v>1672</v>
      </c>
      <c r="C1676" s="1" t="s">
        <v>332</v>
      </c>
      <c r="D1676" s="1" t="s">
        <v>229</v>
      </c>
      <c r="E1676" s="1"/>
    </row>
    <row r="1677" spans="1:5" ht="16">
      <c r="A1677" s="1" t="s">
        <v>1047</v>
      </c>
      <c r="B1677" s="1" t="s">
        <v>1673</v>
      </c>
      <c r="C1677" s="1" t="s">
        <v>332</v>
      </c>
      <c r="D1677" s="1" t="s">
        <v>229</v>
      </c>
      <c r="E1677" s="1"/>
    </row>
    <row r="1678" spans="1:5" ht="16">
      <c r="A1678" s="1" t="s">
        <v>1047</v>
      </c>
      <c r="B1678" s="1" t="s">
        <v>1674</v>
      </c>
      <c r="C1678" s="1" t="s">
        <v>332</v>
      </c>
      <c r="D1678" s="1" t="s">
        <v>229</v>
      </c>
      <c r="E1678" s="1"/>
    </row>
    <row r="1679" spans="1:5" ht="16">
      <c r="A1679" s="1" t="s">
        <v>1047</v>
      </c>
      <c r="B1679" s="1" t="s">
        <v>1675</v>
      </c>
      <c r="C1679" s="1" t="s">
        <v>332</v>
      </c>
      <c r="D1679" s="1" t="s">
        <v>229</v>
      </c>
      <c r="E1679" s="1"/>
    </row>
    <row r="1680" spans="1:5" ht="16">
      <c r="A1680" s="1" t="s">
        <v>1047</v>
      </c>
      <c r="B1680" s="1" t="s">
        <v>1676</v>
      </c>
      <c r="C1680" s="1" t="s">
        <v>332</v>
      </c>
      <c r="D1680" s="1" t="s">
        <v>229</v>
      </c>
      <c r="E1680" s="1"/>
    </row>
    <row r="1681" spans="1:5" ht="16">
      <c r="A1681" s="1" t="s">
        <v>1047</v>
      </c>
      <c r="B1681" s="1" t="s">
        <v>1677</v>
      </c>
      <c r="C1681" s="1" t="s">
        <v>332</v>
      </c>
      <c r="D1681" s="1" t="s">
        <v>229</v>
      </c>
      <c r="E1681" s="1"/>
    </row>
    <row r="1682" spans="1:5" ht="16">
      <c r="A1682" s="1" t="s">
        <v>1047</v>
      </c>
      <c r="B1682" s="1" t="s">
        <v>1678</v>
      </c>
      <c r="C1682" s="1" t="s">
        <v>332</v>
      </c>
      <c r="D1682" s="1" t="s">
        <v>229</v>
      </c>
      <c r="E1682" s="1"/>
    </row>
    <row r="1683" spans="1:5" ht="16">
      <c r="A1683" s="1" t="s">
        <v>1047</v>
      </c>
      <c r="B1683" s="1" t="s">
        <v>1679</v>
      </c>
      <c r="C1683" s="1" t="s">
        <v>332</v>
      </c>
      <c r="D1683" s="1" t="s">
        <v>229</v>
      </c>
      <c r="E1683" s="1"/>
    </row>
    <row r="1684" spans="1:5" ht="16">
      <c r="A1684" s="1" t="s">
        <v>1047</v>
      </c>
      <c r="B1684" s="1" t="s">
        <v>1680</v>
      </c>
      <c r="C1684" s="1" t="s">
        <v>332</v>
      </c>
      <c r="D1684" s="1" t="s">
        <v>229</v>
      </c>
      <c r="E1684" s="1"/>
    </row>
    <row r="1685" spans="1:5" ht="16">
      <c r="A1685" s="1" t="s">
        <v>1047</v>
      </c>
      <c r="B1685" s="1" t="s">
        <v>1681</v>
      </c>
      <c r="C1685" s="1" t="s">
        <v>332</v>
      </c>
      <c r="D1685" s="1" t="s">
        <v>229</v>
      </c>
      <c r="E1685" s="1"/>
    </row>
    <row r="1686" spans="1:5" ht="16">
      <c r="A1686" s="1" t="s">
        <v>1047</v>
      </c>
      <c r="B1686" s="1" t="s">
        <v>1682</v>
      </c>
      <c r="C1686" s="1" t="s">
        <v>332</v>
      </c>
      <c r="D1686" s="1" t="s">
        <v>229</v>
      </c>
      <c r="E1686" s="1"/>
    </row>
    <row r="1687" spans="1:5" ht="16">
      <c r="A1687" s="1" t="s">
        <v>1047</v>
      </c>
      <c r="B1687" s="1" t="s">
        <v>1683</v>
      </c>
      <c r="C1687" s="1" t="s">
        <v>332</v>
      </c>
      <c r="D1687" s="1" t="s">
        <v>229</v>
      </c>
      <c r="E1687" s="1"/>
    </row>
    <row r="1688" spans="1:5" ht="16">
      <c r="A1688" s="1" t="s">
        <v>1047</v>
      </c>
      <c r="B1688" s="1" t="s">
        <v>1684</v>
      </c>
      <c r="C1688" s="1" t="s">
        <v>332</v>
      </c>
      <c r="D1688" s="1" t="s">
        <v>229</v>
      </c>
      <c r="E1688" s="1"/>
    </row>
    <row r="1689" spans="1:5" ht="16">
      <c r="A1689" s="1" t="s">
        <v>1047</v>
      </c>
      <c r="B1689" s="1" t="s">
        <v>1685</v>
      </c>
      <c r="C1689" s="1" t="s">
        <v>332</v>
      </c>
      <c r="D1689" s="1" t="s">
        <v>229</v>
      </c>
      <c r="E1689" s="1"/>
    </row>
    <row r="1690" spans="1:5" ht="16">
      <c r="A1690" s="1" t="s">
        <v>1047</v>
      </c>
      <c r="B1690" s="1" t="s">
        <v>1686</v>
      </c>
      <c r="C1690" s="1" t="s">
        <v>332</v>
      </c>
      <c r="D1690" s="1" t="s">
        <v>229</v>
      </c>
      <c r="E1690" s="1"/>
    </row>
    <row r="1691" spans="1:5" ht="16">
      <c r="A1691" s="1" t="s">
        <v>1047</v>
      </c>
      <c r="B1691" s="1" t="s">
        <v>1687</v>
      </c>
      <c r="C1691" s="1" t="s">
        <v>332</v>
      </c>
      <c r="D1691" s="1" t="s">
        <v>229</v>
      </c>
      <c r="E1691" s="1"/>
    </row>
    <row r="1692" spans="1:5" ht="16">
      <c r="A1692" s="1" t="s">
        <v>1047</v>
      </c>
      <c r="B1692" s="1" t="s">
        <v>1688</v>
      </c>
      <c r="C1692" s="1" t="s">
        <v>332</v>
      </c>
      <c r="D1692" s="1" t="s">
        <v>229</v>
      </c>
      <c r="E1692" s="1"/>
    </row>
    <row r="1693" spans="1:5" ht="16">
      <c r="A1693" s="1" t="s">
        <v>1047</v>
      </c>
      <c r="B1693" s="1" t="s">
        <v>1689</v>
      </c>
      <c r="C1693" s="1" t="s">
        <v>332</v>
      </c>
      <c r="D1693" s="1" t="s">
        <v>229</v>
      </c>
      <c r="E1693" s="1"/>
    </row>
    <row r="1694" spans="1:5" ht="16">
      <c r="A1694" s="1" t="s">
        <v>1047</v>
      </c>
      <c r="B1694" s="1" t="s">
        <v>1690</v>
      </c>
      <c r="C1694" s="1" t="s">
        <v>332</v>
      </c>
      <c r="D1694" s="1" t="s">
        <v>229</v>
      </c>
      <c r="E1694" s="1"/>
    </row>
    <row r="1695" spans="1:5" ht="16">
      <c r="A1695" s="1" t="s">
        <v>1047</v>
      </c>
      <c r="B1695" s="1" t="s">
        <v>1691</v>
      </c>
      <c r="C1695" s="1" t="s">
        <v>332</v>
      </c>
      <c r="D1695" s="1" t="s">
        <v>229</v>
      </c>
      <c r="E1695" s="1"/>
    </row>
    <row r="1696" spans="1:5" ht="16">
      <c r="A1696" s="1" t="s">
        <v>1047</v>
      </c>
      <c r="B1696" s="1" t="s">
        <v>1692</v>
      </c>
      <c r="C1696" s="1" t="s">
        <v>332</v>
      </c>
      <c r="D1696" s="1" t="s">
        <v>229</v>
      </c>
      <c r="E1696" s="1"/>
    </row>
    <row r="1697" spans="1:5" ht="16">
      <c r="A1697" s="1" t="s">
        <v>1047</v>
      </c>
      <c r="B1697" s="1" t="s">
        <v>1693</v>
      </c>
      <c r="C1697" s="1" t="s">
        <v>332</v>
      </c>
      <c r="D1697" s="1" t="s">
        <v>229</v>
      </c>
      <c r="E1697" s="1"/>
    </row>
    <row r="1698" spans="1:5" ht="16">
      <c r="A1698" s="1" t="s">
        <v>1047</v>
      </c>
      <c r="B1698" s="1" t="s">
        <v>1694</v>
      </c>
      <c r="C1698" s="1" t="s">
        <v>332</v>
      </c>
      <c r="D1698" s="1" t="s">
        <v>229</v>
      </c>
      <c r="E1698" s="1"/>
    </row>
    <row r="1699" spans="1:5" ht="16">
      <c r="A1699" s="1" t="s">
        <v>1047</v>
      </c>
      <c r="B1699" s="1" t="s">
        <v>1695</v>
      </c>
      <c r="C1699" s="1" t="s">
        <v>332</v>
      </c>
      <c r="D1699" s="1" t="s">
        <v>229</v>
      </c>
      <c r="E1699" s="1"/>
    </row>
    <row r="1700" spans="1:5" ht="16">
      <c r="A1700" s="1" t="s">
        <v>1047</v>
      </c>
      <c r="B1700" s="1" t="s">
        <v>1696</v>
      </c>
      <c r="C1700" s="1" t="s">
        <v>332</v>
      </c>
      <c r="D1700" s="1" t="s">
        <v>229</v>
      </c>
      <c r="E1700" s="1"/>
    </row>
    <row r="1701" spans="1:5" ht="16">
      <c r="A1701" s="1" t="s">
        <v>1047</v>
      </c>
      <c r="B1701" s="1" t="s">
        <v>1697</v>
      </c>
      <c r="C1701" s="1" t="s">
        <v>332</v>
      </c>
      <c r="D1701" s="1" t="s">
        <v>229</v>
      </c>
      <c r="E1701" s="1"/>
    </row>
    <row r="1702" spans="1:5" ht="16">
      <c r="A1702" s="1" t="s">
        <v>1047</v>
      </c>
      <c r="B1702" s="1" t="s">
        <v>1698</v>
      </c>
      <c r="C1702" s="1" t="s">
        <v>332</v>
      </c>
      <c r="D1702" s="1" t="s">
        <v>229</v>
      </c>
      <c r="E1702" s="1"/>
    </row>
    <row r="1703" spans="1:5" ht="16">
      <c r="A1703" s="1" t="s">
        <v>1047</v>
      </c>
      <c r="B1703" s="1" t="s">
        <v>1699</v>
      </c>
      <c r="C1703" s="1" t="s">
        <v>332</v>
      </c>
      <c r="D1703" s="1" t="s">
        <v>229</v>
      </c>
      <c r="E1703" s="1"/>
    </row>
    <row r="1704" spans="1:5" ht="16">
      <c r="A1704" s="1" t="s">
        <v>1047</v>
      </c>
      <c r="B1704" s="1" t="s">
        <v>1700</v>
      </c>
      <c r="C1704" s="1" t="s">
        <v>332</v>
      </c>
      <c r="D1704" s="1" t="s">
        <v>229</v>
      </c>
      <c r="E1704" s="1"/>
    </row>
    <row r="1705" spans="1:5" ht="16">
      <c r="A1705" s="1" t="s">
        <v>1047</v>
      </c>
      <c r="B1705" s="1" t="s">
        <v>1701</v>
      </c>
      <c r="C1705" s="1" t="s">
        <v>332</v>
      </c>
      <c r="D1705" s="1" t="s">
        <v>229</v>
      </c>
      <c r="E1705" s="1"/>
    </row>
    <row r="1706" spans="1:5" ht="16">
      <c r="A1706" s="1" t="s">
        <v>1047</v>
      </c>
      <c r="B1706" s="1" t="s">
        <v>1702</v>
      </c>
      <c r="C1706" s="1" t="s">
        <v>332</v>
      </c>
      <c r="D1706" s="1" t="s">
        <v>229</v>
      </c>
      <c r="E1706" s="1"/>
    </row>
    <row r="1707" spans="1:5" ht="16">
      <c r="A1707" s="1" t="s">
        <v>1047</v>
      </c>
      <c r="B1707" s="1" t="s">
        <v>1703</v>
      </c>
      <c r="C1707" s="1" t="s">
        <v>332</v>
      </c>
      <c r="D1707" s="1" t="s">
        <v>229</v>
      </c>
      <c r="E1707" s="1"/>
    </row>
    <row r="1708" spans="1:5" ht="16">
      <c r="A1708" s="1" t="s">
        <v>1047</v>
      </c>
      <c r="B1708" s="1" t="s">
        <v>1704</v>
      </c>
      <c r="C1708" s="1" t="s">
        <v>332</v>
      </c>
      <c r="D1708" s="1" t="s">
        <v>229</v>
      </c>
      <c r="E1708" s="1"/>
    </row>
    <row r="1709" spans="1:5" ht="16">
      <c r="A1709" s="1" t="s">
        <v>1047</v>
      </c>
      <c r="B1709" s="1" t="s">
        <v>1705</v>
      </c>
      <c r="C1709" s="1" t="s">
        <v>332</v>
      </c>
      <c r="D1709" s="1" t="s">
        <v>229</v>
      </c>
      <c r="E1709" s="1"/>
    </row>
    <row r="1710" spans="1:5" ht="16">
      <c r="A1710" s="1" t="s">
        <v>1047</v>
      </c>
      <c r="B1710" s="1" t="s">
        <v>1706</v>
      </c>
      <c r="C1710" s="1" t="s">
        <v>332</v>
      </c>
      <c r="D1710" s="1" t="s">
        <v>229</v>
      </c>
      <c r="E1710" s="1"/>
    </row>
    <row r="1711" spans="1:5" ht="16">
      <c r="A1711" s="1" t="s">
        <v>1047</v>
      </c>
      <c r="B1711" s="1" t="s">
        <v>1707</v>
      </c>
      <c r="C1711" s="1" t="s">
        <v>332</v>
      </c>
      <c r="D1711" s="1" t="s">
        <v>229</v>
      </c>
      <c r="E1711" s="1"/>
    </row>
    <row r="1712" spans="1:5" ht="16">
      <c r="A1712" s="1" t="s">
        <v>1047</v>
      </c>
      <c r="B1712" s="1" t="s">
        <v>1708</v>
      </c>
      <c r="C1712" s="1" t="s">
        <v>332</v>
      </c>
      <c r="D1712" s="1" t="s">
        <v>229</v>
      </c>
      <c r="E1712" s="1"/>
    </row>
    <row r="1713" spans="1:5" ht="16">
      <c r="A1713" s="1" t="s">
        <v>1047</v>
      </c>
      <c r="B1713" s="1" t="s">
        <v>1709</v>
      </c>
      <c r="C1713" s="1" t="s">
        <v>332</v>
      </c>
      <c r="D1713" s="1" t="s">
        <v>229</v>
      </c>
      <c r="E1713" s="1"/>
    </row>
    <row r="1714" spans="1:5" ht="16">
      <c r="A1714" s="1" t="s">
        <v>1047</v>
      </c>
      <c r="B1714" s="1" t="s">
        <v>1710</v>
      </c>
      <c r="C1714" s="1" t="s">
        <v>332</v>
      </c>
      <c r="D1714" s="1" t="s">
        <v>229</v>
      </c>
      <c r="E1714" s="1"/>
    </row>
    <row r="1715" spans="1:5" ht="16">
      <c r="A1715" s="1" t="s">
        <v>1047</v>
      </c>
      <c r="B1715" s="1" t="s">
        <v>1711</v>
      </c>
      <c r="C1715" s="1" t="s">
        <v>332</v>
      </c>
      <c r="D1715" s="1" t="s">
        <v>229</v>
      </c>
      <c r="E1715" s="1"/>
    </row>
    <row r="1716" spans="1:5" ht="16">
      <c r="A1716" s="1" t="s">
        <v>1047</v>
      </c>
      <c r="B1716" s="1" t="s">
        <v>1712</v>
      </c>
      <c r="C1716" s="1" t="s">
        <v>332</v>
      </c>
      <c r="D1716" s="1" t="s">
        <v>229</v>
      </c>
      <c r="E1716" s="1"/>
    </row>
    <row r="1717" spans="1:5" ht="16">
      <c r="A1717" s="1" t="s">
        <v>1047</v>
      </c>
      <c r="B1717" s="1" t="s">
        <v>1713</v>
      </c>
      <c r="C1717" s="1" t="s">
        <v>332</v>
      </c>
      <c r="D1717" s="1" t="s">
        <v>229</v>
      </c>
      <c r="E1717" s="1"/>
    </row>
    <row r="1718" spans="1:5" ht="16">
      <c r="A1718" s="1" t="s">
        <v>1047</v>
      </c>
      <c r="B1718" s="1" t="s">
        <v>1714</v>
      </c>
      <c r="C1718" s="1" t="s">
        <v>332</v>
      </c>
      <c r="D1718" s="1" t="s">
        <v>229</v>
      </c>
      <c r="E1718" s="1"/>
    </row>
    <row r="1719" spans="1:5" ht="16">
      <c r="A1719" s="1" t="s">
        <v>1047</v>
      </c>
      <c r="B1719" s="1" t="s">
        <v>1715</v>
      </c>
      <c r="C1719" s="1" t="s">
        <v>332</v>
      </c>
      <c r="D1719" s="1" t="s">
        <v>229</v>
      </c>
      <c r="E1719" s="1"/>
    </row>
    <row r="1720" spans="1:5" ht="16">
      <c r="A1720" s="1" t="s">
        <v>1047</v>
      </c>
      <c r="B1720" s="1" t="s">
        <v>1716</v>
      </c>
      <c r="C1720" s="1" t="s">
        <v>332</v>
      </c>
      <c r="D1720" s="1" t="s">
        <v>229</v>
      </c>
      <c r="E1720" s="1"/>
    </row>
    <row r="1721" spans="1:5" ht="16">
      <c r="A1721" s="1" t="s">
        <v>1047</v>
      </c>
      <c r="B1721" s="1" t="s">
        <v>1717</v>
      </c>
      <c r="C1721" s="1" t="s">
        <v>332</v>
      </c>
      <c r="D1721" s="1" t="s">
        <v>229</v>
      </c>
      <c r="E1721" s="1"/>
    </row>
    <row r="1722" spans="1:5" ht="16">
      <c r="A1722" s="1" t="s">
        <v>1047</v>
      </c>
      <c r="B1722" s="1" t="s">
        <v>1718</v>
      </c>
      <c r="C1722" s="1" t="s">
        <v>332</v>
      </c>
      <c r="D1722" s="1" t="s">
        <v>229</v>
      </c>
      <c r="E1722" s="1"/>
    </row>
    <row r="1723" spans="1:5" ht="16">
      <c r="A1723" s="1" t="s">
        <v>1047</v>
      </c>
      <c r="B1723" s="1" t="s">
        <v>1719</v>
      </c>
      <c r="C1723" s="1" t="s">
        <v>332</v>
      </c>
      <c r="D1723" s="1" t="s">
        <v>229</v>
      </c>
      <c r="E1723" s="1"/>
    </row>
    <row r="1724" spans="1:5" ht="16">
      <c r="A1724" s="1" t="s">
        <v>1047</v>
      </c>
      <c r="B1724" s="1" t="s">
        <v>1720</v>
      </c>
      <c r="C1724" s="1" t="s">
        <v>332</v>
      </c>
      <c r="D1724" s="1" t="s">
        <v>229</v>
      </c>
      <c r="E1724" s="1"/>
    </row>
    <row r="1725" spans="1:5" ht="16">
      <c r="A1725" s="1" t="s">
        <v>1047</v>
      </c>
      <c r="B1725" s="1" t="s">
        <v>1721</v>
      </c>
      <c r="C1725" s="1" t="s">
        <v>332</v>
      </c>
      <c r="D1725" s="1" t="s">
        <v>229</v>
      </c>
      <c r="E1725" s="1"/>
    </row>
    <row r="1726" spans="1:5" ht="16">
      <c r="A1726" s="1" t="s">
        <v>1047</v>
      </c>
      <c r="B1726" s="1" t="s">
        <v>1722</v>
      </c>
      <c r="C1726" s="1" t="s">
        <v>332</v>
      </c>
      <c r="D1726" s="1" t="s">
        <v>229</v>
      </c>
      <c r="E1726" s="1"/>
    </row>
    <row r="1727" spans="1:5" ht="16">
      <c r="A1727" s="1" t="s">
        <v>1047</v>
      </c>
      <c r="B1727" s="1" t="s">
        <v>1723</v>
      </c>
      <c r="C1727" s="1" t="s">
        <v>332</v>
      </c>
      <c r="D1727" s="1" t="s">
        <v>229</v>
      </c>
      <c r="E1727" s="1"/>
    </row>
    <row r="1728" spans="1:5" ht="16">
      <c r="A1728" s="1" t="s">
        <v>1047</v>
      </c>
      <c r="B1728" s="1" t="s">
        <v>1724</v>
      </c>
      <c r="C1728" s="1" t="s">
        <v>332</v>
      </c>
      <c r="D1728" s="1" t="s">
        <v>229</v>
      </c>
      <c r="E1728" s="1"/>
    </row>
    <row r="1729" spans="1:5" ht="16">
      <c r="A1729" s="1" t="s">
        <v>1047</v>
      </c>
      <c r="B1729" s="1" t="s">
        <v>1725</v>
      </c>
      <c r="C1729" s="1" t="s">
        <v>332</v>
      </c>
      <c r="D1729" s="1" t="s">
        <v>229</v>
      </c>
      <c r="E1729" s="1"/>
    </row>
    <row r="1730" spans="1:5" ht="16">
      <c r="A1730" s="1" t="s">
        <v>1047</v>
      </c>
      <c r="B1730" s="1" t="s">
        <v>1726</v>
      </c>
      <c r="C1730" s="1" t="s">
        <v>332</v>
      </c>
      <c r="D1730" s="1" t="s">
        <v>229</v>
      </c>
      <c r="E1730" s="1"/>
    </row>
    <row r="1731" spans="1:5" ht="16">
      <c r="A1731" s="1" t="s">
        <v>1047</v>
      </c>
      <c r="B1731" s="1" t="s">
        <v>1727</v>
      </c>
      <c r="C1731" s="1" t="s">
        <v>332</v>
      </c>
      <c r="D1731" s="1" t="s">
        <v>229</v>
      </c>
      <c r="E1731" s="1"/>
    </row>
    <row r="1732" spans="1:5" ht="16">
      <c r="A1732" s="1" t="s">
        <v>1047</v>
      </c>
      <c r="B1732" s="1" t="s">
        <v>1728</v>
      </c>
      <c r="C1732" s="1" t="s">
        <v>332</v>
      </c>
      <c r="D1732" s="1" t="s">
        <v>229</v>
      </c>
      <c r="E1732" s="1"/>
    </row>
    <row r="1733" spans="1:5" ht="16">
      <c r="A1733" s="1" t="s">
        <v>1047</v>
      </c>
      <c r="B1733" s="1" t="s">
        <v>1729</v>
      </c>
      <c r="C1733" s="1" t="s">
        <v>332</v>
      </c>
      <c r="D1733" s="1" t="s">
        <v>229</v>
      </c>
      <c r="E1733" s="1"/>
    </row>
    <row r="1734" spans="1:5" ht="16">
      <c r="A1734" s="1" t="s">
        <v>1047</v>
      </c>
      <c r="B1734" s="1" t="s">
        <v>1730</v>
      </c>
      <c r="C1734" s="1" t="s">
        <v>332</v>
      </c>
      <c r="D1734" s="1" t="s">
        <v>229</v>
      </c>
      <c r="E1734" s="1"/>
    </row>
    <row r="1735" spans="1:5" ht="16">
      <c r="A1735" s="1" t="s">
        <v>1047</v>
      </c>
      <c r="B1735" s="1" t="s">
        <v>1731</v>
      </c>
      <c r="C1735" s="1" t="s">
        <v>332</v>
      </c>
      <c r="D1735" s="1" t="s">
        <v>229</v>
      </c>
      <c r="E1735" s="1"/>
    </row>
    <row r="1736" spans="1:5" ht="16">
      <c r="A1736" s="1" t="s">
        <v>1047</v>
      </c>
      <c r="B1736" s="1" t="s">
        <v>1732</v>
      </c>
      <c r="C1736" s="1" t="s">
        <v>332</v>
      </c>
      <c r="D1736" s="1" t="s">
        <v>229</v>
      </c>
      <c r="E1736" s="1"/>
    </row>
    <row r="1737" spans="1:5" ht="16">
      <c r="A1737" s="1" t="s">
        <v>1047</v>
      </c>
      <c r="B1737" s="1" t="s">
        <v>1733</v>
      </c>
      <c r="C1737" s="1" t="s">
        <v>332</v>
      </c>
      <c r="D1737" s="1" t="s">
        <v>229</v>
      </c>
      <c r="E1737" s="1"/>
    </row>
    <row r="1738" spans="1:5" ht="16">
      <c r="A1738" s="1" t="s">
        <v>1047</v>
      </c>
      <c r="B1738" s="1" t="s">
        <v>1734</v>
      </c>
      <c r="C1738" s="1" t="s">
        <v>332</v>
      </c>
      <c r="D1738" s="1" t="s">
        <v>229</v>
      </c>
      <c r="E1738" s="1"/>
    </row>
    <row r="1739" spans="1:5" ht="16">
      <c r="A1739" s="1" t="s">
        <v>1047</v>
      </c>
      <c r="B1739" s="1" t="s">
        <v>1735</v>
      </c>
      <c r="C1739" s="1" t="s">
        <v>332</v>
      </c>
      <c r="D1739" s="1" t="s">
        <v>229</v>
      </c>
      <c r="E1739" s="1"/>
    </row>
    <row r="1740" spans="1:5" ht="16">
      <c r="A1740" s="1" t="s">
        <v>1047</v>
      </c>
      <c r="B1740" s="1" t="s">
        <v>1736</v>
      </c>
      <c r="C1740" s="1" t="s">
        <v>332</v>
      </c>
      <c r="D1740" s="1" t="s">
        <v>229</v>
      </c>
      <c r="E1740" s="1"/>
    </row>
    <row r="1741" spans="1:5" ht="16">
      <c r="A1741" s="1" t="s">
        <v>1047</v>
      </c>
      <c r="B1741" s="1" t="s">
        <v>1737</v>
      </c>
      <c r="C1741" s="1" t="s">
        <v>332</v>
      </c>
      <c r="D1741" s="1" t="s">
        <v>229</v>
      </c>
      <c r="E1741" s="1"/>
    </row>
    <row r="1742" spans="1:5" ht="16">
      <c r="A1742" s="1" t="s">
        <v>1047</v>
      </c>
      <c r="B1742" s="1" t="s">
        <v>1738</v>
      </c>
      <c r="C1742" s="1" t="s">
        <v>332</v>
      </c>
      <c r="D1742" s="1" t="s">
        <v>229</v>
      </c>
      <c r="E1742" s="1"/>
    </row>
    <row r="1743" spans="1:5" ht="16">
      <c r="A1743" s="1" t="s">
        <v>1047</v>
      </c>
      <c r="B1743" s="1" t="s">
        <v>1739</v>
      </c>
      <c r="C1743" s="1" t="s">
        <v>332</v>
      </c>
      <c r="D1743" s="1" t="s">
        <v>229</v>
      </c>
      <c r="E1743" s="1"/>
    </row>
    <row r="1744" spans="1:5" ht="16">
      <c r="A1744" s="1" t="s">
        <v>1047</v>
      </c>
      <c r="B1744" s="1" t="s">
        <v>1740</v>
      </c>
      <c r="C1744" s="1" t="s">
        <v>332</v>
      </c>
      <c r="D1744" s="1" t="s">
        <v>229</v>
      </c>
      <c r="E1744" s="1"/>
    </row>
    <row r="1745" spans="1:5" ht="16">
      <c r="A1745" s="1" t="s">
        <v>1047</v>
      </c>
      <c r="B1745" s="1" t="s">
        <v>1741</v>
      </c>
      <c r="C1745" s="1" t="s">
        <v>332</v>
      </c>
      <c r="D1745" s="1" t="s">
        <v>229</v>
      </c>
      <c r="E1745" s="1"/>
    </row>
    <row r="1746" spans="1:5" ht="16">
      <c r="A1746" s="1" t="s">
        <v>1047</v>
      </c>
      <c r="B1746" s="1" t="s">
        <v>1742</v>
      </c>
      <c r="C1746" s="1" t="s">
        <v>332</v>
      </c>
      <c r="D1746" s="1" t="s">
        <v>229</v>
      </c>
      <c r="E1746" s="1"/>
    </row>
    <row r="1747" spans="1:5" ht="16">
      <c r="A1747" s="1" t="s">
        <v>1047</v>
      </c>
      <c r="B1747" s="1" t="s">
        <v>1743</v>
      </c>
      <c r="C1747" s="1" t="s">
        <v>332</v>
      </c>
      <c r="D1747" s="1" t="s">
        <v>229</v>
      </c>
      <c r="E1747" s="1"/>
    </row>
    <row r="1748" spans="1:5" ht="16">
      <c r="A1748" s="1" t="s">
        <v>1047</v>
      </c>
      <c r="B1748" s="1" t="s">
        <v>1744</v>
      </c>
      <c r="C1748" s="1" t="s">
        <v>332</v>
      </c>
      <c r="D1748" s="1" t="s">
        <v>229</v>
      </c>
      <c r="E1748" s="1"/>
    </row>
    <row r="1749" spans="1:5" ht="16">
      <c r="A1749" s="1" t="s">
        <v>1047</v>
      </c>
      <c r="B1749" s="1" t="s">
        <v>1745</v>
      </c>
      <c r="C1749" s="1" t="s">
        <v>332</v>
      </c>
      <c r="D1749" s="1" t="s">
        <v>229</v>
      </c>
      <c r="E1749" s="1"/>
    </row>
    <row r="1750" spans="1:5" ht="16">
      <c r="A1750" s="1" t="s">
        <v>1047</v>
      </c>
      <c r="B1750" s="1" t="s">
        <v>1746</v>
      </c>
      <c r="C1750" s="1" t="s">
        <v>332</v>
      </c>
      <c r="D1750" s="1" t="s">
        <v>229</v>
      </c>
      <c r="E1750" s="1"/>
    </row>
    <row r="1751" spans="1:5" ht="16">
      <c r="A1751" s="1" t="s">
        <v>1047</v>
      </c>
      <c r="B1751" s="1" t="s">
        <v>1747</v>
      </c>
      <c r="C1751" s="1" t="s">
        <v>332</v>
      </c>
      <c r="D1751" s="1" t="s">
        <v>229</v>
      </c>
      <c r="E1751" s="1"/>
    </row>
    <row r="1752" spans="1:5" ht="16">
      <c r="A1752" s="1" t="s">
        <v>1047</v>
      </c>
      <c r="B1752" s="1" t="s">
        <v>1748</v>
      </c>
      <c r="C1752" s="1" t="s">
        <v>332</v>
      </c>
      <c r="D1752" s="1" t="s">
        <v>229</v>
      </c>
      <c r="E1752" s="1"/>
    </row>
    <row r="1753" spans="1:5" ht="16">
      <c r="A1753" s="1" t="s">
        <v>1047</v>
      </c>
      <c r="B1753" s="1" t="s">
        <v>1749</v>
      </c>
      <c r="C1753" s="1" t="s">
        <v>332</v>
      </c>
      <c r="D1753" s="1" t="s">
        <v>229</v>
      </c>
      <c r="E1753" s="1"/>
    </row>
    <row r="1754" spans="1:5" ht="16">
      <c r="A1754" s="1" t="s">
        <v>1047</v>
      </c>
      <c r="B1754" s="1" t="s">
        <v>1750</v>
      </c>
      <c r="C1754" s="1" t="s">
        <v>332</v>
      </c>
      <c r="D1754" s="1" t="s">
        <v>229</v>
      </c>
      <c r="E1754" s="1"/>
    </row>
    <row r="1755" spans="1:5" ht="16">
      <c r="A1755" s="1" t="s">
        <v>1047</v>
      </c>
      <c r="B1755" s="1" t="s">
        <v>1751</v>
      </c>
      <c r="C1755" s="1" t="s">
        <v>332</v>
      </c>
      <c r="D1755" s="1" t="s">
        <v>229</v>
      </c>
      <c r="E1755" s="1"/>
    </row>
    <row r="1756" spans="1:5" ht="16">
      <c r="A1756" s="1" t="s">
        <v>1047</v>
      </c>
      <c r="B1756" s="1" t="s">
        <v>1752</v>
      </c>
      <c r="C1756" s="1" t="s">
        <v>332</v>
      </c>
      <c r="D1756" s="1" t="s">
        <v>229</v>
      </c>
      <c r="E1756" s="1"/>
    </row>
    <row r="1757" spans="1:5" ht="16">
      <c r="A1757" s="1" t="s">
        <v>1047</v>
      </c>
      <c r="B1757" s="1" t="s">
        <v>1753</v>
      </c>
      <c r="C1757" s="1" t="s">
        <v>332</v>
      </c>
      <c r="D1757" s="1" t="s">
        <v>229</v>
      </c>
      <c r="E1757" s="1"/>
    </row>
    <row r="1758" spans="1:5" ht="16">
      <c r="A1758" s="1" t="s">
        <v>1047</v>
      </c>
      <c r="B1758" s="1" t="s">
        <v>1754</v>
      </c>
      <c r="C1758" s="1" t="s">
        <v>332</v>
      </c>
      <c r="D1758" s="1" t="s">
        <v>229</v>
      </c>
      <c r="E1758" s="1"/>
    </row>
    <row r="1759" spans="1:5" ht="16">
      <c r="A1759" s="1" t="s">
        <v>1047</v>
      </c>
      <c r="B1759" s="1" t="s">
        <v>1755</v>
      </c>
      <c r="C1759" s="1" t="s">
        <v>332</v>
      </c>
      <c r="D1759" s="1" t="s">
        <v>229</v>
      </c>
      <c r="E1759" s="1"/>
    </row>
    <row r="1760" spans="1:5" ht="16">
      <c r="A1760" s="1" t="s">
        <v>1047</v>
      </c>
      <c r="B1760" s="1" t="s">
        <v>1756</v>
      </c>
      <c r="C1760" s="1" t="s">
        <v>332</v>
      </c>
      <c r="D1760" s="1" t="s">
        <v>229</v>
      </c>
      <c r="E1760" s="1"/>
    </row>
    <row r="1761" spans="1:5" ht="16">
      <c r="A1761" s="1" t="s">
        <v>1047</v>
      </c>
      <c r="B1761" s="1" t="s">
        <v>1757</v>
      </c>
      <c r="C1761" s="1" t="s">
        <v>332</v>
      </c>
      <c r="D1761" s="1" t="s">
        <v>229</v>
      </c>
      <c r="E1761" s="1"/>
    </row>
    <row r="1762" spans="1:5" ht="16">
      <c r="A1762" s="1" t="s">
        <v>1047</v>
      </c>
      <c r="B1762" s="1" t="s">
        <v>1758</v>
      </c>
      <c r="C1762" s="1" t="s">
        <v>332</v>
      </c>
      <c r="D1762" s="1" t="s">
        <v>229</v>
      </c>
      <c r="E1762" s="1"/>
    </row>
    <row r="1763" spans="1:5" ht="16">
      <c r="A1763" s="1" t="s">
        <v>1047</v>
      </c>
      <c r="B1763" s="1" t="s">
        <v>1759</v>
      </c>
      <c r="C1763" s="1" t="s">
        <v>332</v>
      </c>
      <c r="D1763" s="1" t="s">
        <v>229</v>
      </c>
      <c r="E1763" s="1"/>
    </row>
    <row r="1764" spans="1:5" ht="16">
      <c r="A1764" s="1" t="s">
        <v>1047</v>
      </c>
      <c r="B1764" s="1" t="s">
        <v>1760</v>
      </c>
      <c r="C1764" s="1" t="s">
        <v>332</v>
      </c>
      <c r="D1764" s="1" t="s">
        <v>229</v>
      </c>
      <c r="E1764" s="1"/>
    </row>
    <row r="1765" spans="1:5" ht="16">
      <c r="A1765" s="1" t="s">
        <v>1047</v>
      </c>
      <c r="B1765" s="1" t="s">
        <v>1761</v>
      </c>
      <c r="C1765" s="1" t="s">
        <v>332</v>
      </c>
      <c r="D1765" s="1" t="s">
        <v>229</v>
      </c>
      <c r="E1765" s="1"/>
    </row>
    <row r="1766" spans="1:5" ht="16">
      <c r="A1766" s="1" t="s">
        <v>1047</v>
      </c>
      <c r="B1766" s="1" t="s">
        <v>1762</v>
      </c>
      <c r="C1766" s="1" t="s">
        <v>332</v>
      </c>
      <c r="D1766" s="1" t="s">
        <v>229</v>
      </c>
      <c r="E1766" s="1"/>
    </row>
    <row r="1767" spans="1:5" ht="16">
      <c r="A1767" s="1" t="s">
        <v>1047</v>
      </c>
      <c r="B1767" s="1" t="s">
        <v>1763</v>
      </c>
      <c r="C1767" s="1" t="s">
        <v>332</v>
      </c>
      <c r="D1767" s="1" t="s">
        <v>229</v>
      </c>
      <c r="E1767" s="1"/>
    </row>
    <row r="1768" spans="1:5" ht="16">
      <c r="A1768" s="1" t="s">
        <v>1047</v>
      </c>
      <c r="B1768" s="1" t="s">
        <v>1764</v>
      </c>
      <c r="C1768" s="1" t="s">
        <v>332</v>
      </c>
      <c r="D1768" s="1" t="s">
        <v>229</v>
      </c>
      <c r="E1768" s="1"/>
    </row>
    <row r="1769" spans="1:5" ht="16">
      <c r="A1769" s="1" t="s">
        <v>1047</v>
      </c>
      <c r="B1769" s="1" t="s">
        <v>1765</v>
      </c>
      <c r="C1769" s="1" t="s">
        <v>332</v>
      </c>
      <c r="D1769" s="1" t="s">
        <v>229</v>
      </c>
      <c r="E1769" s="1"/>
    </row>
    <row r="1770" spans="1:5" ht="16">
      <c r="A1770" s="1" t="s">
        <v>1047</v>
      </c>
      <c r="B1770" s="1" t="s">
        <v>1766</v>
      </c>
      <c r="C1770" s="1" t="s">
        <v>332</v>
      </c>
      <c r="D1770" s="1" t="s">
        <v>229</v>
      </c>
      <c r="E1770" s="1"/>
    </row>
    <row r="1771" spans="1:5" ht="16">
      <c r="A1771" s="1" t="s">
        <v>1047</v>
      </c>
      <c r="B1771" s="1" t="s">
        <v>1767</v>
      </c>
      <c r="C1771" s="1" t="s">
        <v>332</v>
      </c>
      <c r="D1771" s="1" t="s">
        <v>229</v>
      </c>
      <c r="E1771" s="1"/>
    </row>
    <row r="1772" spans="1:5" ht="16">
      <c r="A1772" s="1" t="s">
        <v>1047</v>
      </c>
      <c r="B1772" s="1" t="s">
        <v>1768</v>
      </c>
      <c r="C1772" s="1" t="s">
        <v>332</v>
      </c>
      <c r="D1772" s="1" t="s">
        <v>229</v>
      </c>
      <c r="E1772" s="1"/>
    </row>
    <row r="1773" spans="1:5" ht="16">
      <c r="A1773" s="1" t="s">
        <v>1047</v>
      </c>
      <c r="B1773" s="1" t="s">
        <v>1769</v>
      </c>
      <c r="C1773" s="1" t="s">
        <v>332</v>
      </c>
      <c r="D1773" s="1" t="s">
        <v>229</v>
      </c>
      <c r="E1773" s="1"/>
    </row>
    <row r="1774" spans="1:5" ht="16">
      <c r="A1774" s="1" t="s">
        <v>1047</v>
      </c>
      <c r="B1774" s="1" t="s">
        <v>1770</v>
      </c>
      <c r="C1774" s="1" t="s">
        <v>332</v>
      </c>
      <c r="D1774" s="1" t="s">
        <v>229</v>
      </c>
      <c r="E1774" s="1"/>
    </row>
    <row r="1775" spans="1:5" ht="16">
      <c r="A1775" s="1" t="s">
        <v>1047</v>
      </c>
      <c r="B1775" s="1" t="s">
        <v>1771</v>
      </c>
      <c r="C1775" s="1" t="s">
        <v>332</v>
      </c>
      <c r="D1775" s="1" t="s">
        <v>229</v>
      </c>
      <c r="E1775" s="1"/>
    </row>
    <row r="1776" spans="1:5" ht="16">
      <c r="A1776" s="1" t="s">
        <v>1047</v>
      </c>
      <c r="B1776" s="1" t="s">
        <v>1772</v>
      </c>
      <c r="C1776" s="1" t="s">
        <v>332</v>
      </c>
      <c r="D1776" s="1" t="s">
        <v>229</v>
      </c>
      <c r="E1776" s="1"/>
    </row>
    <row r="1777" spans="1:5" ht="16">
      <c r="A1777" s="1" t="s">
        <v>1047</v>
      </c>
      <c r="B1777" s="1" t="s">
        <v>1773</v>
      </c>
      <c r="C1777" s="1" t="s">
        <v>332</v>
      </c>
      <c r="D1777" s="1" t="s">
        <v>229</v>
      </c>
      <c r="E1777" s="1"/>
    </row>
    <row r="1778" spans="1:5" ht="16">
      <c r="A1778" s="1" t="s">
        <v>1047</v>
      </c>
      <c r="B1778" s="1" t="s">
        <v>1774</v>
      </c>
      <c r="C1778" s="1" t="s">
        <v>332</v>
      </c>
      <c r="D1778" s="1" t="s">
        <v>229</v>
      </c>
      <c r="E1778" s="1"/>
    </row>
    <row r="1779" spans="1:5" ht="16">
      <c r="A1779" s="1" t="s">
        <v>1047</v>
      </c>
      <c r="B1779" s="1" t="s">
        <v>1775</v>
      </c>
      <c r="C1779" s="1" t="s">
        <v>332</v>
      </c>
      <c r="D1779" s="1" t="s">
        <v>229</v>
      </c>
      <c r="E1779" s="1"/>
    </row>
    <row r="1780" spans="1:5" ht="16">
      <c r="A1780" s="1" t="s">
        <v>1047</v>
      </c>
      <c r="B1780" s="1" t="s">
        <v>1776</v>
      </c>
      <c r="C1780" s="1" t="s">
        <v>332</v>
      </c>
      <c r="D1780" s="1" t="s">
        <v>229</v>
      </c>
      <c r="E1780" s="1"/>
    </row>
    <row r="1781" spans="1:5" ht="16">
      <c r="A1781" s="1" t="s">
        <v>1047</v>
      </c>
      <c r="B1781" s="1" t="s">
        <v>1777</v>
      </c>
      <c r="C1781" s="1" t="s">
        <v>332</v>
      </c>
      <c r="D1781" s="1" t="s">
        <v>229</v>
      </c>
      <c r="E1781" s="1"/>
    </row>
    <row r="1782" spans="1:5" ht="16">
      <c r="A1782" s="1" t="s">
        <v>1047</v>
      </c>
      <c r="B1782" s="1" t="s">
        <v>1778</v>
      </c>
      <c r="C1782" s="1" t="s">
        <v>332</v>
      </c>
      <c r="D1782" s="1" t="s">
        <v>229</v>
      </c>
      <c r="E1782" s="1"/>
    </row>
    <row r="1783" spans="1:5" ht="16">
      <c r="A1783" s="1" t="s">
        <v>1047</v>
      </c>
      <c r="B1783" s="1" t="s">
        <v>1779</v>
      </c>
      <c r="C1783" s="1" t="s">
        <v>332</v>
      </c>
      <c r="D1783" s="1" t="s">
        <v>229</v>
      </c>
      <c r="E1783" s="1"/>
    </row>
    <row r="1784" spans="1:5" ht="16">
      <c r="A1784" s="1" t="s">
        <v>1047</v>
      </c>
      <c r="B1784" s="1" t="s">
        <v>1780</v>
      </c>
      <c r="C1784" s="1" t="s">
        <v>332</v>
      </c>
      <c r="D1784" s="1" t="s">
        <v>229</v>
      </c>
      <c r="E1784" s="1"/>
    </row>
    <row r="1785" spans="1:5" ht="16">
      <c r="A1785" s="1" t="s">
        <v>1047</v>
      </c>
      <c r="B1785" s="1" t="s">
        <v>1781</v>
      </c>
      <c r="C1785" s="1" t="s">
        <v>332</v>
      </c>
      <c r="D1785" s="1" t="s">
        <v>229</v>
      </c>
      <c r="E1785" s="1"/>
    </row>
    <row r="1786" spans="1:5" ht="16">
      <c r="A1786" s="1" t="s">
        <v>1047</v>
      </c>
      <c r="B1786" s="1" t="s">
        <v>1782</v>
      </c>
      <c r="C1786" s="1" t="s">
        <v>332</v>
      </c>
      <c r="D1786" s="1" t="s">
        <v>229</v>
      </c>
      <c r="E1786" s="1"/>
    </row>
    <row r="1787" spans="1:5" ht="16">
      <c r="A1787" s="1" t="s">
        <v>1047</v>
      </c>
      <c r="B1787" s="1" t="s">
        <v>1783</v>
      </c>
      <c r="C1787" s="1" t="s">
        <v>332</v>
      </c>
      <c r="D1787" s="1" t="s">
        <v>229</v>
      </c>
      <c r="E1787" s="1"/>
    </row>
    <row r="1788" spans="1:5" ht="16">
      <c r="A1788" s="1" t="s">
        <v>1047</v>
      </c>
      <c r="B1788" s="1" t="s">
        <v>1784</v>
      </c>
      <c r="C1788" s="1" t="s">
        <v>332</v>
      </c>
      <c r="D1788" s="1" t="s">
        <v>229</v>
      </c>
      <c r="E1788" s="1"/>
    </row>
    <row r="1789" spans="1:5" ht="16">
      <c r="A1789" s="1" t="s">
        <v>1047</v>
      </c>
      <c r="B1789" s="1" t="s">
        <v>1785</v>
      </c>
      <c r="C1789" s="1" t="s">
        <v>332</v>
      </c>
      <c r="D1789" s="1" t="s">
        <v>229</v>
      </c>
      <c r="E1789" s="1"/>
    </row>
    <row r="1790" spans="1:5" ht="16">
      <c r="A1790" s="1" t="s">
        <v>1047</v>
      </c>
      <c r="B1790" s="1" t="s">
        <v>1786</v>
      </c>
      <c r="C1790" s="1" t="s">
        <v>332</v>
      </c>
      <c r="D1790" s="1" t="s">
        <v>229</v>
      </c>
      <c r="E1790" s="1"/>
    </row>
    <row r="1791" spans="1:5" ht="16">
      <c r="A1791" s="1" t="s">
        <v>1047</v>
      </c>
      <c r="B1791" s="1" t="s">
        <v>1787</v>
      </c>
      <c r="C1791" s="1" t="s">
        <v>332</v>
      </c>
      <c r="D1791" s="1" t="s">
        <v>229</v>
      </c>
      <c r="E1791" s="1"/>
    </row>
    <row r="1792" spans="1:5" ht="16">
      <c r="A1792" s="1" t="s">
        <v>1047</v>
      </c>
      <c r="B1792" s="1" t="s">
        <v>1788</v>
      </c>
      <c r="C1792" s="1" t="s">
        <v>332</v>
      </c>
      <c r="D1792" s="1" t="s">
        <v>229</v>
      </c>
      <c r="E1792" s="1"/>
    </row>
    <row r="1793" spans="1:5" ht="16">
      <c r="A1793" s="1" t="s">
        <v>1047</v>
      </c>
      <c r="B1793" s="1" t="s">
        <v>1789</v>
      </c>
      <c r="C1793" s="1" t="s">
        <v>332</v>
      </c>
      <c r="D1793" s="1" t="s">
        <v>229</v>
      </c>
      <c r="E1793" s="1"/>
    </row>
    <row r="1794" spans="1:5" ht="16">
      <c r="A1794" s="1" t="s">
        <v>1047</v>
      </c>
      <c r="B1794" s="1" t="s">
        <v>1790</v>
      </c>
      <c r="C1794" s="1" t="s">
        <v>332</v>
      </c>
      <c r="D1794" s="1" t="s">
        <v>229</v>
      </c>
      <c r="E1794" s="1"/>
    </row>
    <row r="1795" spans="1:5" ht="16">
      <c r="A1795" s="1" t="s">
        <v>1047</v>
      </c>
      <c r="B1795" s="1" t="s">
        <v>1791</v>
      </c>
      <c r="C1795" s="1" t="s">
        <v>332</v>
      </c>
      <c r="D1795" s="1" t="s">
        <v>229</v>
      </c>
      <c r="E1795" s="1"/>
    </row>
    <row r="1796" spans="1:5" ht="16">
      <c r="A1796" s="1" t="s">
        <v>1047</v>
      </c>
      <c r="B1796" s="1" t="s">
        <v>1792</v>
      </c>
      <c r="C1796" s="1" t="s">
        <v>332</v>
      </c>
      <c r="D1796" s="1" t="s">
        <v>229</v>
      </c>
      <c r="E1796" s="1"/>
    </row>
    <row r="1797" spans="1:5" ht="16">
      <c r="A1797" s="1" t="s">
        <v>1047</v>
      </c>
      <c r="B1797" s="1" t="s">
        <v>1793</v>
      </c>
      <c r="C1797" s="1" t="s">
        <v>332</v>
      </c>
      <c r="D1797" s="1" t="s">
        <v>229</v>
      </c>
      <c r="E1797" s="1"/>
    </row>
    <row r="1798" spans="1:5" ht="16">
      <c r="A1798" s="1" t="s">
        <v>1047</v>
      </c>
      <c r="B1798" s="1" t="s">
        <v>1794</v>
      </c>
      <c r="C1798" s="1" t="s">
        <v>332</v>
      </c>
      <c r="D1798" s="1" t="s">
        <v>229</v>
      </c>
      <c r="E1798" s="1"/>
    </row>
    <row r="1799" spans="1:5" ht="16">
      <c r="A1799" s="1" t="s">
        <v>1047</v>
      </c>
      <c r="B1799" s="1" t="s">
        <v>1795</v>
      </c>
      <c r="C1799" s="1" t="s">
        <v>332</v>
      </c>
      <c r="D1799" s="1" t="s">
        <v>229</v>
      </c>
      <c r="E1799" s="1"/>
    </row>
    <row r="1800" spans="1:5" ht="16">
      <c r="A1800" s="1" t="s">
        <v>1796</v>
      </c>
      <c r="B1800" s="1" t="s">
        <v>1797</v>
      </c>
      <c r="C1800" s="1" t="s">
        <v>334</v>
      </c>
      <c r="D1800" s="1" t="s">
        <v>229</v>
      </c>
      <c r="E1800" s="1" t="s">
        <v>500</v>
      </c>
    </row>
    <row r="1801" spans="1:5" ht="16">
      <c r="A1801" s="1" t="s">
        <v>1796</v>
      </c>
      <c r="B1801" s="1" t="s">
        <v>1798</v>
      </c>
      <c r="C1801" s="1" t="s">
        <v>334</v>
      </c>
      <c r="D1801" s="1" t="s">
        <v>229</v>
      </c>
      <c r="E1801" s="1" t="s">
        <v>500</v>
      </c>
    </row>
    <row r="1802" spans="1:5" ht="16">
      <c r="A1802" s="1" t="s">
        <v>1796</v>
      </c>
      <c r="B1802" s="1" t="s">
        <v>1799</v>
      </c>
      <c r="C1802" s="1" t="s">
        <v>334</v>
      </c>
      <c r="D1802" s="1" t="s">
        <v>229</v>
      </c>
      <c r="E1802" s="1" t="s">
        <v>500</v>
      </c>
    </row>
    <row r="1803" spans="1:5" ht="16">
      <c r="A1803" s="1" t="s">
        <v>1796</v>
      </c>
      <c r="B1803" s="1" t="s">
        <v>1800</v>
      </c>
      <c r="C1803" s="1" t="s">
        <v>334</v>
      </c>
      <c r="D1803" s="1" t="s">
        <v>229</v>
      </c>
      <c r="E1803" s="1" t="s">
        <v>500</v>
      </c>
    </row>
    <row r="1804" spans="1:5" ht="16">
      <c r="A1804" s="1" t="s">
        <v>1796</v>
      </c>
      <c r="B1804" s="1" t="s">
        <v>1801</v>
      </c>
      <c r="C1804" s="1" t="s">
        <v>334</v>
      </c>
      <c r="D1804" s="1" t="s">
        <v>229</v>
      </c>
      <c r="E1804" s="1" t="s">
        <v>500</v>
      </c>
    </row>
    <row r="1805" spans="1:5" ht="16">
      <c r="A1805" s="1" t="s">
        <v>1796</v>
      </c>
      <c r="B1805" s="1" t="s">
        <v>1802</v>
      </c>
      <c r="C1805" s="1" t="s">
        <v>334</v>
      </c>
      <c r="D1805" s="1" t="s">
        <v>229</v>
      </c>
      <c r="E1805" s="1" t="s">
        <v>500</v>
      </c>
    </row>
    <row r="1806" spans="1:5" ht="16">
      <c r="A1806" s="1" t="s">
        <v>1796</v>
      </c>
      <c r="B1806" s="1" t="s">
        <v>1803</v>
      </c>
      <c r="C1806" s="1" t="s">
        <v>334</v>
      </c>
      <c r="D1806" s="1" t="s">
        <v>229</v>
      </c>
      <c r="E1806" s="1" t="s">
        <v>500</v>
      </c>
    </row>
    <row r="1807" spans="1:5" ht="16">
      <c r="A1807" s="1" t="s">
        <v>1796</v>
      </c>
      <c r="B1807" s="1" t="s">
        <v>1804</v>
      </c>
      <c r="C1807" s="1" t="s">
        <v>334</v>
      </c>
      <c r="D1807" s="1" t="s">
        <v>229</v>
      </c>
      <c r="E1807" s="1" t="s">
        <v>500</v>
      </c>
    </row>
    <row r="1808" spans="1:5" ht="16">
      <c r="A1808" s="1" t="s">
        <v>1796</v>
      </c>
      <c r="B1808" s="1" t="s">
        <v>1805</v>
      </c>
      <c r="C1808" s="1" t="s">
        <v>334</v>
      </c>
      <c r="D1808" s="1" t="s">
        <v>229</v>
      </c>
      <c r="E1808" s="1" t="s">
        <v>500</v>
      </c>
    </row>
    <row r="1809" spans="1:5" ht="16">
      <c r="A1809" s="1" t="s">
        <v>1796</v>
      </c>
      <c r="B1809" s="1" t="s">
        <v>1806</v>
      </c>
      <c r="C1809" s="1" t="s">
        <v>334</v>
      </c>
      <c r="D1809" s="1" t="s">
        <v>229</v>
      </c>
      <c r="E1809" s="1" t="s">
        <v>500</v>
      </c>
    </row>
    <row r="1810" spans="1:5" ht="16">
      <c r="A1810" s="1" t="s">
        <v>1796</v>
      </c>
      <c r="B1810" s="1" t="s">
        <v>1807</v>
      </c>
      <c r="C1810" s="1" t="s">
        <v>334</v>
      </c>
      <c r="D1810" s="1" t="s">
        <v>229</v>
      </c>
      <c r="E1810" s="1" t="s">
        <v>500</v>
      </c>
    </row>
    <row r="1811" spans="1:5" ht="16">
      <c r="A1811" s="1" t="s">
        <v>1796</v>
      </c>
      <c r="B1811" s="1" t="s">
        <v>1808</v>
      </c>
      <c r="C1811" s="1" t="s">
        <v>334</v>
      </c>
      <c r="D1811" s="1" t="s">
        <v>229</v>
      </c>
      <c r="E1811" s="1" t="s">
        <v>500</v>
      </c>
    </row>
    <row r="1812" spans="1:5" ht="16">
      <c r="A1812" s="1" t="s">
        <v>1796</v>
      </c>
      <c r="B1812" s="1" t="s">
        <v>1809</v>
      </c>
      <c r="C1812" s="1" t="s">
        <v>334</v>
      </c>
      <c r="D1812" s="1" t="s">
        <v>229</v>
      </c>
      <c r="E1812" s="1" t="s">
        <v>500</v>
      </c>
    </row>
    <row r="1813" spans="1:5" ht="16">
      <c r="A1813" s="1" t="s">
        <v>1796</v>
      </c>
      <c r="B1813" s="1" t="s">
        <v>1810</v>
      </c>
      <c r="C1813" s="1" t="s">
        <v>334</v>
      </c>
      <c r="D1813" s="1" t="s">
        <v>229</v>
      </c>
      <c r="E1813" s="1" t="s">
        <v>500</v>
      </c>
    </row>
    <row r="1814" spans="1:5" ht="16">
      <c r="A1814" s="1" t="s">
        <v>1796</v>
      </c>
      <c r="B1814" s="1" t="s">
        <v>1811</v>
      </c>
      <c r="C1814" s="1" t="s">
        <v>334</v>
      </c>
      <c r="D1814" s="1" t="s">
        <v>229</v>
      </c>
      <c r="E1814" s="1" t="s">
        <v>500</v>
      </c>
    </row>
    <row r="1815" spans="1:5" ht="16">
      <c r="A1815" s="1" t="s">
        <v>1796</v>
      </c>
      <c r="B1815" s="1" t="s">
        <v>1812</v>
      </c>
      <c r="C1815" s="1" t="s">
        <v>334</v>
      </c>
      <c r="D1815" s="1" t="s">
        <v>229</v>
      </c>
      <c r="E1815" s="1" t="s">
        <v>500</v>
      </c>
    </row>
    <row r="1816" spans="1:5" ht="16">
      <c r="A1816" s="1" t="s">
        <v>1796</v>
      </c>
      <c r="B1816" s="1" t="s">
        <v>1813</v>
      </c>
      <c r="C1816" s="1" t="s">
        <v>334</v>
      </c>
      <c r="D1816" s="1" t="s">
        <v>229</v>
      </c>
      <c r="E1816" s="1" t="s">
        <v>500</v>
      </c>
    </row>
    <row r="1817" spans="1:5" ht="16">
      <c r="A1817" s="1" t="s">
        <v>1796</v>
      </c>
      <c r="B1817" s="1" t="s">
        <v>1814</v>
      </c>
      <c r="C1817" s="1" t="s">
        <v>334</v>
      </c>
      <c r="D1817" s="1" t="s">
        <v>229</v>
      </c>
      <c r="E1817" s="1" t="s">
        <v>500</v>
      </c>
    </row>
    <row r="1818" spans="1:5" ht="16">
      <c r="A1818" s="1" t="s">
        <v>1796</v>
      </c>
      <c r="B1818" s="1" t="s">
        <v>1815</v>
      </c>
      <c r="C1818" s="1" t="s">
        <v>334</v>
      </c>
      <c r="D1818" s="1" t="s">
        <v>229</v>
      </c>
      <c r="E1818" s="1" t="s">
        <v>500</v>
      </c>
    </row>
    <row r="1819" spans="1:5" ht="16">
      <c r="A1819" s="1" t="s">
        <v>1796</v>
      </c>
      <c r="B1819" s="1" t="s">
        <v>1816</v>
      </c>
      <c r="C1819" s="1" t="s">
        <v>334</v>
      </c>
      <c r="D1819" s="1" t="s">
        <v>229</v>
      </c>
      <c r="E1819" s="1" t="s">
        <v>500</v>
      </c>
    </row>
    <row r="1820" spans="1:5" ht="16">
      <c r="A1820" s="1" t="s">
        <v>1796</v>
      </c>
      <c r="B1820" s="1" t="s">
        <v>1817</v>
      </c>
      <c r="C1820" s="1" t="s">
        <v>334</v>
      </c>
      <c r="D1820" s="1" t="s">
        <v>229</v>
      </c>
      <c r="E1820" s="1" t="s">
        <v>500</v>
      </c>
    </row>
    <row r="1821" spans="1:5" ht="16">
      <c r="A1821" s="1" t="s">
        <v>1796</v>
      </c>
      <c r="B1821" s="1" t="s">
        <v>1818</v>
      </c>
      <c r="C1821" s="1" t="s">
        <v>334</v>
      </c>
      <c r="D1821" s="1" t="s">
        <v>229</v>
      </c>
      <c r="E1821" s="1" t="s">
        <v>500</v>
      </c>
    </row>
    <row r="1822" spans="1:5" ht="16">
      <c r="A1822" s="1" t="s">
        <v>1796</v>
      </c>
      <c r="B1822" s="1" t="s">
        <v>1819</v>
      </c>
      <c r="C1822" s="1" t="s">
        <v>334</v>
      </c>
      <c r="D1822" s="1" t="s">
        <v>229</v>
      </c>
      <c r="E1822" s="1" t="s">
        <v>500</v>
      </c>
    </row>
    <row r="1823" spans="1:5" ht="16">
      <c r="A1823" s="1" t="s">
        <v>1796</v>
      </c>
      <c r="B1823" s="1" t="s">
        <v>1820</v>
      </c>
      <c r="C1823" s="1" t="s">
        <v>334</v>
      </c>
      <c r="D1823" s="1" t="s">
        <v>229</v>
      </c>
      <c r="E1823" s="1" t="s">
        <v>500</v>
      </c>
    </row>
    <row r="1824" spans="1:5" ht="16">
      <c r="A1824" s="1" t="s">
        <v>1796</v>
      </c>
      <c r="B1824" s="1" t="s">
        <v>1821</v>
      </c>
      <c r="C1824" s="1" t="s">
        <v>334</v>
      </c>
      <c r="D1824" s="1" t="s">
        <v>229</v>
      </c>
      <c r="E1824" s="1" t="s">
        <v>500</v>
      </c>
    </row>
    <row r="1825" spans="1:5" ht="16">
      <c r="A1825" s="1" t="s">
        <v>1796</v>
      </c>
      <c r="B1825" s="1" t="s">
        <v>1822</v>
      </c>
      <c r="C1825" s="1" t="s">
        <v>334</v>
      </c>
      <c r="D1825" s="1" t="s">
        <v>229</v>
      </c>
      <c r="E1825" s="1" t="s">
        <v>500</v>
      </c>
    </row>
    <row r="1826" spans="1:5" ht="16">
      <c r="A1826" s="1" t="s">
        <v>1796</v>
      </c>
      <c r="B1826" s="1" t="s">
        <v>1823</v>
      </c>
      <c r="C1826" s="1" t="s">
        <v>334</v>
      </c>
      <c r="D1826" s="1" t="s">
        <v>229</v>
      </c>
      <c r="E1826" s="1" t="s">
        <v>500</v>
      </c>
    </row>
    <row r="1827" spans="1:5" ht="16">
      <c r="A1827" s="1" t="s">
        <v>1796</v>
      </c>
      <c r="B1827" s="1" t="s">
        <v>1824</v>
      </c>
      <c r="C1827" s="1" t="s">
        <v>334</v>
      </c>
      <c r="D1827" s="1" t="s">
        <v>229</v>
      </c>
      <c r="E1827" s="1" t="s">
        <v>500</v>
      </c>
    </row>
    <row r="1828" spans="1:5" ht="16">
      <c r="A1828" s="1" t="s">
        <v>1796</v>
      </c>
      <c r="B1828" s="1" t="s">
        <v>1825</v>
      </c>
      <c r="C1828" s="1" t="s">
        <v>334</v>
      </c>
      <c r="D1828" s="1" t="s">
        <v>229</v>
      </c>
      <c r="E1828" s="1" t="s">
        <v>500</v>
      </c>
    </row>
    <row r="1829" spans="1:5" ht="16">
      <c r="A1829" s="1" t="s">
        <v>1796</v>
      </c>
      <c r="B1829" s="1" t="s">
        <v>1826</v>
      </c>
      <c r="C1829" s="1" t="s">
        <v>334</v>
      </c>
      <c r="D1829" s="1" t="s">
        <v>229</v>
      </c>
      <c r="E1829" s="1" t="s">
        <v>500</v>
      </c>
    </row>
    <row r="1830" spans="1:5" ht="16">
      <c r="A1830" s="1" t="s">
        <v>1796</v>
      </c>
      <c r="B1830" s="1" t="s">
        <v>1827</v>
      </c>
      <c r="C1830" s="1" t="s">
        <v>334</v>
      </c>
      <c r="D1830" s="1" t="s">
        <v>229</v>
      </c>
      <c r="E1830" s="1" t="s">
        <v>500</v>
      </c>
    </row>
    <row r="1831" spans="1:5" ht="16">
      <c r="A1831" s="1" t="s">
        <v>1796</v>
      </c>
      <c r="B1831" s="1" t="s">
        <v>1828</v>
      </c>
      <c r="C1831" s="1" t="s">
        <v>334</v>
      </c>
      <c r="D1831" s="1" t="s">
        <v>229</v>
      </c>
      <c r="E1831" s="1" t="s">
        <v>500</v>
      </c>
    </row>
    <row r="1832" spans="1:5" ht="16">
      <c r="A1832" s="1" t="s">
        <v>1796</v>
      </c>
      <c r="B1832" s="1" t="s">
        <v>1829</v>
      </c>
      <c r="C1832" s="1" t="s">
        <v>334</v>
      </c>
      <c r="D1832" s="1" t="s">
        <v>229</v>
      </c>
      <c r="E1832" s="1" t="s">
        <v>500</v>
      </c>
    </row>
    <row r="1833" spans="1:5" ht="16">
      <c r="A1833" s="1" t="s">
        <v>1796</v>
      </c>
      <c r="B1833" s="1" t="s">
        <v>1830</v>
      </c>
      <c r="C1833" s="1" t="s">
        <v>334</v>
      </c>
      <c r="D1833" s="1" t="s">
        <v>229</v>
      </c>
      <c r="E1833" s="1" t="s">
        <v>500</v>
      </c>
    </row>
    <row r="1834" spans="1:5" ht="16">
      <c r="A1834" s="1" t="s">
        <v>1796</v>
      </c>
      <c r="B1834" s="1" t="s">
        <v>1831</v>
      </c>
      <c r="C1834" s="1" t="s">
        <v>334</v>
      </c>
      <c r="D1834" s="1" t="s">
        <v>229</v>
      </c>
      <c r="E1834" s="1" t="s">
        <v>500</v>
      </c>
    </row>
    <row r="1835" spans="1:5" ht="16">
      <c r="A1835" s="1" t="s">
        <v>1796</v>
      </c>
      <c r="B1835" s="1" t="s">
        <v>1832</v>
      </c>
      <c r="C1835" s="1" t="s">
        <v>364</v>
      </c>
      <c r="D1835" s="1" t="s">
        <v>229</v>
      </c>
      <c r="E1835" s="1"/>
    </row>
    <row r="1836" spans="1:5" ht="16">
      <c r="A1836" s="1" t="s">
        <v>1796</v>
      </c>
      <c r="B1836" s="1" t="s">
        <v>1833</v>
      </c>
      <c r="C1836" s="1" t="s">
        <v>364</v>
      </c>
      <c r="D1836" s="1" t="s">
        <v>229</v>
      </c>
      <c r="E1836" s="1"/>
    </row>
    <row r="1837" spans="1:5" ht="16">
      <c r="A1837" s="1" t="s">
        <v>1796</v>
      </c>
      <c r="B1837" s="1" t="s">
        <v>1834</v>
      </c>
      <c r="C1837" s="1" t="s">
        <v>364</v>
      </c>
      <c r="D1837" s="1" t="s">
        <v>229</v>
      </c>
      <c r="E1837" s="1"/>
    </row>
    <row r="1838" spans="1:5" ht="16">
      <c r="A1838" s="1" t="s">
        <v>1796</v>
      </c>
      <c r="B1838" s="1" t="s">
        <v>1835</v>
      </c>
      <c r="C1838" s="1" t="s">
        <v>364</v>
      </c>
      <c r="D1838" s="1" t="s">
        <v>229</v>
      </c>
      <c r="E1838" s="1"/>
    </row>
    <row r="1839" spans="1:5" ht="16">
      <c r="A1839" s="1" t="s">
        <v>1796</v>
      </c>
      <c r="B1839" s="1" t="s">
        <v>1836</v>
      </c>
      <c r="C1839" s="1" t="s">
        <v>364</v>
      </c>
      <c r="D1839" s="1" t="s">
        <v>229</v>
      </c>
      <c r="E1839" s="1"/>
    </row>
    <row r="1840" spans="1:5" ht="16">
      <c r="A1840" s="1" t="s">
        <v>1796</v>
      </c>
      <c r="B1840" s="1" t="s">
        <v>1837</v>
      </c>
      <c r="C1840" s="1" t="s">
        <v>364</v>
      </c>
      <c r="D1840" s="1" t="s">
        <v>229</v>
      </c>
      <c r="E1840" s="1"/>
    </row>
    <row r="1841" spans="1:5" ht="16">
      <c r="A1841" s="1" t="s">
        <v>1796</v>
      </c>
      <c r="B1841" s="1" t="s">
        <v>1838</v>
      </c>
      <c r="C1841" s="1" t="s">
        <v>364</v>
      </c>
      <c r="D1841" s="1" t="s">
        <v>229</v>
      </c>
      <c r="E1841" s="1"/>
    </row>
    <row r="1842" spans="1:5" ht="16">
      <c r="A1842" s="1" t="s">
        <v>1796</v>
      </c>
      <c r="B1842" s="1" t="s">
        <v>1839</v>
      </c>
      <c r="C1842" s="1" t="s">
        <v>364</v>
      </c>
      <c r="D1842" s="1" t="s">
        <v>229</v>
      </c>
      <c r="E1842" s="1"/>
    </row>
    <row r="1843" spans="1:5" ht="16">
      <c r="A1843" s="1" t="s">
        <v>1796</v>
      </c>
      <c r="B1843" s="1" t="s">
        <v>1840</v>
      </c>
      <c r="C1843" s="1" t="s">
        <v>364</v>
      </c>
      <c r="D1843" s="1" t="s">
        <v>229</v>
      </c>
      <c r="E1843" s="1"/>
    </row>
    <row r="1844" spans="1:5" ht="16">
      <c r="A1844" s="1" t="s">
        <v>1796</v>
      </c>
      <c r="B1844" s="1" t="s">
        <v>1841</v>
      </c>
      <c r="C1844" s="1" t="s">
        <v>364</v>
      </c>
      <c r="D1844" s="1" t="s">
        <v>229</v>
      </c>
      <c r="E1844" s="1"/>
    </row>
    <row r="1845" spans="1:5" ht="16">
      <c r="A1845" s="1" t="s">
        <v>1796</v>
      </c>
      <c r="B1845" s="1" t="s">
        <v>1842</v>
      </c>
      <c r="C1845" s="1" t="s">
        <v>364</v>
      </c>
      <c r="D1845" s="1" t="s">
        <v>229</v>
      </c>
      <c r="E1845" s="1"/>
    </row>
    <row r="1846" spans="1:5" ht="16">
      <c r="A1846" s="1" t="s">
        <v>1796</v>
      </c>
      <c r="B1846" s="1" t="s">
        <v>1843</v>
      </c>
      <c r="C1846" s="1" t="s">
        <v>334</v>
      </c>
      <c r="D1846" s="1" t="s">
        <v>229</v>
      </c>
      <c r="E1846" s="1"/>
    </row>
    <row r="1847" spans="1:5" ht="16">
      <c r="A1847" s="1" t="s">
        <v>1796</v>
      </c>
      <c r="B1847" s="1" t="s">
        <v>1844</v>
      </c>
      <c r="C1847" s="1" t="s">
        <v>364</v>
      </c>
      <c r="D1847" s="1" t="s">
        <v>229</v>
      </c>
      <c r="E1847" s="1"/>
    </row>
    <row r="1848" spans="1:5" ht="16">
      <c r="A1848" s="1" t="s">
        <v>1796</v>
      </c>
      <c r="B1848" s="1" t="s">
        <v>1845</v>
      </c>
      <c r="C1848" s="1" t="s">
        <v>364</v>
      </c>
      <c r="D1848" s="1" t="s">
        <v>229</v>
      </c>
      <c r="E1848" s="1"/>
    </row>
    <row r="1849" spans="1:5" ht="16">
      <c r="A1849" s="1" t="s">
        <v>1796</v>
      </c>
      <c r="B1849" s="1" t="s">
        <v>1846</v>
      </c>
      <c r="C1849" s="1" t="s">
        <v>364</v>
      </c>
      <c r="D1849" s="1" t="s">
        <v>355</v>
      </c>
      <c r="E1849" s="1"/>
    </row>
    <row r="1850" spans="1:5" ht="16">
      <c r="A1850" s="1" t="s">
        <v>1796</v>
      </c>
      <c r="B1850" s="1" t="s">
        <v>1847</v>
      </c>
      <c r="C1850" s="1" t="s">
        <v>364</v>
      </c>
      <c r="D1850" s="1" t="s">
        <v>355</v>
      </c>
      <c r="E1850" s="1"/>
    </row>
    <row r="1851" spans="1:5" ht="16">
      <c r="A1851" s="1" t="s">
        <v>1848</v>
      </c>
      <c r="B1851" s="1" t="s">
        <v>1849</v>
      </c>
      <c r="C1851" s="1" t="s">
        <v>332</v>
      </c>
      <c r="D1851" s="1" t="s">
        <v>229</v>
      </c>
      <c r="E1851" s="1"/>
    </row>
    <row r="1852" spans="1:5" ht="16">
      <c r="A1852" s="1" t="s">
        <v>1848</v>
      </c>
      <c r="B1852" s="1" t="s">
        <v>1850</v>
      </c>
      <c r="C1852" s="1" t="s">
        <v>332</v>
      </c>
      <c r="D1852" s="1" t="s">
        <v>229</v>
      </c>
      <c r="E1852" s="1"/>
    </row>
    <row r="1853" spans="1:5" ht="16">
      <c r="A1853" s="1" t="s">
        <v>1848</v>
      </c>
      <c r="B1853" s="1" t="s">
        <v>1851</v>
      </c>
      <c r="C1853" s="1" t="s">
        <v>332</v>
      </c>
      <c r="D1853" s="1" t="s">
        <v>229</v>
      </c>
      <c r="E1853" s="1"/>
    </row>
    <row r="1854" spans="1:5" ht="16">
      <c r="A1854" s="1" t="s">
        <v>1848</v>
      </c>
      <c r="B1854" s="1" t="s">
        <v>1852</v>
      </c>
      <c r="C1854" s="1" t="s">
        <v>332</v>
      </c>
      <c r="D1854" s="1" t="s">
        <v>229</v>
      </c>
      <c r="E1854" s="1"/>
    </row>
    <row r="1855" spans="1:5" ht="16">
      <c r="A1855" s="1" t="s">
        <v>1848</v>
      </c>
      <c r="B1855" s="1" t="s">
        <v>1853</v>
      </c>
      <c r="C1855" s="1" t="s">
        <v>319</v>
      </c>
      <c r="D1855" s="1" t="s">
        <v>229</v>
      </c>
      <c r="E1855" s="1"/>
    </row>
    <row r="1856" spans="1:5" ht="16">
      <c r="A1856" s="1" t="s">
        <v>1848</v>
      </c>
      <c r="B1856" s="1" t="s">
        <v>1854</v>
      </c>
      <c r="C1856" s="1" t="s">
        <v>332</v>
      </c>
      <c r="D1856" s="1" t="s">
        <v>229</v>
      </c>
      <c r="E1856" s="1"/>
    </row>
    <row r="1857" spans="1:5" ht="16">
      <c r="A1857" s="1" t="s">
        <v>1848</v>
      </c>
      <c r="B1857" s="1" t="s">
        <v>1855</v>
      </c>
      <c r="C1857" s="1" t="s">
        <v>332</v>
      </c>
      <c r="D1857" s="1" t="s">
        <v>229</v>
      </c>
      <c r="E1857" s="1"/>
    </row>
    <row r="1858" spans="1:5" ht="16">
      <c r="A1858" s="1" t="s">
        <v>1848</v>
      </c>
      <c r="B1858" s="1" t="s">
        <v>1856</v>
      </c>
      <c r="C1858" s="1" t="s">
        <v>319</v>
      </c>
      <c r="D1858" s="1" t="s">
        <v>229</v>
      </c>
      <c r="E1858" s="1"/>
    </row>
    <row r="1859" spans="1:5" ht="16">
      <c r="A1859" s="1" t="s">
        <v>1857</v>
      </c>
      <c r="B1859" s="1" t="s">
        <v>1858</v>
      </c>
      <c r="C1859" s="1" t="s">
        <v>234</v>
      </c>
      <c r="D1859" s="1" t="s">
        <v>229</v>
      </c>
      <c r="E1859" s="1"/>
    </row>
    <row r="1860" spans="1:5" ht="16">
      <c r="A1860" s="1" t="s">
        <v>1857</v>
      </c>
      <c r="B1860" s="1" t="s">
        <v>1859</v>
      </c>
      <c r="C1860" s="1" t="s">
        <v>234</v>
      </c>
      <c r="D1860" s="1" t="s">
        <v>229</v>
      </c>
      <c r="E1860" s="1"/>
    </row>
    <row r="1861" spans="1:5" ht="16">
      <c r="A1861" s="1" t="s">
        <v>1860</v>
      </c>
      <c r="B1861" s="1" t="s">
        <v>1861</v>
      </c>
      <c r="C1861" s="1" t="s">
        <v>307</v>
      </c>
      <c r="D1861" s="1" t="s">
        <v>229</v>
      </c>
      <c r="E1861" s="1"/>
    </row>
    <row r="1862" spans="1:5" ht="16">
      <c r="A1862" s="1" t="s">
        <v>1860</v>
      </c>
      <c r="B1862" s="1" t="s">
        <v>1862</v>
      </c>
      <c r="C1862" s="1" t="s">
        <v>234</v>
      </c>
      <c r="D1862" s="1" t="s">
        <v>229</v>
      </c>
      <c r="E1862" s="1"/>
    </row>
    <row r="1863" spans="1:5" ht="16">
      <c r="A1863" s="1" t="s">
        <v>1863</v>
      </c>
      <c r="B1863" s="1" t="s">
        <v>1864</v>
      </c>
      <c r="C1863" s="1" t="s">
        <v>334</v>
      </c>
      <c r="D1863" s="1" t="s">
        <v>229</v>
      </c>
      <c r="E1863" s="1"/>
    </row>
    <row r="1864" spans="1:5" ht="16">
      <c r="A1864" s="1" t="s">
        <v>1863</v>
      </c>
      <c r="B1864" s="1" t="s">
        <v>1865</v>
      </c>
      <c r="C1864" s="1" t="s">
        <v>334</v>
      </c>
      <c r="D1864" s="1" t="s">
        <v>229</v>
      </c>
      <c r="E1864" s="1"/>
    </row>
    <row r="1865" spans="1:5" ht="16">
      <c r="A1865" s="1" t="s">
        <v>1863</v>
      </c>
      <c r="B1865" s="1" t="s">
        <v>1866</v>
      </c>
      <c r="C1865" s="1" t="s">
        <v>228</v>
      </c>
      <c r="D1865" s="1" t="s">
        <v>229</v>
      </c>
      <c r="E1865" s="1"/>
    </row>
    <row r="1866" spans="1:5" ht="16">
      <c r="A1866" s="1" t="s">
        <v>1863</v>
      </c>
      <c r="B1866" s="1" t="s">
        <v>1867</v>
      </c>
      <c r="C1866" s="1" t="s">
        <v>228</v>
      </c>
      <c r="D1866" s="1" t="s">
        <v>229</v>
      </c>
      <c r="E1866" s="1"/>
    </row>
    <row r="1867" spans="1:5" ht="16">
      <c r="A1867" s="1" t="s">
        <v>1863</v>
      </c>
      <c r="B1867" s="1" t="s">
        <v>1868</v>
      </c>
      <c r="C1867" s="1" t="s">
        <v>228</v>
      </c>
      <c r="D1867" s="1" t="s">
        <v>229</v>
      </c>
      <c r="E1867" s="1"/>
    </row>
    <row r="1868" spans="1:5" ht="16">
      <c r="A1868" s="1" t="s">
        <v>1863</v>
      </c>
      <c r="B1868" s="1" t="s">
        <v>1869</v>
      </c>
      <c r="C1868" s="1" t="s">
        <v>228</v>
      </c>
      <c r="D1868" s="1" t="s">
        <v>229</v>
      </c>
      <c r="E1868" s="1"/>
    </row>
    <row r="1869" spans="1:5" ht="16">
      <c r="A1869" s="1" t="s">
        <v>1863</v>
      </c>
      <c r="B1869" s="1" t="s">
        <v>1870</v>
      </c>
      <c r="C1869" s="1" t="s">
        <v>228</v>
      </c>
      <c r="D1869" s="1" t="s">
        <v>229</v>
      </c>
      <c r="E1869" s="1"/>
    </row>
    <row r="1870" spans="1:5" ht="16">
      <c r="A1870" s="1" t="s">
        <v>1863</v>
      </c>
      <c r="B1870" s="1" t="s">
        <v>1871</v>
      </c>
      <c r="C1870" s="1" t="s">
        <v>228</v>
      </c>
      <c r="D1870" s="1" t="s">
        <v>229</v>
      </c>
      <c r="E1870" s="1"/>
    </row>
    <row r="1871" spans="1:5" ht="16">
      <c r="A1871" s="1" t="s">
        <v>1863</v>
      </c>
      <c r="B1871" s="1" t="s">
        <v>1872</v>
      </c>
      <c r="C1871" s="1" t="s">
        <v>234</v>
      </c>
      <c r="D1871" s="1" t="s">
        <v>229</v>
      </c>
      <c r="E1871" s="1"/>
    </row>
    <row r="1872" spans="1:5" ht="16">
      <c r="A1872" s="1" t="s">
        <v>1863</v>
      </c>
      <c r="B1872" s="1" t="s">
        <v>1873</v>
      </c>
      <c r="C1872" s="1" t="s">
        <v>234</v>
      </c>
      <c r="D1872" s="1" t="s">
        <v>229</v>
      </c>
      <c r="E1872" s="1"/>
    </row>
    <row r="1873" spans="1:5" ht="16">
      <c r="A1873" s="1" t="s">
        <v>1863</v>
      </c>
      <c r="B1873" s="1" t="s">
        <v>1874</v>
      </c>
      <c r="C1873" s="1" t="s">
        <v>334</v>
      </c>
      <c r="D1873" s="1" t="s">
        <v>229</v>
      </c>
      <c r="E1873" s="1" t="s">
        <v>500</v>
      </c>
    </row>
    <row r="1874" spans="1:5" ht="16">
      <c r="A1874" s="1" t="s">
        <v>1863</v>
      </c>
      <c r="B1874" s="1" t="s">
        <v>1875</v>
      </c>
      <c r="C1874" s="1" t="s">
        <v>334</v>
      </c>
      <c r="D1874" s="1" t="s">
        <v>229</v>
      </c>
      <c r="E1874" s="1" t="s">
        <v>500</v>
      </c>
    </row>
    <row r="1875" spans="1:5" ht="16">
      <c r="A1875" s="1" t="s">
        <v>1863</v>
      </c>
      <c r="B1875" s="1" t="s">
        <v>1876</v>
      </c>
      <c r="C1875" s="1" t="s">
        <v>334</v>
      </c>
      <c r="D1875" s="1" t="s">
        <v>229</v>
      </c>
      <c r="E1875" s="1" t="s">
        <v>500</v>
      </c>
    </row>
    <row r="1876" spans="1:5" ht="16">
      <c r="A1876" s="1" t="s">
        <v>1863</v>
      </c>
      <c r="B1876" s="1" t="s">
        <v>1877</v>
      </c>
      <c r="C1876" s="1" t="s">
        <v>334</v>
      </c>
      <c r="D1876" s="1" t="s">
        <v>229</v>
      </c>
      <c r="E1876" s="1" t="s">
        <v>500</v>
      </c>
    </row>
    <row r="1877" spans="1:5" ht="16">
      <c r="A1877" s="1" t="s">
        <v>1863</v>
      </c>
      <c r="B1877" s="1" t="s">
        <v>1877</v>
      </c>
      <c r="C1877" s="1" t="s">
        <v>334</v>
      </c>
      <c r="D1877" s="1" t="s">
        <v>229</v>
      </c>
      <c r="E1877" s="1" t="s">
        <v>500</v>
      </c>
    </row>
    <row r="1878" spans="1:5" ht="16">
      <c r="A1878" s="1" t="s">
        <v>1863</v>
      </c>
      <c r="B1878" s="1" t="s">
        <v>1877</v>
      </c>
      <c r="C1878" s="1" t="s">
        <v>334</v>
      </c>
      <c r="D1878" s="1" t="s">
        <v>229</v>
      </c>
      <c r="E1878" s="1" t="s">
        <v>500</v>
      </c>
    </row>
    <row r="1879" spans="1:5" ht="16">
      <c r="A1879" s="1" t="s">
        <v>1863</v>
      </c>
      <c r="B1879" s="1" t="s">
        <v>1877</v>
      </c>
      <c r="C1879" s="1" t="s">
        <v>334</v>
      </c>
      <c r="D1879" s="1" t="s">
        <v>229</v>
      </c>
      <c r="E1879" s="1" t="s">
        <v>500</v>
      </c>
    </row>
    <row r="1880" spans="1:5" ht="16">
      <c r="A1880" s="1" t="s">
        <v>1863</v>
      </c>
      <c r="B1880" s="1" t="s">
        <v>1878</v>
      </c>
      <c r="C1880" s="1" t="s">
        <v>364</v>
      </c>
      <c r="D1880" s="1" t="s">
        <v>229</v>
      </c>
      <c r="E1880" s="1"/>
    </row>
    <row r="1881" spans="1:5" ht="16">
      <c r="A1881" s="1" t="s">
        <v>1863</v>
      </c>
      <c r="B1881" s="1" t="s">
        <v>1879</v>
      </c>
      <c r="C1881" s="1" t="s">
        <v>364</v>
      </c>
      <c r="D1881" s="1" t="s">
        <v>229</v>
      </c>
      <c r="E1881" s="1"/>
    </row>
    <row r="1882" spans="1:5" ht="16">
      <c r="A1882" s="1" t="s">
        <v>1863</v>
      </c>
      <c r="B1882" s="1" t="s">
        <v>1880</v>
      </c>
      <c r="C1882" s="1" t="s">
        <v>234</v>
      </c>
      <c r="D1882" s="1" t="s">
        <v>229</v>
      </c>
      <c r="E1882" s="1"/>
    </row>
    <row r="1883" spans="1:5" ht="16">
      <c r="A1883" s="1" t="s">
        <v>1863</v>
      </c>
      <c r="B1883" s="1" t="s">
        <v>1881</v>
      </c>
      <c r="C1883" s="1" t="s">
        <v>364</v>
      </c>
      <c r="D1883" s="1" t="s">
        <v>229</v>
      </c>
      <c r="E1883" s="1"/>
    </row>
    <row r="1884" spans="1:5" ht="16">
      <c r="A1884" s="1" t="s">
        <v>1863</v>
      </c>
      <c r="B1884" s="1" t="s">
        <v>1882</v>
      </c>
      <c r="C1884" s="1" t="s">
        <v>364</v>
      </c>
      <c r="D1884" s="1" t="s">
        <v>229</v>
      </c>
      <c r="E1884" s="1"/>
    </row>
    <row r="1885" spans="1:5" ht="16">
      <c r="A1885" s="1" t="s">
        <v>1863</v>
      </c>
      <c r="B1885" s="1" t="s">
        <v>1877</v>
      </c>
      <c r="C1885" s="1" t="s">
        <v>334</v>
      </c>
      <c r="D1885" s="1" t="s">
        <v>229</v>
      </c>
      <c r="E1885" s="1" t="s">
        <v>500</v>
      </c>
    </row>
    <row r="1886" spans="1:5" ht="16">
      <c r="A1886" s="1" t="s">
        <v>1863</v>
      </c>
      <c r="B1886" s="1" t="s">
        <v>1883</v>
      </c>
      <c r="C1886" s="1" t="s">
        <v>364</v>
      </c>
      <c r="D1886" s="1" t="s">
        <v>229</v>
      </c>
      <c r="E1886" s="1"/>
    </row>
    <row r="1887" spans="1:5" ht="16">
      <c r="A1887" s="1" t="s">
        <v>1863</v>
      </c>
      <c r="B1887" s="1" t="s">
        <v>1884</v>
      </c>
      <c r="C1887" s="1" t="s">
        <v>364</v>
      </c>
      <c r="D1887" s="1" t="s">
        <v>229</v>
      </c>
      <c r="E1887" s="1"/>
    </row>
    <row r="1888" spans="1:5" ht="16">
      <c r="A1888" s="1" t="s">
        <v>1863</v>
      </c>
      <c r="B1888" s="1" t="s">
        <v>1885</v>
      </c>
      <c r="C1888" s="1" t="s">
        <v>263</v>
      </c>
      <c r="D1888" s="1" t="s">
        <v>229</v>
      </c>
      <c r="E1888" s="1"/>
    </row>
    <row r="1889" spans="1:5" ht="16">
      <c r="A1889" s="1" t="s">
        <v>1863</v>
      </c>
      <c r="B1889" s="1" t="s">
        <v>1886</v>
      </c>
      <c r="C1889" s="1" t="s">
        <v>263</v>
      </c>
      <c r="D1889" s="1" t="s">
        <v>229</v>
      </c>
      <c r="E1889" s="1"/>
    </row>
    <row r="1890" spans="1:5" ht="16">
      <c r="A1890" s="1" t="s">
        <v>1863</v>
      </c>
      <c r="B1890" s="1" t="s">
        <v>1887</v>
      </c>
      <c r="C1890" s="1" t="s">
        <v>263</v>
      </c>
      <c r="D1890" s="1" t="s">
        <v>229</v>
      </c>
      <c r="E1890" s="1"/>
    </row>
    <row r="1891" spans="1:5" ht="16">
      <c r="A1891" s="1" t="s">
        <v>1863</v>
      </c>
      <c r="B1891" s="1" t="s">
        <v>1888</v>
      </c>
      <c r="C1891" s="1" t="s">
        <v>364</v>
      </c>
      <c r="D1891" s="1" t="s">
        <v>229</v>
      </c>
      <c r="E1891" s="1"/>
    </row>
    <row r="1892" spans="1:5" ht="16">
      <c r="A1892" s="1" t="s">
        <v>1863</v>
      </c>
      <c r="B1892" s="1" t="s">
        <v>1889</v>
      </c>
      <c r="C1892" s="1" t="s">
        <v>364</v>
      </c>
      <c r="D1892" s="1" t="s">
        <v>229</v>
      </c>
      <c r="E1892" s="1"/>
    </row>
    <row r="1893" spans="1:5" ht="16">
      <c r="A1893" s="1" t="s">
        <v>1863</v>
      </c>
      <c r="B1893" s="1" t="s">
        <v>1890</v>
      </c>
      <c r="C1893" s="1" t="s">
        <v>234</v>
      </c>
      <c r="D1893" s="1" t="s">
        <v>229</v>
      </c>
      <c r="E1893" s="1"/>
    </row>
    <row r="1894" spans="1:5" ht="16">
      <c r="A1894" s="1" t="s">
        <v>1863</v>
      </c>
      <c r="B1894" s="1" t="s">
        <v>1891</v>
      </c>
      <c r="C1894" s="1" t="s">
        <v>228</v>
      </c>
      <c r="D1894" s="1" t="s">
        <v>229</v>
      </c>
      <c r="E1894" s="1"/>
    </row>
    <row r="1895" spans="1:5" ht="16">
      <c r="A1895" s="1" t="s">
        <v>1863</v>
      </c>
      <c r="B1895" s="1" t="s">
        <v>1892</v>
      </c>
      <c r="C1895" s="1" t="s">
        <v>334</v>
      </c>
      <c r="D1895" s="1" t="s">
        <v>229</v>
      </c>
      <c r="E1895" s="1"/>
    </row>
    <row r="1896" spans="1:5" ht="16">
      <c r="A1896" s="1" t="s">
        <v>1863</v>
      </c>
      <c r="B1896" s="1" t="s">
        <v>1893</v>
      </c>
      <c r="C1896" s="1" t="s">
        <v>334</v>
      </c>
      <c r="D1896" s="1" t="s">
        <v>229</v>
      </c>
      <c r="E1896" s="1" t="s">
        <v>500</v>
      </c>
    </row>
    <row r="1897" spans="1:5" ht="16">
      <c r="A1897" s="1" t="s">
        <v>1863</v>
      </c>
      <c r="B1897" s="1" t="s">
        <v>1894</v>
      </c>
      <c r="C1897" s="1" t="s">
        <v>334</v>
      </c>
      <c r="D1897" s="1" t="s">
        <v>229</v>
      </c>
      <c r="E1897" s="1" t="s">
        <v>500</v>
      </c>
    </row>
    <row r="1898" spans="1:5" ht="16">
      <c r="A1898" s="1" t="s">
        <v>1863</v>
      </c>
      <c r="B1898" s="1" t="s">
        <v>1895</v>
      </c>
      <c r="C1898" s="1" t="s">
        <v>307</v>
      </c>
      <c r="D1898" s="1" t="s">
        <v>229</v>
      </c>
      <c r="E1898" s="1"/>
    </row>
    <row r="1899" spans="1:5" ht="16">
      <c r="A1899" s="1" t="s">
        <v>1863</v>
      </c>
      <c r="B1899" s="1" t="s">
        <v>1896</v>
      </c>
      <c r="C1899" s="1" t="s">
        <v>334</v>
      </c>
      <c r="D1899" s="1" t="s">
        <v>229</v>
      </c>
      <c r="E1899" s="1"/>
    </row>
    <row r="1900" spans="1:5" ht="16">
      <c r="A1900" s="1" t="s">
        <v>1863</v>
      </c>
      <c r="B1900" s="1" t="s">
        <v>1897</v>
      </c>
      <c r="C1900" s="1" t="s">
        <v>234</v>
      </c>
      <c r="D1900" s="1" t="s">
        <v>229</v>
      </c>
      <c r="E1900" s="1"/>
    </row>
    <row r="1901" spans="1:5" ht="16">
      <c r="A1901" s="1" t="s">
        <v>1863</v>
      </c>
      <c r="B1901" s="1" t="s">
        <v>1898</v>
      </c>
      <c r="C1901" s="1" t="s">
        <v>228</v>
      </c>
      <c r="D1901" s="1" t="s">
        <v>229</v>
      </c>
      <c r="E1901" s="1"/>
    </row>
    <row r="1902" spans="1:5" ht="16">
      <c r="A1902" s="1" t="s">
        <v>1863</v>
      </c>
      <c r="B1902" s="1" t="s">
        <v>1899</v>
      </c>
      <c r="C1902" s="1" t="s">
        <v>364</v>
      </c>
      <c r="D1902" s="1" t="s">
        <v>229</v>
      </c>
      <c r="E1902" s="1"/>
    </row>
    <row r="1903" spans="1:5" ht="16">
      <c r="A1903" s="1" t="s">
        <v>1863</v>
      </c>
      <c r="B1903" s="1" t="s">
        <v>1900</v>
      </c>
      <c r="C1903" s="1" t="s">
        <v>364</v>
      </c>
      <c r="D1903" s="1" t="s">
        <v>229</v>
      </c>
      <c r="E1903" s="1"/>
    </row>
    <row r="1904" spans="1:5" ht="16">
      <c r="A1904" s="1" t="s">
        <v>1863</v>
      </c>
      <c r="B1904" s="1" t="s">
        <v>1901</v>
      </c>
      <c r="C1904" s="1" t="s">
        <v>265</v>
      </c>
      <c r="D1904" s="1" t="s">
        <v>229</v>
      </c>
      <c r="E1904" s="1"/>
    </row>
    <row r="1905" spans="1:5" ht="16">
      <c r="A1905" s="1" t="s">
        <v>1863</v>
      </c>
      <c r="B1905" s="1" t="s">
        <v>1902</v>
      </c>
      <c r="C1905" s="1" t="s">
        <v>364</v>
      </c>
      <c r="D1905" s="1" t="s">
        <v>229</v>
      </c>
      <c r="E1905" s="1"/>
    </row>
    <row r="1906" spans="1:5" ht="16">
      <c r="A1906" s="1" t="s">
        <v>1863</v>
      </c>
      <c r="B1906" s="1" t="s">
        <v>1903</v>
      </c>
      <c r="C1906" s="1" t="s">
        <v>364</v>
      </c>
      <c r="D1906" s="1" t="s">
        <v>229</v>
      </c>
      <c r="E1906" s="1"/>
    </row>
    <row r="1907" spans="1:5" ht="16">
      <c r="A1907" s="1" t="s">
        <v>1863</v>
      </c>
      <c r="B1907" s="1" t="s">
        <v>1904</v>
      </c>
      <c r="C1907" s="1" t="s">
        <v>265</v>
      </c>
      <c r="D1907" s="1" t="s">
        <v>229</v>
      </c>
      <c r="E1907" s="1"/>
    </row>
    <row r="1908" spans="1:5" ht="16">
      <c r="A1908" s="1" t="s">
        <v>1863</v>
      </c>
      <c r="B1908" s="1" t="s">
        <v>1905</v>
      </c>
      <c r="C1908" s="1" t="s">
        <v>265</v>
      </c>
      <c r="D1908" s="1" t="s">
        <v>229</v>
      </c>
      <c r="E1908" s="1"/>
    </row>
    <row r="1909" spans="1:5" ht="16">
      <c r="A1909" s="1" t="s">
        <v>1863</v>
      </c>
      <c r="B1909" s="1" t="s">
        <v>1906</v>
      </c>
      <c r="C1909" s="1" t="s">
        <v>265</v>
      </c>
      <c r="D1909" s="1" t="s">
        <v>229</v>
      </c>
      <c r="E1909" s="1"/>
    </row>
    <row r="1910" spans="1:5" ht="16">
      <c r="A1910" s="1" t="s">
        <v>1863</v>
      </c>
      <c r="B1910" s="1" t="s">
        <v>1907</v>
      </c>
      <c r="C1910" s="1" t="s">
        <v>263</v>
      </c>
      <c r="D1910" s="1" t="s">
        <v>229</v>
      </c>
      <c r="E1910" s="1"/>
    </row>
    <row r="1911" spans="1:5" ht="16">
      <c r="A1911" s="1" t="s">
        <v>1863</v>
      </c>
      <c r="B1911" s="1" t="s">
        <v>1908</v>
      </c>
      <c r="C1911" s="1" t="s">
        <v>265</v>
      </c>
      <c r="D1911" s="1" t="s">
        <v>229</v>
      </c>
      <c r="E1911" s="1"/>
    </row>
    <row r="1912" spans="1:5" ht="16">
      <c r="A1912" s="1" t="s">
        <v>1863</v>
      </c>
      <c r="B1912" s="1" t="s">
        <v>1909</v>
      </c>
      <c r="C1912" s="1" t="s">
        <v>334</v>
      </c>
      <c r="D1912" s="1" t="s">
        <v>229</v>
      </c>
      <c r="E1912" s="1"/>
    </row>
    <row r="1913" spans="1:5" ht="16">
      <c r="A1913" s="1" t="s">
        <v>1863</v>
      </c>
      <c r="B1913" s="1" t="s">
        <v>1910</v>
      </c>
      <c r="C1913" s="1" t="s">
        <v>319</v>
      </c>
      <c r="D1913" s="1" t="s">
        <v>229</v>
      </c>
      <c r="E1913" s="1"/>
    </row>
    <row r="1914" spans="1:5" ht="16">
      <c r="A1914" s="1" t="s">
        <v>1863</v>
      </c>
      <c r="B1914" s="1" t="s">
        <v>1911</v>
      </c>
      <c r="C1914" s="1" t="s">
        <v>334</v>
      </c>
      <c r="D1914" s="1" t="s">
        <v>229</v>
      </c>
      <c r="E1914" s="1"/>
    </row>
    <row r="1915" spans="1:5" ht="16">
      <c r="A1915" s="1" t="s">
        <v>1863</v>
      </c>
      <c r="B1915" s="1" t="s">
        <v>1912</v>
      </c>
      <c r="C1915" s="1" t="s">
        <v>334</v>
      </c>
      <c r="D1915" s="1" t="s">
        <v>229</v>
      </c>
      <c r="E1915" s="1"/>
    </row>
    <row r="1916" spans="1:5" ht="16">
      <c r="A1916" s="1" t="s">
        <v>1863</v>
      </c>
      <c r="B1916" s="1" t="s">
        <v>1913</v>
      </c>
      <c r="C1916" s="1" t="s">
        <v>228</v>
      </c>
      <c r="D1916" s="1" t="s">
        <v>229</v>
      </c>
      <c r="E1916" s="1"/>
    </row>
    <row r="1917" spans="1:5" ht="16">
      <c r="A1917" s="1" t="s">
        <v>1863</v>
      </c>
      <c r="B1917" s="1" t="s">
        <v>1914</v>
      </c>
      <c r="C1917" s="1" t="s">
        <v>364</v>
      </c>
      <c r="D1917" s="1" t="s">
        <v>229</v>
      </c>
      <c r="E1917" s="1"/>
    </row>
    <row r="1918" spans="1:5" ht="16">
      <c r="A1918" s="1" t="s">
        <v>1863</v>
      </c>
      <c r="B1918" s="1" t="s">
        <v>1915</v>
      </c>
      <c r="C1918" s="1" t="s">
        <v>364</v>
      </c>
      <c r="D1918" s="1" t="s">
        <v>229</v>
      </c>
      <c r="E1918" s="1"/>
    </row>
    <row r="1919" spans="1:5" ht="16">
      <c r="A1919" s="1" t="s">
        <v>1863</v>
      </c>
      <c r="B1919" s="1" t="s">
        <v>1916</v>
      </c>
      <c r="C1919" s="1" t="s">
        <v>265</v>
      </c>
      <c r="D1919" s="1" t="s">
        <v>229</v>
      </c>
      <c r="E1919" s="1"/>
    </row>
    <row r="1920" spans="1:5" ht="16">
      <c r="A1920" s="1" t="s">
        <v>1863</v>
      </c>
      <c r="B1920" s="1" t="s">
        <v>1917</v>
      </c>
      <c r="C1920" s="1" t="s">
        <v>265</v>
      </c>
      <c r="D1920" s="1" t="s">
        <v>229</v>
      </c>
      <c r="E1920" s="1"/>
    </row>
    <row r="1921" spans="1:5" ht="16">
      <c r="A1921" s="1" t="s">
        <v>1863</v>
      </c>
      <c r="B1921" s="1" t="s">
        <v>1918</v>
      </c>
      <c r="C1921" s="1" t="s">
        <v>265</v>
      </c>
      <c r="D1921" s="1" t="s">
        <v>229</v>
      </c>
      <c r="E1921" s="1"/>
    </row>
    <row r="1922" spans="1:5" ht="16">
      <c r="A1922" s="1" t="s">
        <v>1863</v>
      </c>
      <c r="B1922" s="1" t="s">
        <v>1919</v>
      </c>
      <c r="C1922" s="1" t="s">
        <v>263</v>
      </c>
      <c r="D1922" s="1" t="s">
        <v>229</v>
      </c>
      <c r="E1922" s="1"/>
    </row>
    <row r="1923" spans="1:5" ht="16">
      <c r="A1923" s="1" t="s">
        <v>1863</v>
      </c>
      <c r="B1923" s="1" t="s">
        <v>1920</v>
      </c>
      <c r="C1923" s="1" t="s">
        <v>263</v>
      </c>
      <c r="D1923" s="1" t="s">
        <v>229</v>
      </c>
      <c r="E1923" s="1"/>
    </row>
    <row r="1924" spans="1:5" ht="16">
      <c r="A1924" s="1" t="s">
        <v>1863</v>
      </c>
      <c r="B1924" s="1" t="s">
        <v>1921</v>
      </c>
      <c r="C1924" s="1" t="s">
        <v>263</v>
      </c>
      <c r="D1924" s="1" t="s">
        <v>229</v>
      </c>
      <c r="E1924" s="1"/>
    </row>
    <row r="1925" spans="1:5" ht="16">
      <c r="A1925" s="1" t="s">
        <v>1863</v>
      </c>
      <c r="B1925" s="1" t="s">
        <v>1922</v>
      </c>
      <c r="C1925" s="1" t="s">
        <v>263</v>
      </c>
      <c r="D1925" s="1" t="s">
        <v>229</v>
      </c>
      <c r="E1925" s="1"/>
    </row>
    <row r="1926" spans="1:5" ht="16">
      <c r="A1926" s="1" t="s">
        <v>1863</v>
      </c>
      <c r="B1926" s="1" t="s">
        <v>1923</v>
      </c>
      <c r="C1926" s="1" t="s">
        <v>364</v>
      </c>
      <c r="D1926" s="1" t="s">
        <v>355</v>
      </c>
      <c r="E1926" s="1"/>
    </row>
    <row r="1927" spans="1:5" ht="16">
      <c r="A1927" s="1" t="s">
        <v>1863</v>
      </c>
      <c r="B1927" s="1" t="s">
        <v>1924</v>
      </c>
      <c r="C1927" s="1" t="s">
        <v>364</v>
      </c>
      <c r="D1927" s="1" t="s">
        <v>355</v>
      </c>
      <c r="E1927" s="1"/>
    </row>
    <row r="1928" spans="1:5" ht="16">
      <c r="A1928" s="1" t="s">
        <v>1863</v>
      </c>
      <c r="B1928" s="1" t="s">
        <v>1925</v>
      </c>
      <c r="C1928" s="1" t="s">
        <v>263</v>
      </c>
      <c r="D1928" s="1" t="s">
        <v>229</v>
      </c>
      <c r="E1928" s="1"/>
    </row>
    <row r="1929" spans="1:5" ht="16">
      <c r="A1929" s="1" t="s">
        <v>1863</v>
      </c>
      <c r="B1929" s="1" t="s">
        <v>1926</v>
      </c>
      <c r="C1929" s="1" t="s">
        <v>263</v>
      </c>
      <c r="D1929" s="1" t="s">
        <v>229</v>
      </c>
      <c r="E1929" s="1"/>
    </row>
    <row r="1930" spans="1:5" ht="16">
      <c r="A1930" s="1" t="s">
        <v>1863</v>
      </c>
      <c r="B1930" s="1" t="s">
        <v>1927</v>
      </c>
      <c r="C1930" s="1" t="s">
        <v>263</v>
      </c>
      <c r="D1930" s="1" t="s">
        <v>229</v>
      </c>
      <c r="E1930" s="1"/>
    </row>
    <row r="1931" spans="1:5" ht="16">
      <c r="A1931" s="1" t="s">
        <v>1863</v>
      </c>
      <c r="B1931" s="1" t="s">
        <v>1928</v>
      </c>
      <c r="C1931" s="1" t="s">
        <v>263</v>
      </c>
      <c r="D1931" s="1" t="s">
        <v>229</v>
      </c>
      <c r="E1931" s="1"/>
    </row>
    <row r="1932" spans="1:5" ht="16">
      <c r="A1932" s="1" t="s">
        <v>1863</v>
      </c>
      <c r="B1932" s="1" t="s">
        <v>1929</v>
      </c>
      <c r="C1932" s="1" t="s">
        <v>334</v>
      </c>
      <c r="D1932" s="1" t="s">
        <v>229</v>
      </c>
      <c r="E1932" s="1"/>
    </row>
    <row r="1933" spans="1:5" ht="16">
      <c r="A1933" s="1" t="s">
        <v>1863</v>
      </c>
      <c r="B1933" s="1" t="s">
        <v>1930</v>
      </c>
      <c r="C1933" s="1" t="s">
        <v>334</v>
      </c>
      <c r="D1933" s="1" t="s">
        <v>229</v>
      </c>
      <c r="E1933" s="1"/>
    </row>
    <row r="1934" spans="1:5" ht="16">
      <c r="A1934" s="1" t="s">
        <v>1863</v>
      </c>
      <c r="B1934" s="1" t="s">
        <v>1931</v>
      </c>
      <c r="C1934" s="1" t="s">
        <v>334</v>
      </c>
      <c r="D1934" s="1" t="s">
        <v>229</v>
      </c>
      <c r="E1934" s="1"/>
    </row>
    <row r="1935" spans="1:5" ht="16">
      <c r="A1935" s="1" t="s">
        <v>1932</v>
      </c>
      <c r="B1935" s="1" t="s">
        <v>1933</v>
      </c>
      <c r="C1935" s="1" t="s">
        <v>332</v>
      </c>
      <c r="D1935" s="1" t="s">
        <v>229</v>
      </c>
      <c r="E1935" s="1"/>
    </row>
    <row r="1936" spans="1:5" ht="16">
      <c r="A1936" s="1" t="s">
        <v>1934</v>
      </c>
      <c r="B1936" s="1" t="s">
        <v>1935</v>
      </c>
      <c r="C1936" s="1" t="s">
        <v>332</v>
      </c>
      <c r="D1936" s="1" t="s">
        <v>229</v>
      </c>
      <c r="E1936" s="1"/>
    </row>
    <row r="1937" spans="1:5" ht="16">
      <c r="A1937" s="1" t="s">
        <v>1934</v>
      </c>
      <c r="B1937" s="1" t="s">
        <v>1936</v>
      </c>
      <c r="C1937" s="1" t="s">
        <v>334</v>
      </c>
      <c r="D1937" s="1" t="s">
        <v>229</v>
      </c>
      <c r="E1937" s="1"/>
    </row>
    <row r="1938" spans="1:5" ht="16">
      <c r="A1938" s="1" t="s">
        <v>1934</v>
      </c>
      <c r="B1938" s="1" t="s">
        <v>1937</v>
      </c>
      <c r="C1938" s="1" t="s">
        <v>332</v>
      </c>
      <c r="D1938" s="1" t="s">
        <v>229</v>
      </c>
      <c r="E1938" s="1"/>
    </row>
    <row r="1939" spans="1:5" ht="16">
      <c r="A1939" s="1" t="s">
        <v>1934</v>
      </c>
      <c r="B1939" s="1" t="s">
        <v>1938</v>
      </c>
      <c r="C1939" s="1" t="s">
        <v>332</v>
      </c>
      <c r="D1939" s="1" t="s">
        <v>229</v>
      </c>
      <c r="E1939" s="1"/>
    </row>
    <row r="1940" spans="1:5" ht="16">
      <c r="A1940" s="1" t="s">
        <v>1939</v>
      </c>
      <c r="B1940" s="1" t="s">
        <v>1940</v>
      </c>
      <c r="C1940" s="1" t="s">
        <v>334</v>
      </c>
      <c r="D1940" s="1" t="s">
        <v>229</v>
      </c>
      <c r="E1940" s="1"/>
    </row>
    <row r="1941" spans="1:5" ht="16">
      <c r="A1941" s="1" t="s">
        <v>1939</v>
      </c>
      <c r="B1941" s="1" t="s">
        <v>1941</v>
      </c>
      <c r="C1941" s="1" t="s">
        <v>334</v>
      </c>
      <c r="D1941" s="1" t="s">
        <v>229</v>
      </c>
      <c r="E1941" s="1"/>
    </row>
    <row r="1942" spans="1:5" ht="16">
      <c r="A1942" s="1" t="s">
        <v>1939</v>
      </c>
      <c r="B1942" s="1" t="s">
        <v>1942</v>
      </c>
      <c r="C1942" s="1" t="s">
        <v>334</v>
      </c>
      <c r="D1942" s="1" t="s">
        <v>229</v>
      </c>
      <c r="E1942" s="1"/>
    </row>
    <row r="1943" spans="1:5" ht="16">
      <c r="A1943" s="1" t="s">
        <v>1939</v>
      </c>
      <c r="B1943" s="1" t="s">
        <v>1943</v>
      </c>
      <c r="C1943" s="1" t="s">
        <v>332</v>
      </c>
      <c r="D1943" s="1" t="s">
        <v>229</v>
      </c>
      <c r="E1943" s="1"/>
    </row>
    <row r="1944" spans="1:5" ht="16">
      <c r="A1944" s="1" t="s">
        <v>1939</v>
      </c>
      <c r="B1944" s="1" t="s">
        <v>1944</v>
      </c>
      <c r="C1944" s="1" t="s">
        <v>332</v>
      </c>
      <c r="D1944" s="1" t="s">
        <v>229</v>
      </c>
      <c r="E1944" s="1"/>
    </row>
    <row r="1945" spans="1:5" ht="16">
      <c r="A1945" s="1" t="s">
        <v>1939</v>
      </c>
      <c r="B1945" s="1" t="s">
        <v>1945</v>
      </c>
      <c r="C1945" s="1" t="s">
        <v>332</v>
      </c>
      <c r="D1945" s="1" t="s">
        <v>229</v>
      </c>
      <c r="E1945" s="1"/>
    </row>
    <row r="1946" spans="1:5" ht="16">
      <c r="A1946" s="1" t="s">
        <v>1939</v>
      </c>
      <c r="B1946" s="1" t="s">
        <v>1946</v>
      </c>
      <c r="C1946" s="1" t="s">
        <v>332</v>
      </c>
      <c r="D1946" s="1" t="s">
        <v>229</v>
      </c>
      <c r="E1946" s="1"/>
    </row>
    <row r="1947" spans="1:5" ht="16">
      <c r="A1947" s="1" t="s">
        <v>1939</v>
      </c>
      <c r="B1947" s="1" t="s">
        <v>1947</v>
      </c>
      <c r="C1947" s="1" t="s">
        <v>332</v>
      </c>
      <c r="D1947" s="1" t="s">
        <v>229</v>
      </c>
      <c r="E1947" s="1"/>
    </row>
    <row r="1948" spans="1:5" ht="16">
      <c r="A1948" s="1" t="s">
        <v>1939</v>
      </c>
      <c r="B1948" s="1" t="s">
        <v>1948</v>
      </c>
      <c r="C1948" s="1" t="s">
        <v>332</v>
      </c>
      <c r="D1948" s="1" t="s">
        <v>229</v>
      </c>
      <c r="E1948" s="1"/>
    </row>
    <row r="1949" spans="1:5" ht="16">
      <c r="A1949" s="1" t="s">
        <v>1939</v>
      </c>
      <c r="B1949" s="1" t="s">
        <v>1949</v>
      </c>
      <c r="C1949" s="1" t="s">
        <v>332</v>
      </c>
      <c r="D1949" s="1" t="s">
        <v>229</v>
      </c>
      <c r="E1949" s="1"/>
    </row>
    <row r="1950" spans="1:5" ht="16">
      <c r="A1950" s="1" t="s">
        <v>1939</v>
      </c>
      <c r="B1950" s="1" t="s">
        <v>1950</v>
      </c>
      <c r="C1950" s="1" t="s">
        <v>332</v>
      </c>
      <c r="D1950" s="1" t="s">
        <v>229</v>
      </c>
      <c r="E1950" s="1"/>
    </row>
    <row r="1951" spans="1:5" ht="16">
      <c r="A1951" s="1" t="s">
        <v>1939</v>
      </c>
      <c r="B1951" s="1" t="s">
        <v>1951</v>
      </c>
      <c r="C1951" s="1" t="s">
        <v>332</v>
      </c>
      <c r="D1951" s="1" t="s">
        <v>229</v>
      </c>
      <c r="E1951" s="1"/>
    </row>
    <row r="1952" spans="1:5" ht="16">
      <c r="A1952" s="1" t="s">
        <v>1939</v>
      </c>
      <c r="B1952" s="1" t="s">
        <v>1950</v>
      </c>
      <c r="C1952" s="1" t="s">
        <v>332</v>
      </c>
      <c r="D1952" s="1" t="s">
        <v>229</v>
      </c>
      <c r="E1952" s="1"/>
    </row>
    <row r="1953" spans="1:5" ht="16">
      <c r="A1953" s="1" t="s">
        <v>1939</v>
      </c>
      <c r="B1953" s="1" t="s">
        <v>1952</v>
      </c>
      <c r="C1953" s="1" t="s">
        <v>332</v>
      </c>
      <c r="D1953" s="1" t="s">
        <v>229</v>
      </c>
      <c r="E1953" s="1"/>
    </row>
    <row r="1954" spans="1:5" ht="16">
      <c r="A1954" s="1" t="s">
        <v>1939</v>
      </c>
      <c r="B1954" s="1" t="s">
        <v>1953</v>
      </c>
      <c r="C1954" s="1" t="s">
        <v>332</v>
      </c>
      <c r="D1954" s="1" t="s">
        <v>229</v>
      </c>
      <c r="E1954" s="1"/>
    </row>
    <row r="1955" spans="1:5" ht="16">
      <c r="A1955" s="1" t="s">
        <v>1939</v>
      </c>
      <c r="B1955" s="1" t="s">
        <v>1954</v>
      </c>
      <c r="C1955" s="1" t="s">
        <v>332</v>
      </c>
      <c r="D1955" s="1" t="s">
        <v>229</v>
      </c>
      <c r="E1955" s="1"/>
    </row>
    <row r="1956" spans="1:5" ht="16">
      <c r="A1956" s="1" t="s">
        <v>1939</v>
      </c>
      <c r="B1956" s="1" t="s">
        <v>1955</v>
      </c>
      <c r="C1956" s="1" t="s">
        <v>332</v>
      </c>
      <c r="D1956" s="1" t="s">
        <v>229</v>
      </c>
      <c r="E1956" s="1"/>
    </row>
    <row r="1957" spans="1:5" ht="16">
      <c r="A1957" s="1" t="s">
        <v>1939</v>
      </c>
      <c r="B1957" s="1" t="s">
        <v>1956</v>
      </c>
      <c r="C1957" s="1" t="s">
        <v>332</v>
      </c>
      <c r="D1957" s="1" t="s">
        <v>229</v>
      </c>
      <c r="E1957" s="1"/>
    </row>
    <row r="1958" spans="1:5" ht="16">
      <c r="A1958" s="1" t="s">
        <v>1939</v>
      </c>
      <c r="B1958" s="1" t="s">
        <v>1957</v>
      </c>
      <c r="C1958" s="1" t="s">
        <v>334</v>
      </c>
      <c r="D1958" s="1" t="s">
        <v>229</v>
      </c>
      <c r="E1958" s="1" t="s">
        <v>500</v>
      </c>
    </row>
    <row r="1959" spans="1:5" ht="16">
      <c r="A1959" s="1" t="s">
        <v>1939</v>
      </c>
      <c r="B1959" s="1" t="s">
        <v>1958</v>
      </c>
      <c r="C1959" s="1" t="s">
        <v>334</v>
      </c>
      <c r="D1959" s="1" t="s">
        <v>229</v>
      </c>
      <c r="E1959" s="1" t="s">
        <v>500</v>
      </c>
    </row>
    <row r="1960" spans="1:5" ht="16">
      <c r="A1960" s="1" t="s">
        <v>1939</v>
      </c>
      <c r="B1960" s="1" t="s">
        <v>1959</v>
      </c>
      <c r="C1960" s="1" t="s">
        <v>334</v>
      </c>
      <c r="D1960" s="1" t="s">
        <v>229</v>
      </c>
      <c r="E1960" s="1" t="s">
        <v>500</v>
      </c>
    </row>
    <row r="1961" spans="1:5" ht="16">
      <c r="A1961" s="1" t="s">
        <v>1939</v>
      </c>
      <c r="B1961" s="1" t="s">
        <v>1960</v>
      </c>
      <c r="C1961" s="1" t="s">
        <v>334</v>
      </c>
      <c r="D1961" s="1" t="s">
        <v>229</v>
      </c>
      <c r="E1961" s="1"/>
    </row>
    <row r="1962" spans="1:5" ht="16">
      <c r="A1962" s="1" t="s">
        <v>1939</v>
      </c>
      <c r="B1962" s="1" t="s">
        <v>1961</v>
      </c>
      <c r="C1962" s="1" t="s">
        <v>334</v>
      </c>
      <c r="D1962" s="1" t="s">
        <v>229</v>
      </c>
      <c r="E1962" s="1"/>
    </row>
    <row r="1963" spans="1:5" ht="16">
      <c r="A1963" s="1" t="s">
        <v>1939</v>
      </c>
      <c r="B1963" s="1" t="s">
        <v>1962</v>
      </c>
      <c r="C1963" s="1" t="s">
        <v>364</v>
      </c>
      <c r="D1963" s="1" t="s">
        <v>229</v>
      </c>
      <c r="E1963" s="1"/>
    </row>
    <row r="1964" spans="1:5" ht="16">
      <c r="A1964" s="1" t="s">
        <v>1939</v>
      </c>
      <c r="B1964" s="1" t="s">
        <v>1963</v>
      </c>
      <c r="C1964" s="1" t="s">
        <v>364</v>
      </c>
      <c r="D1964" s="1" t="s">
        <v>229</v>
      </c>
      <c r="E1964" s="1"/>
    </row>
    <row r="1965" spans="1:5" ht="16">
      <c r="A1965" s="1" t="s">
        <v>1939</v>
      </c>
      <c r="B1965" s="1" t="s">
        <v>1964</v>
      </c>
      <c r="C1965" s="1" t="s">
        <v>364</v>
      </c>
      <c r="D1965" s="1" t="s">
        <v>229</v>
      </c>
      <c r="E1965" s="1"/>
    </row>
    <row r="1966" spans="1:5" ht="16">
      <c r="A1966" s="1" t="s">
        <v>1939</v>
      </c>
      <c r="B1966" s="1" t="s">
        <v>1965</v>
      </c>
      <c r="C1966" s="1" t="s">
        <v>364</v>
      </c>
      <c r="D1966" s="1" t="s">
        <v>229</v>
      </c>
      <c r="E1966" s="1"/>
    </row>
    <row r="1967" spans="1:5" ht="16">
      <c r="A1967" s="1" t="s">
        <v>1939</v>
      </c>
      <c r="B1967" s="1" t="s">
        <v>1966</v>
      </c>
      <c r="C1967" s="1" t="s">
        <v>228</v>
      </c>
      <c r="D1967" s="1" t="s">
        <v>229</v>
      </c>
      <c r="E1967" s="1"/>
    </row>
    <row r="1968" spans="1:5" ht="16">
      <c r="A1968" s="1" t="s">
        <v>1939</v>
      </c>
      <c r="B1968" s="1" t="s">
        <v>1967</v>
      </c>
      <c r="C1968" s="1" t="s">
        <v>334</v>
      </c>
      <c r="D1968" s="1" t="s">
        <v>229</v>
      </c>
      <c r="E1968" s="1"/>
    </row>
    <row r="1969" spans="1:5" ht="16">
      <c r="A1969" s="1" t="s">
        <v>1939</v>
      </c>
      <c r="B1969" s="1" t="s">
        <v>1968</v>
      </c>
      <c r="C1969" s="1" t="s">
        <v>234</v>
      </c>
      <c r="D1969" s="1" t="s">
        <v>229</v>
      </c>
      <c r="E1969" s="1"/>
    </row>
    <row r="1970" spans="1:5" ht="16">
      <c r="A1970" s="1" t="s">
        <v>1939</v>
      </c>
      <c r="B1970" s="1" t="s">
        <v>1969</v>
      </c>
      <c r="C1970" s="1" t="s">
        <v>234</v>
      </c>
      <c r="D1970" s="1" t="s">
        <v>229</v>
      </c>
      <c r="E1970" s="1"/>
    </row>
    <row r="1971" spans="1:5" ht="16">
      <c r="A1971" s="1" t="s">
        <v>1939</v>
      </c>
      <c r="B1971" s="1" t="s">
        <v>1970</v>
      </c>
      <c r="C1971" s="1" t="s">
        <v>234</v>
      </c>
      <c r="D1971" s="1" t="s">
        <v>229</v>
      </c>
      <c r="E1971" s="1"/>
    </row>
    <row r="1972" spans="1:5" ht="16">
      <c r="A1972" s="1" t="s">
        <v>1939</v>
      </c>
      <c r="B1972" s="1" t="s">
        <v>1971</v>
      </c>
      <c r="C1972" s="1" t="s">
        <v>234</v>
      </c>
      <c r="D1972" s="1" t="s">
        <v>229</v>
      </c>
      <c r="E1972" s="1"/>
    </row>
    <row r="1973" spans="1:5" ht="16">
      <c r="A1973" s="1" t="s">
        <v>1939</v>
      </c>
      <c r="B1973" s="1" t="s">
        <v>1972</v>
      </c>
      <c r="C1973" s="1" t="s">
        <v>234</v>
      </c>
      <c r="D1973" s="1" t="s">
        <v>355</v>
      </c>
      <c r="E1973" s="1" t="s">
        <v>500</v>
      </c>
    </row>
    <row r="1974" spans="1:5" ht="16">
      <c r="A1974" s="1" t="s">
        <v>1939</v>
      </c>
      <c r="B1974" s="1" t="s">
        <v>1973</v>
      </c>
      <c r="C1974" s="1" t="s">
        <v>234</v>
      </c>
      <c r="D1974" s="1" t="s">
        <v>229</v>
      </c>
      <c r="E1974" s="1"/>
    </row>
    <row r="1975" spans="1:5" ht="16">
      <c r="A1975" s="1" t="s">
        <v>1939</v>
      </c>
      <c r="B1975" s="1" t="s">
        <v>1974</v>
      </c>
      <c r="C1975" s="1" t="s">
        <v>234</v>
      </c>
      <c r="D1975" s="1" t="s">
        <v>355</v>
      </c>
      <c r="E1975" s="1" t="s">
        <v>500</v>
      </c>
    </row>
    <row r="1976" spans="1:5" ht="16">
      <c r="A1976" s="1" t="s">
        <v>1939</v>
      </c>
      <c r="B1976" s="1" t="s">
        <v>1975</v>
      </c>
      <c r="C1976" s="1" t="s">
        <v>334</v>
      </c>
      <c r="D1976" s="1" t="s">
        <v>229</v>
      </c>
      <c r="E1976" s="1"/>
    </row>
    <row r="1977" spans="1:5" ht="16">
      <c r="A1977" s="1" t="s">
        <v>1939</v>
      </c>
      <c r="B1977" s="1" t="s">
        <v>1976</v>
      </c>
      <c r="C1977" s="1" t="s">
        <v>334</v>
      </c>
      <c r="D1977" s="1" t="s">
        <v>229</v>
      </c>
      <c r="E1977" s="1"/>
    </row>
    <row r="1978" spans="1:5" ht="16">
      <c r="A1978" s="1" t="s">
        <v>1939</v>
      </c>
      <c r="B1978" s="1" t="s">
        <v>1977</v>
      </c>
      <c r="C1978" s="1" t="s">
        <v>334</v>
      </c>
      <c r="D1978" s="1" t="s">
        <v>229</v>
      </c>
      <c r="E1978" s="1"/>
    </row>
    <row r="1979" spans="1:5" ht="16">
      <c r="A1979" s="1" t="s">
        <v>1939</v>
      </c>
      <c r="B1979" s="1" t="s">
        <v>1978</v>
      </c>
      <c r="C1979" s="1" t="s">
        <v>334</v>
      </c>
      <c r="D1979" s="1" t="s">
        <v>229</v>
      </c>
      <c r="E1979" s="1"/>
    </row>
    <row r="1980" spans="1:5" ht="16">
      <c r="A1980" s="1" t="s">
        <v>1939</v>
      </c>
      <c r="B1980" s="1" t="s">
        <v>1979</v>
      </c>
      <c r="C1980" s="1" t="s">
        <v>334</v>
      </c>
      <c r="D1980" s="1" t="s">
        <v>229</v>
      </c>
      <c r="E1980" s="1"/>
    </row>
    <row r="1981" spans="1:5" ht="16">
      <c r="A1981" s="1" t="s">
        <v>1939</v>
      </c>
      <c r="B1981" s="1" t="s">
        <v>1980</v>
      </c>
      <c r="C1981" s="1" t="s">
        <v>234</v>
      </c>
      <c r="D1981" s="1" t="s">
        <v>229</v>
      </c>
      <c r="E1981" s="1"/>
    </row>
    <row r="1982" spans="1:5" ht="16">
      <c r="A1982" s="1" t="s">
        <v>1939</v>
      </c>
      <c r="B1982" s="1" t="s">
        <v>1981</v>
      </c>
      <c r="C1982" s="1" t="s">
        <v>234</v>
      </c>
      <c r="D1982" s="1" t="s">
        <v>229</v>
      </c>
      <c r="E1982" s="1"/>
    </row>
    <row r="1983" spans="1:5" ht="16">
      <c r="A1983" s="1" t="s">
        <v>1939</v>
      </c>
      <c r="B1983" s="1" t="s">
        <v>1982</v>
      </c>
      <c r="C1983" s="1" t="s">
        <v>234</v>
      </c>
      <c r="D1983" s="1" t="s">
        <v>229</v>
      </c>
      <c r="E1983" s="1"/>
    </row>
    <row r="1984" spans="1:5" ht="16">
      <c r="A1984" s="1" t="s">
        <v>1939</v>
      </c>
      <c r="B1984" s="1" t="s">
        <v>1983</v>
      </c>
      <c r="C1984" s="1" t="s">
        <v>234</v>
      </c>
      <c r="D1984" s="1" t="s">
        <v>229</v>
      </c>
      <c r="E1984" s="1"/>
    </row>
    <row r="1985" spans="1:5" ht="16">
      <c r="A1985" s="1" t="s">
        <v>1939</v>
      </c>
      <c r="B1985" s="1" t="s">
        <v>1984</v>
      </c>
      <c r="C1985" s="1" t="s">
        <v>234</v>
      </c>
      <c r="D1985" s="1" t="s">
        <v>229</v>
      </c>
      <c r="E1985" s="1"/>
    </row>
    <row r="1986" spans="1:5" ht="16">
      <c r="A1986" s="1" t="s">
        <v>1939</v>
      </c>
      <c r="B1986" s="1" t="s">
        <v>1985</v>
      </c>
      <c r="C1986" s="1" t="s">
        <v>334</v>
      </c>
      <c r="D1986" s="1" t="s">
        <v>229</v>
      </c>
      <c r="E1986" s="1"/>
    </row>
    <row r="1987" spans="1:5" ht="16">
      <c r="A1987" s="1" t="s">
        <v>1939</v>
      </c>
      <c r="B1987" s="1" t="s">
        <v>1986</v>
      </c>
      <c r="C1987" s="1" t="s">
        <v>334</v>
      </c>
      <c r="D1987" s="1" t="s">
        <v>229</v>
      </c>
      <c r="E1987" s="1"/>
    </row>
    <row r="1988" spans="1:5" ht="16">
      <c r="A1988" s="1" t="s">
        <v>1939</v>
      </c>
      <c r="B1988" s="1" t="s">
        <v>1987</v>
      </c>
      <c r="C1988" s="1" t="s">
        <v>334</v>
      </c>
      <c r="D1988" s="1" t="s">
        <v>229</v>
      </c>
      <c r="E1988" s="1"/>
    </row>
    <row r="1989" spans="1:5" ht="16">
      <c r="A1989" s="1" t="s">
        <v>1939</v>
      </c>
      <c r="B1989" s="1" t="s">
        <v>1988</v>
      </c>
      <c r="C1989" s="1" t="s">
        <v>334</v>
      </c>
      <c r="D1989" s="1" t="s">
        <v>229</v>
      </c>
      <c r="E1989" s="1"/>
    </row>
    <row r="1990" spans="1:5" ht="16">
      <c r="A1990" s="1" t="s">
        <v>1939</v>
      </c>
      <c r="B1990" s="1" t="s">
        <v>1989</v>
      </c>
      <c r="C1990" s="1" t="s">
        <v>334</v>
      </c>
      <c r="D1990" s="1" t="s">
        <v>229</v>
      </c>
      <c r="E1990" s="1" t="s">
        <v>500</v>
      </c>
    </row>
    <row r="1991" spans="1:5" ht="16">
      <c r="A1991" s="1" t="s">
        <v>1939</v>
      </c>
      <c r="B1991" s="1" t="s">
        <v>1990</v>
      </c>
      <c r="C1991" s="1" t="s">
        <v>334</v>
      </c>
      <c r="D1991" s="1" t="s">
        <v>229</v>
      </c>
      <c r="E1991" s="1" t="s">
        <v>500</v>
      </c>
    </row>
    <row r="1992" spans="1:5" ht="16">
      <c r="A1992" s="1" t="s">
        <v>1939</v>
      </c>
      <c r="B1992" s="1" t="s">
        <v>1991</v>
      </c>
      <c r="C1992" s="1" t="s">
        <v>334</v>
      </c>
      <c r="D1992" s="1" t="s">
        <v>229</v>
      </c>
      <c r="E1992" s="1" t="s">
        <v>500</v>
      </c>
    </row>
    <row r="1993" spans="1:5" ht="16">
      <c r="A1993" s="1" t="s">
        <v>1939</v>
      </c>
      <c r="B1993" s="1" t="s">
        <v>1992</v>
      </c>
      <c r="C1993" s="1" t="s">
        <v>334</v>
      </c>
      <c r="D1993" s="1" t="s">
        <v>229</v>
      </c>
      <c r="E1993" s="1" t="s">
        <v>500</v>
      </c>
    </row>
    <row r="1994" spans="1:5" ht="16">
      <c r="A1994" s="1" t="s">
        <v>1939</v>
      </c>
      <c r="B1994" s="1" t="s">
        <v>1993</v>
      </c>
      <c r="C1994" s="1" t="s">
        <v>334</v>
      </c>
      <c r="D1994" s="1" t="s">
        <v>229</v>
      </c>
      <c r="E1994" s="1" t="s">
        <v>500</v>
      </c>
    </row>
    <row r="1995" spans="1:5" ht="16">
      <c r="A1995" s="1" t="s">
        <v>1939</v>
      </c>
      <c r="B1995" s="1" t="s">
        <v>1994</v>
      </c>
      <c r="C1995" s="1" t="s">
        <v>334</v>
      </c>
      <c r="D1995" s="1" t="s">
        <v>229</v>
      </c>
      <c r="E1995" s="1" t="s">
        <v>500</v>
      </c>
    </row>
    <row r="1996" spans="1:5" ht="16">
      <c r="A1996" s="1" t="s">
        <v>1939</v>
      </c>
      <c r="B1996" s="1" t="s">
        <v>1995</v>
      </c>
      <c r="C1996" s="1" t="s">
        <v>334</v>
      </c>
      <c r="D1996" s="1" t="s">
        <v>229</v>
      </c>
      <c r="E1996" s="1" t="s">
        <v>500</v>
      </c>
    </row>
    <row r="1997" spans="1:5" ht="16">
      <c r="A1997" s="1" t="s">
        <v>1939</v>
      </c>
      <c r="B1997" s="1" t="s">
        <v>1996</v>
      </c>
      <c r="C1997" s="1" t="s">
        <v>334</v>
      </c>
      <c r="D1997" s="1" t="s">
        <v>229</v>
      </c>
      <c r="E1997" s="1" t="s">
        <v>500</v>
      </c>
    </row>
    <row r="1998" spans="1:5" ht="16">
      <c r="A1998" s="1" t="s">
        <v>1939</v>
      </c>
      <c r="B1998" s="1" t="s">
        <v>1997</v>
      </c>
      <c r="C1998" s="1" t="s">
        <v>334</v>
      </c>
      <c r="D1998" s="1" t="s">
        <v>229</v>
      </c>
      <c r="E1998" s="1" t="s">
        <v>500</v>
      </c>
    </row>
    <row r="1999" spans="1:5" ht="16">
      <c r="A1999" s="1" t="s">
        <v>1939</v>
      </c>
      <c r="B1999" s="1" t="s">
        <v>1998</v>
      </c>
      <c r="C1999" s="1" t="s">
        <v>334</v>
      </c>
      <c r="D1999" s="1" t="s">
        <v>229</v>
      </c>
      <c r="E1999" s="1" t="s">
        <v>500</v>
      </c>
    </row>
    <row r="2000" spans="1:5" ht="16">
      <c r="A2000" s="1" t="s">
        <v>1939</v>
      </c>
      <c r="B2000" s="1" t="s">
        <v>1999</v>
      </c>
      <c r="C2000" s="1" t="s">
        <v>234</v>
      </c>
      <c r="D2000" s="1" t="s">
        <v>229</v>
      </c>
      <c r="E2000" s="1"/>
    </row>
    <row r="2001" spans="1:5" ht="16">
      <c r="A2001" s="1" t="s">
        <v>1939</v>
      </c>
      <c r="B2001" s="1" t="s">
        <v>2000</v>
      </c>
      <c r="C2001" s="1" t="s">
        <v>334</v>
      </c>
      <c r="D2001" s="1" t="s">
        <v>229</v>
      </c>
      <c r="E2001" s="1"/>
    </row>
    <row r="2002" spans="1:5" ht="16">
      <c r="A2002" s="1" t="s">
        <v>1939</v>
      </c>
      <c r="B2002" s="1" t="s">
        <v>2001</v>
      </c>
      <c r="C2002" s="1" t="s">
        <v>234</v>
      </c>
      <c r="D2002" s="1" t="s">
        <v>229</v>
      </c>
      <c r="E2002" s="1"/>
    </row>
    <row r="2003" spans="1:5" ht="16">
      <c r="A2003" s="1" t="s">
        <v>1939</v>
      </c>
      <c r="B2003" s="1" t="s">
        <v>2002</v>
      </c>
      <c r="C2003" s="1" t="s">
        <v>332</v>
      </c>
      <c r="D2003" s="1" t="s">
        <v>229</v>
      </c>
      <c r="E2003" s="1"/>
    </row>
    <row r="2004" spans="1:5" ht="16">
      <c r="A2004" s="1" t="s">
        <v>1939</v>
      </c>
      <c r="B2004" s="1" t="s">
        <v>2003</v>
      </c>
      <c r="C2004" s="1" t="s">
        <v>332</v>
      </c>
      <c r="D2004" s="1" t="s">
        <v>229</v>
      </c>
      <c r="E2004" s="1"/>
    </row>
    <row r="2005" spans="1:5" ht="16">
      <c r="A2005" s="1" t="s">
        <v>1939</v>
      </c>
      <c r="B2005" s="1" t="s">
        <v>2004</v>
      </c>
      <c r="C2005" s="1" t="s">
        <v>332</v>
      </c>
      <c r="D2005" s="1" t="s">
        <v>229</v>
      </c>
      <c r="E2005" s="1"/>
    </row>
    <row r="2006" spans="1:5" ht="16">
      <c r="A2006" s="1" t="s">
        <v>1939</v>
      </c>
      <c r="B2006" s="1" t="s">
        <v>2005</v>
      </c>
      <c r="C2006" s="1" t="s">
        <v>332</v>
      </c>
      <c r="D2006" s="1" t="s">
        <v>229</v>
      </c>
      <c r="E2006" s="1"/>
    </row>
    <row r="2007" spans="1:5" ht="16">
      <c r="A2007" s="1" t="s">
        <v>1939</v>
      </c>
      <c r="B2007" s="1" t="s">
        <v>2006</v>
      </c>
      <c r="C2007" s="1" t="s">
        <v>332</v>
      </c>
      <c r="D2007" s="1" t="s">
        <v>229</v>
      </c>
      <c r="E2007" s="1"/>
    </row>
    <row r="2008" spans="1:5" ht="16">
      <c r="A2008" s="1" t="s">
        <v>1939</v>
      </c>
      <c r="B2008" s="1" t="s">
        <v>2007</v>
      </c>
      <c r="C2008" s="1" t="s">
        <v>332</v>
      </c>
      <c r="D2008" s="1" t="s">
        <v>229</v>
      </c>
      <c r="E2008" s="1"/>
    </row>
    <row r="2009" spans="1:5" ht="16">
      <c r="A2009" s="1" t="s">
        <v>1939</v>
      </c>
      <c r="B2009" s="1" t="s">
        <v>2008</v>
      </c>
      <c r="C2009" s="1" t="s">
        <v>332</v>
      </c>
      <c r="D2009" s="1" t="s">
        <v>229</v>
      </c>
      <c r="E2009" s="1"/>
    </row>
    <row r="2010" spans="1:5" ht="16">
      <c r="A2010" s="1" t="s">
        <v>1939</v>
      </c>
      <c r="B2010" s="1" t="s">
        <v>2009</v>
      </c>
      <c r="C2010" s="1" t="s">
        <v>332</v>
      </c>
      <c r="D2010" s="1" t="s">
        <v>229</v>
      </c>
      <c r="E2010" s="1"/>
    </row>
    <row r="2011" spans="1:5" ht="16">
      <c r="A2011" s="1" t="s">
        <v>1939</v>
      </c>
      <c r="B2011" s="1" t="s">
        <v>2010</v>
      </c>
      <c r="C2011" s="1" t="s">
        <v>332</v>
      </c>
      <c r="D2011" s="1" t="s">
        <v>229</v>
      </c>
      <c r="E2011" s="1"/>
    </row>
    <row r="2012" spans="1:5" ht="16">
      <c r="A2012" s="1" t="s">
        <v>1939</v>
      </c>
      <c r="B2012" s="1" t="s">
        <v>2011</v>
      </c>
      <c r="C2012" s="1" t="s">
        <v>332</v>
      </c>
      <c r="D2012" s="1" t="s">
        <v>229</v>
      </c>
      <c r="E2012" s="1"/>
    </row>
    <row r="2013" spans="1:5" ht="16">
      <c r="A2013" s="1" t="s">
        <v>1939</v>
      </c>
      <c r="B2013" s="1" t="s">
        <v>2012</v>
      </c>
      <c r="C2013" s="1" t="s">
        <v>332</v>
      </c>
      <c r="D2013" s="1" t="s">
        <v>229</v>
      </c>
      <c r="E2013" s="1"/>
    </row>
    <row r="2014" spans="1:5" ht="16">
      <c r="A2014" s="1" t="s">
        <v>1939</v>
      </c>
      <c r="B2014" s="1" t="s">
        <v>2013</v>
      </c>
      <c r="C2014" s="1" t="s">
        <v>332</v>
      </c>
      <c r="D2014" s="1" t="s">
        <v>229</v>
      </c>
      <c r="E2014" s="1"/>
    </row>
    <row r="2015" spans="1:5" ht="16">
      <c r="A2015" s="1" t="s">
        <v>1939</v>
      </c>
      <c r="B2015" s="1" t="s">
        <v>2014</v>
      </c>
      <c r="C2015" s="1" t="s">
        <v>332</v>
      </c>
      <c r="D2015" s="1" t="s">
        <v>229</v>
      </c>
      <c r="E2015" s="1"/>
    </row>
    <row r="2016" spans="1:5" ht="16">
      <c r="A2016" s="1" t="s">
        <v>1939</v>
      </c>
      <c r="B2016" s="1" t="s">
        <v>2015</v>
      </c>
      <c r="C2016" s="1" t="s">
        <v>332</v>
      </c>
      <c r="D2016" s="1" t="s">
        <v>229</v>
      </c>
      <c r="E2016" s="1" t="s">
        <v>500</v>
      </c>
    </row>
    <row r="2017" spans="1:5" ht="16">
      <c r="A2017" s="1" t="s">
        <v>1939</v>
      </c>
      <c r="B2017" s="1" t="s">
        <v>2016</v>
      </c>
      <c r="C2017" s="1" t="s">
        <v>332</v>
      </c>
      <c r="D2017" s="1" t="s">
        <v>229</v>
      </c>
      <c r="E2017" s="1" t="s">
        <v>500</v>
      </c>
    </row>
    <row r="2018" spans="1:5" ht="16">
      <c r="A2018" s="1" t="s">
        <v>1939</v>
      </c>
      <c r="B2018" s="1" t="s">
        <v>2017</v>
      </c>
      <c r="C2018" s="1" t="s">
        <v>332</v>
      </c>
      <c r="D2018" s="1" t="s">
        <v>229</v>
      </c>
      <c r="E2018" s="1" t="s">
        <v>500</v>
      </c>
    </row>
    <row r="2019" spans="1:5" ht="16">
      <c r="A2019" s="1" t="s">
        <v>1939</v>
      </c>
      <c r="B2019" s="1" t="s">
        <v>2018</v>
      </c>
      <c r="C2019" s="1" t="s">
        <v>334</v>
      </c>
      <c r="D2019" s="1" t="s">
        <v>229</v>
      </c>
      <c r="E2019" s="1" t="s">
        <v>500</v>
      </c>
    </row>
    <row r="2020" spans="1:5" ht="16">
      <c r="A2020" s="1" t="s">
        <v>1939</v>
      </c>
      <c r="B2020" s="1" t="s">
        <v>2019</v>
      </c>
      <c r="C2020" s="1" t="s">
        <v>334</v>
      </c>
      <c r="D2020" s="1" t="s">
        <v>229</v>
      </c>
      <c r="E2020" s="1"/>
    </row>
    <row r="2021" spans="1:5" ht="16">
      <c r="A2021" s="1" t="s">
        <v>1939</v>
      </c>
      <c r="B2021" s="1" t="s">
        <v>2020</v>
      </c>
      <c r="C2021" s="1" t="s">
        <v>334</v>
      </c>
      <c r="D2021" s="1" t="s">
        <v>229</v>
      </c>
      <c r="E2021" s="1"/>
    </row>
    <row r="2022" spans="1:5" ht="16">
      <c r="A2022" s="1" t="s">
        <v>1939</v>
      </c>
      <c r="B2022" s="1" t="s">
        <v>2021</v>
      </c>
      <c r="C2022" s="1" t="s">
        <v>332</v>
      </c>
      <c r="D2022" s="1" t="s">
        <v>229</v>
      </c>
      <c r="E2022" s="1"/>
    </row>
    <row r="2023" spans="1:5" ht="16">
      <c r="A2023" s="1" t="s">
        <v>1939</v>
      </c>
      <c r="B2023" s="1" t="s">
        <v>2022</v>
      </c>
      <c r="C2023" s="1" t="s">
        <v>334</v>
      </c>
      <c r="D2023" s="1" t="s">
        <v>229</v>
      </c>
      <c r="E2023" s="1" t="s">
        <v>500</v>
      </c>
    </row>
    <row r="2024" spans="1:5" ht="16">
      <c r="A2024" s="1" t="s">
        <v>1939</v>
      </c>
      <c r="B2024" s="1" t="s">
        <v>2023</v>
      </c>
      <c r="C2024" s="1" t="s">
        <v>334</v>
      </c>
      <c r="D2024" s="1" t="s">
        <v>229</v>
      </c>
      <c r="E2024" s="1" t="s">
        <v>500</v>
      </c>
    </row>
    <row r="2025" spans="1:5" ht="16">
      <c r="A2025" s="1" t="s">
        <v>1939</v>
      </c>
      <c r="B2025" s="1" t="s">
        <v>2024</v>
      </c>
      <c r="C2025" s="1" t="s">
        <v>334</v>
      </c>
      <c r="D2025" s="1" t="s">
        <v>229</v>
      </c>
      <c r="E2025" s="1" t="s">
        <v>500</v>
      </c>
    </row>
    <row r="2026" spans="1:5" ht="16">
      <c r="A2026" s="1" t="s">
        <v>1939</v>
      </c>
      <c r="B2026" s="1" t="s">
        <v>2025</v>
      </c>
      <c r="C2026" s="1" t="s">
        <v>334</v>
      </c>
      <c r="D2026" s="1" t="s">
        <v>229</v>
      </c>
      <c r="E2026" s="1" t="s">
        <v>500</v>
      </c>
    </row>
    <row r="2027" spans="1:5" ht="16">
      <c r="A2027" s="1" t="s">
        <v>1939</v>
      </c>
      <c r="B2027" s="1" t="s">
        <v>2022</v>
      </c>
      <c r="C2027" s="1" t="s">
        <v>2026</v>
      </c>
      <c r="D2027" s="1" t="s">
        <v>229</v>
      </c>
      <c r="E2027" s="1" t="s">
        <v>500</v>
      </c>
    </row>
    <row r="2028" spans="1:5" ht="16">
      <c r="A2028" s="1" t="s">
        <v>1939</v>
      </c>
      <c r="B2028" s="1" t="s">
        <v>2027</v>
      </c>
      <c r="C2028" s="1" t="s">
        <v>334</v>
      </c>
      <c r="D2028" s="1" t="s">
        <v>229</v>
      </c>
      <c r="E2028" s="1" t="s">
        <v>500</v>
      </c>
    </row>
    <row r="2029" spans="1:5" ht="16">
      <c r="A2029" s="1" t="s">
        <v>1939</v>
      </c>
      <c r="B2029" s="1" t="s">
        <v>2028</v>
      </c>
      <c r="C2029" s="1" t="s">
        <v>2026</v>
      </c>
      <c r="D2029" s="1" t="s">
        <v>229</v>
      </c>
      <c r="E2029" s="1" t="s">
        <v>500</v>
      </c>
    </row>
    <row r="2030" spans="1:5" ht="16">
      <c r="A2030" s="1" t="s">
        <v>1939</v>
      </c>
      <c r="B2030" s="1" t="s">
        <v>2029</v>
      </c>
      <c r="C2030" s="1" t="s">
        <v>2026</v>
      </c>
      <c r="D2030" s="1" t="s">
        <v>229</v>
      </c>
      <c r="E2030" s="1" t="s">
        <v>500</v>
      </c>
    </row>
    <row r="2031" spans="1:5" ht="16">
      <c r="A2031" s="1" t="s">
        <v>1939</v>
      </c>
      <c r="B2031" s="1" t="s">
        <v>2030</v>
      </c>
      <c r="C2031" s="1" t="s">
        <v>334</v>
      </c>
      <c r="D2031" s="1" t="s">
        <v>229</v>
      </c>
      <c r="E2031" s="1" t="s">
        <v>500</v>
      </c>
    </row>
    <row r="2032" spans="1:5" ht="16">
      <c r="A2032" s="1" t="s">
        <v>1939</v>
      </c>
      <c r="B2032" s="1" t="s">
        <v>2022</v>
      </c>
      <c r="C2032" s="1" t="s">
        <v>624</v>
      </c>
      <c r="D2032" s="1" t="s">
        <v>229</v>
      </c>
      <c r="E2032" s="1" t="s">
        <v>500</v>
      </c>
    </row>
    <row r="2033" spans="1:5" ht="16">
      <c r="A2033" s="1" t="s">
        <v>1939</v>
      </c>
      <c r="B2033" s="1" t="s">
        <v>2031</v>
      </c>
      <c r="C2033" s="1" t="s">
        <v>624</v>
      </c>
      <c r="D2033" s="1" t="s">
        <v>229</v>
      </c>
      <c r="E2033" s="1" t="s">
        <v>500</v>
      </c>
    </row>
    <row r="2034" spans="1:5" ht="16">
      <c r="A2034" s="1" t="s">
        <v>1939</v>
      </c>
      <c r="B2034" s="1" t="s">
        <v>2032</v>
      </c>
      <c r="C2034" s="1" t="s">
        <v>624</v>
      </c>
      <c r="D2034" s="1" t="s">
        <v>229</v>
      </c>
      <c r="E2034" s="1" t="s">
        <v>500</v>
      </c>
    </row>
    <row r="2035" spans="1:5" ht="16">
      <c r="A2035" s="1" t="s">
        <v>1939</v>
      </c>
      <c r="B2035" s="1" t="s">
        <v>2033</v>
      </c>
      <c r="C2035" s="1" t="s">
        <v>334</v>
      </c>
      <c r="D2035" s="1" t="s">
        <v>229</v>
      </c>
      <c r="E2035" s="1"/>
    </row>
    <row r="2036" spans="1:5" ht="16">
      <c r="A2036" s="1" t="s">
        <v>1939</v>
      </c>
      <c r="B2036" s="1" t="s">
        <v>2034</v>
      </c>
      <c r="C2036" s="1" t="s">
        <v>334</v>
      </c>
      <c r="D2036" s="1" t="s">
        <v>229</v>
      </c>
      <c r="E2036" s="1"/>
    </row>
    <row r="2037" spans="1:5" ht="16">
      <c r="A2037" s="1" t="s">
        <v>1939</v>
      </c>
      <c r="B2037" s="1" t="s">
        <v>2035</v>
      </c>
      <c r="C2037" s="1" t="s">
        <v>332</v>
      </c>
      <c r="D2037" s="1" t="s">
        <v>229</v>
      </c>
      <c r="E2037" s="1"/>
    </row>
    <row r="2038" spans="1:5" ht="16">
      <c r="A2038" s="1" t="s">
        <v>1939</v>
      </c>
      <c r="B2038" s="1" t="s">
        <v>2036</v>
      </c>
      <c r="C2038" s="1" t="s">
        <v>332</v>
      </c>
      <c r="D2038" s="1" t="s">
        <v>229</v>
      </c>
      <c r="E2038" s="1"/>
    </row>
    <row r="2039" spans="1:5" ht="16">
      <c r="A2039" s="1" t="s">
        <v>1939</v>
      </c>
      <c r="B2039" s="1" t="s">
        <v>2037</v>
      </c>
      <c r="C2039" s="1" t="s">
        <v>332</v>
      </c>
      <c r="D2039" s="1" t="s">
        <v>229</v>
      </c>
      <c r="E2039" s="1"/>
    </row>
    <row r="2040" spans="1:5" ht="16">
      <c r="A2040" s="1" t="s">
        <v>1939</v>
      </c>
      <c r="B2040" s="1" t="s">
        <v>2038</v>
      </c>
      <c r="C2040" s="1" t="s">
        <v>332</v>
      </c>
      <c r="D2040" s="1" t="s">
        <v>229</v>
      </c>
      <c r="E2040" s="1"/>
    </row>
    <row r="2041" spans="1:5" ht="16">
      <c r="A2041" s="1" t="s">
        <v>1939</v>
      </c>
      <c r="B2041" s="1" t="s">
        <v>2039</v>
      </c>
      <c r="C2041" s="1" t="s">
        <v>332</v>
      </c>
      <c r="D2041" s="1" t="s">
        <v>229</v>
      </c>
      <c r="E2041" s="1"/>
    </row>
    <row r="2042" spans="1:5" ht="16">
      <c r="A2042" s="1" t="s">
        <v>1939</v>
      </c>
      <c r="B2042" s="1" t="s">
        <v>2040</v>
      </c>
      <c r="C2042" s="1" t="s">
        <v>332</v>
      </c>
      <c r="D2042" s="1" t="s">
        <v>229</v>
      </c>
      <c r="E2042" s="1"/>
    </row>
    <row r="2043" spans="1:5" ht="16">
      <c r="A2043" s="1" t="s">
        <v>1939</v>
      </c>
      <c r="B2043" s="1" t="s">
        <v>2041</v>
      </c>
      <c r="C2043" s="1" t="s">
        <v>332</v>
      </c>
      <c r="D2043" s="1" t="s">
        <v>229</v>
      </c>
      <c r="E2043" s="1"/>
    </row>
    <row r="2044" spans="1:5" ht="16">
      <c r="A2044" s="1" t="s">
        <v>1939</v>
      </c>
      <c r="B2044" s="1" t="s">
        <v>2042</v>
      </c>
      <c r="C2044" s="1" t="s">
        <v>332</v>
      </c>
      <c r="D2044" s="1" t="s">
        <v>229</v>
      </c>
      <c r="E2044" s="1"/>
    </row>
    <row r="2045" spans="1:5" ht="16">
      <c r="A2045" s="1" t="s">
        <v>1939</v>
      </c>
      <c r="B2045" s="1" t="s">
        <v>2043</v>
      </c>
      <c r="C2045" s="1" t="s">
        <v>332</v>
      </c>
      <c r="D2045" s="1" t="s">
        <v>229</v>
      </c>
      <c r="E2045" s="1"/>
    </row>
    <row r="2046" spans="1:5" ht="16">
      <c r="A2046" s="1" t="s">
        <v>1939</v>
      </c>
      <c r="B2046" s="1" t="s">
        <v>2044</v>
      </c>
      <c r="C2046" s="1" t="s">
        <v>332</v>
      </c>
      <c r="D2046" s="1" t="s">
        <v>229</v>
      </c>
      <c r="E2046" s="1"/>
    </row>
    <row r="2047" spans="1:5" ht="16">
      <c r="A2047" s="1" t="s">
        <v>1939</v>
      </c>
      <c r="B2047" s="1" t="s">
        <v>2045</v>
      </c>
      <c r="C2047" s="1" t="s">
        <v>332</v>
      </c>
      <c r="D2047" s="1" t="s">
        <v>229</v>
      </c>
      <c r="E2047" s="1"/>
    </row>
    <row r="2048" spans="1:5" ht="16">
      <c r="A2048" s="1" t="s">
        <v>1939</v>
      </c>
      <c r="B2048" s="1" t="s">
        <v>2046</v>
      </c>
      <c r="C2048" s="1" t="s">
        <v>332</v>
      </c>
      <c r="D2048" s="1" t="s">
        <v>229</v>
      </c>
      <c r="E2048" s="1"/>
    </row>
    <row r="2049" spans="1:5" ht="16">
      <c r="A2049" s="1" t="s">
        <v>1939</v>
      </c>
      <c r="B2049" s="1" t="s">
        <v>2047</v>
      </c>
      <c r="C2049" s="1" t="s">
        <v>332</v>
      </c>
      <c r="D2049" s="1" t="s">
        <v>229</v>
      </c>
      <c r="E2049" s="1"/>
    </row>
    <row r="2050" spans="1:5" ht="16">
      <c r="A2050" s="1" t="s">
        <v>1939</v>
      </c>
      <c r="B2050" s="1" t="s">
        <v>2048</v>
      </c>
      <c r="C2050" s="1" t="s">
        <v>332</v>
      </c>
      <c r="D2050" s="1" t="s">
        <v>229</v>
      </c>
      <c r="E2050" s="1"/>
    </row>
    <row r="2051" spans="1:5" ht="16">
      <c r="A2051" s="1" t="s">
        <v>1939</v>
      </c>
      <c r="B2051" s="1" t="s">
        <v>2049</v>
      </c>
      <c r="C2051" s="1" t="s">
        <v>334</v>
      </c>
      <c r="D2051" s="1" t="s">
        <v>229</v>
      </c>
      <c r="E2051" s="1" t="s">
        <v>500</v>
      </c>
    </row>
    <row r="2052" spans="1:5" ht="16">
      <c r="A2052" s="1" t="s">
        <v>1939</v>
      </c>
      <c r="B2052" s="1" t="s">
        <v>2050</v>
      </c>
      <c r="C2052" s="1" t="s">
        <v>334</v>
      </c>
      <c r="D2052" s="1" t="s">
        <v>355</v>
      </c>
      <c r="E2052" s="1" t="s">
        <v>500</v>
      </c>
    </row>
    <row r="2053" spans="1:5" ht="16">
      <c r="A2053" s="1" t="s">
        <v>1939</v>
      </c>
      <c r="B2053" s="1" t="s">
        <v>2051</v>
      </c>
      <c r="C2053" s="1" t="s">
        <v>364</v>
      </c>
      <c r="D2053" s="1" t="s">
        <v>229</v>
      </c>
      <c r="E2053" s="1"/>
    </row>
    <row r="2054" spans="1:5" ht="16">
      <c r="A2054" s="1" t="s">
        <v>1939</v>
      </c>
      <c r="B2054" s="1" t="s">
        <v>2052</v>
      </c>
      <c r="C2054" s="1" t="s">
        <v>334</v>
      </c>
      <c r="D2054" s="1" t="s">
        <v>229</v>
      </c>
      <c r="E2054" s="1" t="s">
        <v>500</v>
      </c>
    </row>
    <row r="2055" spans="1:5" ht="16">
      <c r="A2055" s="1" t="s">
        <v>1939</v>
      </c>
      <c r="B2055" s="1" t="s">
        <v>2053</v>
      </c>
      <c r="C2055" s="1" t="s">
        <v>334</v>
      </c>
      <c r="D2055" s="1" t="s">
        <v>229</v>
      </c>
      <c r="E2055" s="1" t="s">
        <v>500</v>
      </c>
    </row>
    <row r="2056" spans="1:5" ht="16">
      <c r="A2056" s="1" t="s">
        <v>1939</v>
      </c>
      <c r="B2056" s="1" t="s">
        <v>2054</v>
      </c>
      <c r="C2056" s="1" t="s">
        <v>2026</v>
      </c>
      <c r="D2056" s="1" t="s">
        <v>229</v>
      </c>
      <c r="E2056" s="1" t="s">
        <v>500</v>
      </c>
    </row>
    <row r="2057" spans="1:5" ht="16">
      <c r="A2057" s="1" t="s">
        <v>1939</v>
      </c>
      <c r="B2057" s="1" t="s">
        <v>2055</v>
      </c>
      <c r="C2057" s="1" t="s">
        <v>624</v>
      </c>
      <c r="D2057" s="1" t="s">
        <v>229</v>
      </c>
      <c r="E2057" s="1" t="s">
        <v>500</v>
      </c>
    </row>
    <row r="2058" spans="1:5" ht="16">
      <c r="A2058" s="1" t="s">
        <v>1939</v>
      </c>
      <c r="B2058" s="1" t="s">
        <v>2043</v>
      </c>
      <c r="C2058" s="1" t="s">
        <v>332</v>
      </c>
      <c r="D2058" s="1" t="s">
        <v>229</v>
      </c>
      <c r="E2058" s="1"/>
    </row>
    <row r="2059" spans="1:5" ht="16">
      <c r="A2059" s="1" t="s">
        <v>1939</v>
      </c>
      <c r="B2059" s="1" t="s">
        <v>2042</v>
      </c>
      <c r="C2059" s="1" t="s">
        <v>332</v>
      </c>
      <c r="D2059" s="1" t="s">
        <v>229</v>
      </c>
      <c r="E2059" s="1"/>
    </row>
    <row r="2060" spans="1:5" ht="16">
      <c r="A2060" s="1" t="s">
        <v>1939</v>
      </c>
      <c r="B2060" s="1" t="s">
        <v>2041</v>
      </c>
      <c r="C2060" s="1" t="s">
        <v>332</v>
      </c>
      <c r="D2060" s="1" t="s">
        <v>229</v>
      </c>
      <c r="E2060" s="1"/>
    </row>
    <row r="2061" spans="1:5" ht="16">
      <c r="A2061" s="1" t="s">
        <v>1939</v>
      </c>
      <c r="B2061" s="1" t="s">
        <v>2056</v>
      </c>
      <c r="C2061" s="1" t="s">
        <v>332</v>
      </c>
      <c r="D2061" s="1" t="s">
        <v>229</v>
      </c>
      <c r="E2061" s="1" t="s">
        <v>500</v>
      </c>
    </row>
    <row r="2062" spans="1:5" ht="16">
      <c r="A2062" s="1" t="s">
        <v>1939</v>
      </c>
      <c r="B2062" s="1" t="s">
        <v>2035</v>
      </c>
      <c r="C2062" s="1" t="s">
        <v>332</v>
      </c>
      <c r="D2062" s="1" t="s">
        <v>229</v>
      </c>
      <c r="E2062" s="1"/>
    </row>
    <row r="2063" spans="1:5" ht="16">
      <c r="A2063" s="1" t="s">
        <v>1939</v>
      </c>
      <c r="B2063" s="1" t="s">
        <v>2036</v>
      </c>
      <c r="C2063" s="1" t="s">
        <v>332</v>
      </c>
      <c r="D2063" s="1" t="s">
        <v>229</v>
      </c>
      <c r="E2063" s="1"/>
    </row>
    <row r="2064" spans="1:5" ht="16">
      <c r="A2064" s="1" t="s">
        <v>1939</v>
      </c>
      <c r="B2064" s="1" t="s">
        <v>2037</v>
      </c>
      <c r="C2064" s="1" t="s">
        <v>332</v>
      </c>
      <c r="D2064" s="1" t="s">
        <v>229</v>
      </c>
      <c r="E2064" s="1"/>
    </row>
    <row r="2065" spans="1:5" ht="16">
      <c r="A2065" s="1" t="s">
        <v>1939</v>
      </c>
      <c r="B2065" s="1" t="s">
        <v>2057</v>
      </c>
      <c r="C2065" s="1" t="s">
        <v>332</v>
      </c>
      <c r="D2065" s="1" t="s">
        <v>229</v>
      </c>
      <c r="E2065" s="1"/>
    </row>
    <row r="2066" spans="1:5" ht="16">
      <c r="A2066" s="1" t="s">
        <v>1939</v>
      </c>
      <c r="B2066" s="1" t="s">
        <v>2038</v>
      </c>
      <c r="C2066" s="1" t="s">
        <v>332</v>
      </c>
      <c r="D2066" s="1" t="s">
        <v>229</v>
      </c>
      <c r="E2066" s="1"/>
    </row>
    <row r="2067" spans="1:5" ht="16">
      <c r="A2067" s="1" t="s">
        <v>1939</v>
      </c>
      <c r="B2067" s="1" t="s">
        <v>2039</v>
      </c>
      <c r="C2067" s="1" t="s">
        <v>332</v>
      </c>
      <c r="D2067" s="1" t="s">
        <v>229</v>
      </c>
      <c r="E2067" s="1"/>
    </row>
    <row r="2068" spans="1:5" ht="16">
      <c r="A2068" s="1" t="s">
        <v>1939</v>
      </c>
      <c r="B2068" s="1" t="s">
        <v>2040</v>
      </c>
      <c r="C2068" s="1" t="s">
        <v>332</v>
      </c>
      <c r="D2068" s="1" t="s">
        <v>229</v>
      </c>
      <c r="E2068" s="1"/>
    </row>
    <row r="2069" spans="1:5" ht="16">
      <c r="A2069" s="1" t="s">
        <v>1939</v>
      </c>
      <c r="B2069" s="1" t="s">
        <v>2058</v>
      </c>
      <c r="C2069" s="1" t="s">
        <v>364</v>
      </c>
      <c r="D2069" s="1" t="s">
        <v>229</v>
      </c>
      <c r="E2069" s="1"/>
    </row>
    <row r="2070" spans="1:5" ht="16">
      <c r="A2070" s="1" t="s">
        <v>1939</v>
      </c>
      <c r="B2070" s="1" t="s">
        <v>2059</v>
      </c>
      <c r="C2070" s="1" t="s">
        <v>334</v>
      </c>
      <c r="D2070" s="1" t="s">
        <v>229</v>
      </c>
      <c r="E2070" s="1" t="s">
        <v>500</v>
      </c>
    </row>
    <row r="2071" spans="1:5" ht="16">
      <c r="A2071" s="1" t="s">
        <v>1939</v>
      </c>
      <c r="B2071" s="1" t="s">
        <v>2060</v>
      </c>
      <c r="C2071" s="1" t="s">
        <v>334</v>
      </c>
      <c r="D2071" s="1" t="s">
        <v>229</v>
      </c>
      <c r="E2071" s="1" t="s">
        <v>500</v>
      </c>
    </row>
    <row r="2072" spans="1:5" ht="16">
      <c r="A2072" s="1" t="s">
        <v>1939</v>
      </c>
      <c r="B2072" s="1" t="s">
        <v>2061</v>
      </c>
      <c r="C2072" s="1" t="s">
        <v>334</v>
      </c>
      <c r="D2072" s="1" t="s">
        <v>229</v>
      </c>
      <c r="E2072" s="1"/>
    </row>
    <row r="2073" spans="1:5" ht="16">
      <c r="A2073" s="1" t="s">
        <v>1939</v>
      </c>
      <c r="B2073" s="1" t="s">
        <v>2062</v>
      </c>
      <c r="C2073" s="1" t="s">
        <v>334</v>
      </c>
      <c r="D2073" s="1" t="s">
        <v>229</v>
      </c>
      <c r="E2073" s="1"/>
    </row>
    <row r="2074" spans="1:5" ht="16">
      <c r="A2074" s="1" t="s">
        <v>1939</v>
      </c>
      <c r="B2074" s="1" t="s">
        <v>2063</v>
      </c>
      <c r="C2074" s="1" t="s">
        <v>334</v>
      </c>
      <c r="D2074" s="1" t="s">
        <v>229</v>
      </c>
      <c r="E2074" s="1"/>
    </row>
    <row r="2075" spans="1:5" ht="16">
      <c r="A2075" s="1" t="s">
        <v>1939</v>
      </c>
      <c r="B2075" s="1" t="s">
        <v>2057</v>
      </c>
      <c r="C2075" s="1" t="s">
        <v>332</v>
      </c>
      <c r="D2075" s="1" t="s">
        <v>229</v>
      </c>
      <c r="E2075" s="1"/>
    </row>
    <row r="2076" spans="1:5" ht="16">
      <c r="A2076" s="1" t="s">
        <v>1939</v>
      </c>
      <c r="B2076" s="1" t="s">
        <v>2064</v>
      </c>
      <c r="C2076" s="1" t="s">
        <v>332</v>
      </c>
      <c r="D2076" s="1" t="s">
        <v>229</v>
      </c>
      <c r="E2076" s="1"/>
    </row>
    <row r="2077" spans="1:5" ht="16">
      <c r="A2077" s="1" t="s">
        <v>1939</v>
      </c>
      <c r="B2077" s="1" t="s">
        <v>2065</v>
      </c>
      <c r="C2077" s="1" t="s">
        <v>332</v>
      </c>
      <c r="D2077" s="1" t="s">
        <v>229</v>
      </c>
      <c r="E2077" s="1"/>
    </row>
    <row r="2078" spans="1:5" ht="16">
      <c r="A2078" s="1" t="s">
        <v>1939</v>
      </c>
      <c r="B2078" s="1" t="s">
        <v>2066</v>
      </c>
      <c r="C2078" s="1" t="s">
        <v>332</v>
      </c>
      <c r="D2078" s="1" t="s">
        <v>229</v>
      </c>
      <c r="E2078" s="1"/>
    </row>
    <row r="2079" spans="1:5" ht="16">
      <c r="A2079" s="1" t="s">
        <v>1939</v>
      </c>
      <c r="B2079" s="1" t="s">
        <v>2067</v>
      </c>
      <c r="C2079" s="1" t="s">
        <v>332</v>
      </c>
      <c r="D2079" s="1" t="s">
        <v>229</v>
      </c>
      <c r="E2079" s="1"/>
    </row>
    <row r="2080" spans="1:5" ht="16">
      <c r="A2080" s="1" t="s">
        <v>1939</v>
      </c>
      <c r="B2080" s="1" t="s">
        <v>2068</v>
      </c>
      <c r="C2080" s="1" t="s">
        <v>332</v>
      </c>
      <c r="D2080" s="1" t="s">
        <v>229</v>
      </c>
      <c r="E2080" s="1"/>
    </row>
    <row r="2081" spans="1:5" ht="16">
      <c r="A2081" s="1" t="s">
        <v>1939</v>
      </c>
      <c r="B2081" s="1" t="s">
        <v>2069</v>
      </c>
      <c r="C2081" s="1" t="s">
        <v>332</v>
      </c>
      <c r="D2081" s="1" t="s">
        <v>229</v>
      </c>
      <c r="E2081" s="1"/>
    </row>
    <row r="2082" spans="1:5" ht="16">
      <c r="A2082" s="1" t="s">
        <v>1939</v>
      </c>
      <c r="B2082" s="1" t="s">
        <v>2070</v>
      </c>
      <c r="C2082" s="1" t="s">
        <v>332</v>
      </c>
      <c r="D2082" s="1" t="s">
        <v>229</v>
      </c>
      <c r="E2082" s="1"/>
    </row>
    <row r="2083" spans="1:5" ht="16">
      <c r="A2083" s="1" t="s">
        <v>1939</v>
      </c>
      <c r="B2083" s="1" t="s">
        <v>2071</v>
      </c>
      <c r="C2083" s="1" t="s">
        <v>332</v>
      </c>
      <c r="D2083" s="1" t="s">
        <v>229</v>
      </c>
      <c r="E2083" s="1"/>
    </row>
    <row r="2084" spans="1:5" ht="16">
      <c r="A2084" s="1" t="s">
        <v>1939</v>
      </c>
      <c r="B2084" s="1" t="s">
        <v>2072</v>
      </c>
      <c r="C2084" s="1" t="s">
        <v>624</v>
      </c>
      <c r="D2084" s="1" t="s">
        <v>229</v>
      </c>
      <c r="E2084" s="1" t="s">
        <v>500</v>
      </c>
    </row>
    <row r="2085" spans="1:5" ht="16">
      <c r="A2085" s="1" t="s">
        <v>1939</v>
      </c>
      <c r="B2085" s="1" t="s">
        <v>2073</v>
      </c>
      <c r="C2085" s="1" t="s">
        <v>334</v>
      </c>
      <c r="D2085" s="1" t="s">
        <v>229</v>
      </c>
      <c r="E2085" s="1" t="s">
        <v>500</v>
      </c>
    </row>
    <row r="2086" spans="1:5" ht="16">
      <c r="A2086" s="1" t="s">
        <v>1939</v>
      </c>
      <c r="B2086" s="1" t="s">
        <v>2074</v>
      </c>
      <c r="C2086" s="1" t="s">
        <v>334</v>
      </c>
      <c r="D2086" s="1" t="s">
        <v>229</v>
      </c>
      <c r="E2086" s="1" t="s">
        <v>500</v>
      </c>
    </row>
    <row r="2087" spans="1:5" ht="16">
      <c r="A2087" s="1" t="s">
        <v>1939</v>
      </c>
      <c r="B2087" s="1" t="s">
        <v>2075</v>
      </c>
      <c r="C2087" s="1" t="s">
        <v>2026</v>
      </c>
      <c r="D2087" s="1" t="s">
        <v>229</v>
      </c>
      <c r="E2087" s="1" t="s">
        <v>500</v>
      </c>
    </row>
    <row r="2088" spans="1:5" ht="16">
      <c r="A2088" s="1" t="s">
        <v>1939</v>
      </c>
      <c r="B2088" s="1" t="s">
        <v>2076</v>
      </c>
      <c r="C2088" s="1" t="s">
        <v>364</v>
      </c>
      <c r="D2088" s="1" t="s">
        <v>229</v>
      </c>
      <c r="E2088" s="1"/>
    </row>
    <row r="2089" spans="1:5" ht="16">
      <c r="A2089" s="1" t="s">
        <v>1939</v>
      </c>
      <c r="B2089" s="1" t="s">
        <v>2077</v>
      </c>
      <c r="C2089" s="1" t="s">
        <v>364</v>
      </c>
      <c r="D2089" s="1" t="s">
        <v>229</v>
      </c>
      <c r="E2089" s="1"/>
    </row>
    <row r="2090" spans="1:5" ht="16">
      <c r="A2090" s="1" t="s">
        <v>1939</v>
      </c>
      <c r="B2090" s="1" t="s">
        <v>2078</v>
      </c>
      <c r="C2090" s="1" t="s">
        <v>332</v>
      </c>
      <c r="D2090" s="1" t="s">
        <v>229</v>
      </c>
      <c r="E2090" s="1"/>
    </row>
    <row r="2091" spans="1:5" ht="16">
      <c r="A2091" s="1" t="s">
        <v>1939</v>
      </c>
      <c r="B2091" s="1" t="s">
        <v>2079</v>
      </c>
      <c r="C2091" s="1" t="s">
        <v>332</v>
      </c>
      <c r="D2091" s="1" t="s">
        <v>229</v>
      </c>
      <c r="E2091" s="1"/>
    </row>
    <row r="2092" spans="1:5" ht="16">
      <c r="A2092" s="1" t="s">
        <v>1939</v>
      </c>
      <c r="B2092" s="1" t="s">
        <v>2080</v>
      </c>
      <c r="C2092" s="1" t="s">
        <v>332</v>
      </c>
      <c r="D2092" s="1" t="s">
        <v>229</v>
      </c>
      <c r="E2092" s="1"/>
    </row>
    <row r="2093" spans="1:5" ht="16">
      <c r="A2093" s="1" t="s">
        <v>1939</v>
      </c>
      <c r="B2093" s="1" t="s">
        <v>2081</v>
      </c>
      <c r="C2093" s="1" t="s">
        <v>334</v>
      </c>
      <c r="D2093" s="1" t="s">
        <v>229</v>
      </c>
      <c r="E2093" s="1" t="s">
        <v>500</v>
      </c>
    </row>
    <row r="2094" spans="1:5" ht="16">
      <c r="A2094" s="1" t="s">
        <v>1939</v>
      </c>
      <c r="B2094" s="1" t="s">
        <v>2082</v>
      </c>
      <c r="C2094" s="1" t="s">
        <v>334</v>
      </c>
      <c r="D2094" s="1" t="s">
        <v>229</v>
      </c>
      <c r="E2094" s="1" t="s">
        <v>500</v>
      </c>
    </row>
    <row r="2095" spans="1:5" ht="16">
      <c r="A2095" s="1" t="s">
        <v>1939</v>
      </c>
      <c r="B2095" s="1" t="s">
        <v>2083</v>
      </c>
      <c r="C2095" s="1" t="s">
        <v>334</v>
      </c>
      <c r="D2095" s="1" t="s">
        <v>229</v>
      </c>
      <c r="E2095" s="1" t="s">
        <v>500</v>
      </c>
    </row>
    <row r="2096" spans="1:5" ht="16">
      <c r="A2096" s="1" t="s">
        <v>1939</v>
      </c>
      <c r="B2096" s="1" t="s">
        <v>2084</v>
      </c>
      <c r="C2096" s="1" t="s">
        <v>334</v>
      </c>
      <c r="D2096" s="1" t="s">
        <v>229</v>
      </c>
      <c r="E2096" s="1" t="s">
        <v>500</v>
      </c>
    </row>
    <row r="2097" spans="1:5" ht="16">
      <c r="A2097" s="1" t="s">
        <v>1939</v>
      </c>
      <c r="B2097" s="1" t="s">
        <v>2085</v>
      </c>
      <c r="C2097" s="1" t="s">
        <v>334</v>
      </c>
      <c r="D2097" s="1" t="s">
        <v>229</v>
      </c>
      <c r="E2097" s="1" t="s">
        <v>500</v>
      </c>
    </row>
    <row r="2098" spans="1:5" ht="16">
      <c r="A2098" s="1" t="s">
        <v>1939</v>
      </c>
      <c r="B2098" s="1" t="s">
        <v>2086</v>
      </c>
      <c r="C2098" s="1" t="s">
        <v>334</v>
      </c>
      <c r="D2098" s="1" t="s">
        <v>229</v>
      </c>
      <c r="E2098" s="1" t="s">
        <v>500</v>
      </c>
    </row>
    <row r="2099" spans="1:5" ht="16">
      <c r="A2099" s="1" t="s">
        <v>1939</v>
      </c>
      <c r="B2099" s="1" t="s">
        <v>2087</v>
      </c>
      <c r="C2099" s="1" t="s">
        <v>334</v>
      </c>
      <c r="D2099" s="1" t="s">
        <v>229</v>
      </c>
      <c r="E2099" s="1" t="s">
        <v>500</v>
      </c>
    </row>
    <row r="2100" spans="1:5" ht="16">
      <c r="A2100" s="1" t="s">
        <v>1939</v>
      </c>
      <c r="B2100" s="1" t="s">
        <v>2088</v>
      </c>
      <c r="C2100" s="1" t="s">
        <v>334</v>
      </c>
      <c r="D2100" s="1" t="s">
        <v>229</v>
      </c>
      <c r="E2100" s="1" t="s">
        <v>500</v>
      </c>
    </row>
    <row r="2101" spans="1:5" ht="16">
      <c r="A2101" s="1" t="s">
        <v>1939</v>
      </c>
      <c r="B2101" s="1" t="s">
        <v>2089</v>
      </c>
      <c r="C2101" s="1" t="s">
        <v>334</v>
      </c>
      <c r="D2101" s="1" t="s">
        <v>229</v>
      </c>
      <c r="E2101" s="1" t="s">
        <v>500</v>
      </c>
    </row>
    <row r="2102" spans="1:5" ht="16">
      <c r="A2102" s="1" t="s">
        <v>1939</v>
      </c>
      <c r="B2102" s="1" t="s">
        <v>2090</v>
      </c>
      <c r="C2102" s="1" t="s">
        <v>334</v>
      </c>
      <c r="D2102" s="1" t="s">
        <v>229</v>
      </c>
      <c r="E2102" s="1" t="s">
        <v>500</v>
      </c>
    </row>
    <row r="2103" spans="1:5" ht="16">
      <c r="A2103" s="1" t="s">
        <v>1939</v>
      </c>
      <c r="B2103" s="1" t="s">
        <v>2091</v>
      </c>
      <c r="C2103" s="1" t="s">
        <v>334</v>
      </c>
      <c r="D2103" s="1" t="s">
        <v>229</v>
      </c>
      <c r="E2103" s="1" t="s">
        <v>500</v>
      </c>
    </row>
    <row r="2104" spans="1:5" ht="16">
      <c r="A2104" s="1" t="s">
        <v>1939</v>
      </c>
      <c r="B2104" s="1" t="s">
        <v>2092</v>
      </c>
      <c r="C2104" s="1" t="s">
        <v>334</v>
      </c>
      <c r="D2104" s="1" t="s">
        <v>229</v>
      </c>
      <c r="E2104" s="1" t="s">
        <v>500</v>
      </c>
    </row>
    <row r="2105" spans="1:5" ht="16">
      <c r="A2105" s="1" t="s">
        <v>1939</v>
      </c>
      <c r="B2105" s="1" t="s">
        <v>2093</v>
      </c>
      <c r="C2105" s="1" t="s">
        <v>334</v>
      </c>
      <c r="D2105" s="1" t="s">
        <v>229</v>
      </c>
      <c r="E2105" s="1" t="s">
        <v>500</v>
      </c>
    </row>
    <row r="2106" spans="1:5" ht="16">
      <c r="A2106" s="1" t="s">
        <v>1939</v>
      </c>
      <c r="B2106" s="1" t="s">
        <v>2094</v>
      </c>
      <c r="C2106" s="1" t="s">
        <v>334</v>
      </c>
      <c r="D2106" s="1" t="s">
        <v>229</v>
      </c>
      <c r="E2106" s="1" t="s">
        <v>500</v>
      </c>
    </row>
    <row r="2107" spans="1:5" ht="16">
      <c r="A2107" s="1" t="s">
        <v>1939</v>
      </c>
      <c r="B2107" s="1" t="s">
        <v>2095</v>
      </c>
      <c r="C2107" s="1" t="s">
        <v>332</v>
      </c>
      <c r="D2107" s="1" t="s">
        <v>229</v>
      </c>
      <c r="E2107" s="1"/>
    </row>
    <row r="2108" spans="1:5" ht="16">
      <c r="A2108" s="1" t="s">
        <v>1939</v>
      </c>
      <c r="B2108" s="1" t="s">
        <v>2096</v>
      </c>
      <c r="C2108" s="1" t="s">
        <v>332</v>
      </c>
      <c r="D2108" s="1" t="s">
        <v>229</v>
      </c>
      <c r="E2108" s="1"/>
    </row>
    <row r="2109" spans="1:5" ht="16">
      <c r="A2109" s="1" t="s">
        <v>1939</v>
      </c>
      <c r="B2109" s="1" t="s">
        <v>2097</v>
      </c>
      <c r="C2109" s="1" t="s">
        <v>332</v>
      </c>
      <c r="D2109" s="1" t="s">
        <v>229</v>
      </c>
      <c r="E2109" s="1"/>
    </row>
    <row r="2110" spans="1:5" ht="16">
      <c r="A2110" s="1" t="s">
        <v>1939</v>
      </c>
      <c r="B2110" s="1" t="s">
        <v>2098</v>
      </c>
      <c r="C2110" s="1" t="s">
        <v>332</v>
      </c>
      <c r="D2110" s="1" t="s">
        <v>229</v>
      </c>
      <c r="E2110" s="1"/>
    </row>
    <row r="2111" spans="1:5" ht="16">
      <c r="A2111" s="1" t="s">
        <v>1939</v>
      </c>
      <c r="B2111" s="1" t="s">
        <v>2099</v>
      </c>
      <c r="C2111" s="1" t="s">
        <v>332</v>
      </c>
      <c r="D2111" s="1" t="s">
        <v>229</v>
      </c>
      <c r="E2111" s="1"/>
    </row>
    <row r="2112" spans="1:5" ht="16">
      <c r="A2112" s="1" t="s">
        <v>1939</v>
      </c>
      <c r="B2112" s="1" t="s">
        <v>2100</v>
      </c>
      <c r="C2112" s="1" t="s">
        <v>332</v>
      </c>
      <c r="D2112" s="1" t="s">
        <v>229</v>
      </c>
      <c r="E2112" s="1"/>
    </row>
    <row r="2113" spans="1:5" ht="16">
      <c r="A2113" s="1" t="s">
        <v>1939</v>
      </c>
      <c r="B2113" s="1" t="s">
        <v>2101</v>
      </c>
      <c r="C2113" s="1" t="s">
        <v>332</v>
      </c>
      <c r="D2113" s="1" t="s">
        <v>229</v>
      </c>
      <c r="E2113" s="1"/>
    </row>
    <row r="2114" spans="1:5" ht="16">
      <c r="A2114" s="1" t="s">
        <v>1939</v>
      </c>
      <c r="B2114" s="1" t="s">
        <v>2102</v>
      </c>
      <c r="C2114" s="1" t="s">
        <v>332</v>
      </c>
      <c r="D2114" s="1" t="s">
        <v>229</v>
      </c>
      <c r="E2114" s="1"/>
    </row>
    <row r="2115" spans="1:5" ht="16">
      <c r="A2115" s="1" t="s">
        <v>1939</v>
      </c>
      <c r="B2115" s="1" t="s">
        <v>2103</v>
      </c>
      <c r="C2115" s="1" t="s">
        <v>332</v>
      </c>
      <c r="D2115" s="1" t="s">
        <v>229</v>
      </c>
      <c r="E2115" s="1"/>
    </row>
    <row r="2116" spans="1:5" ht="16">
      <c r="A2116" s="1" t="s">
        <v>1939</v>
      </c>
      <c r="B2116" s="1" t="s">
        <v>2104</v>
      </c>
      <c r="C2116" s="1" t="s">
        <v>332</v>
      </c>
      <c r="D2116" s="1" t="s">
        <v>229</v>
      </c>
      <c r="E2116" s="1"/>
    </row>
    <row r="2117" spans="1:5" ht="16">
      <c r="A2117" s="1" t="s">
        <v>1939</v>
      </c>
      <c r="B2117" s="1" t="s">
        <v>2105</v>
      </c>
      <c r="C2117" s="1" t="s">
        <v>332</v>
      </c>
      <c r="D2117" s="1" t="s">
        <v>229</v>
      </c>
      <c r="E2117" s="1"/>
    </row>
    <row r="2118" spans="1:5" ht="16">
      <c r="A2118" s="1" t="s">
        <v>1939</v>
      </c>
      <c r="B2118" s="1" t="s">
        <v>2106</v>
      </c>
      <c r="C2118" s="1" t="s">
        <v>332</v>
      </c>
      <c r="D2118" s="1" t="s">
        <v>229</v>
      </c>
      <c r="E2118" s="1"/>
    </row>
    <row r="2119" spans="1:5" ht="16">
      <c r="A2119" s="1" t="s">
        <v>1939</v>
      </c>
      <c r="B2119" s="1" t="s">
        <v>2107</v>
      </c>
      <c r="C2119" s="1" t="s">
        <v>332</v>
      </c>
      <c r="D2119" s="1" t="s">
        <v>229</v>
      </c>
      <c r="E2119" s="1"/>
    </row>
    <row r="2120" spans="1:5" ht="16">
      <c r="A2120" s="1" t="s">
        <v>1939</v>
      </c>
      <c r="B2120" s="1" t="s">
        <v>2108</v>
      </c>
      <c r="C2120" s="1" t="s">
        <v>332</v>
      </c>
      <c r="D2120" s="1" t="s">
        <v>229</v>
      </c>
      <c r="E2120" s="1"/>
    </row>
    <row r="2121" spans="1:5" ht="16">
      <c r="A2121" s="1" t="s">
        <v>1939</v>
      </c>
      <c r="B2121" s="1" t="s">
        <v>2109</v>
      </c>
      <c r="C2121" s="1" t="s">
        <v>332</v>
      </c>
      <c r="D2121" s="1" t="s">
        <v>229</v>
      </c>
      <c r="E2121" s="1"/>
    </row>
    <row r="2122" spans="1:5" ht="16">
      <c r="A2122" s="1" t="s">
        <v>1939</v>
      </c>
      <c r="B2122" s="1" t="s">
        <v>2110</v>
      </c>
      <c r="C2122" s="1" t="s">
        <v>332</v>
      </c>
      <c r="D2122" s="1" t="s">
        <v>229</v>
      </c>
      <c r="E2122" s="1"/>
    </row>
    <row r="2123" spans="1:5" ht="16">
      <c r="A2123" s="1" t="s">
        <v>1939</v>
      </c>
      <c r="B2123" s="1" t="s">
        <v>2111</v>
      </c>
      <c r="C2123" s="1" t="s">
        <v>332</v>
      </c>
      <c r="D2123" s="1" t="s">
        <v>229</v>
      </c>
      <c r="E2123" s="1"/>
    </row>
    <row r="2124" spans="1:5" ht="16">
      <c r="A2124" s="1" t="s">
        <v>1939</v>
      </c>
      <c r="B2124" s="1" t="s">
        <v>2112</v>
      </c>
      <c r="C2124" s="1" t="s">
        <v>332</v>
      </c>
      <c r="D2124" s="1" t="s">
        <v>229</v>
      </c>
      <c r="E2124" s="1"/>
    </row>
    <row r="2125" spans="1:5" ht="16">
      <c r="A2125" s="1" t="s">
        <v>1939</v>
      </c>
      <c r="B2125" s="1" t="s">
        <v>2113</v>
      </c>
      <c r="C2125" s="1" t="s">
        <v>332</v>
      </c>
      <c r="D2125" s="1" t="s">
        <v>229</v>
      </c>
      <c r="E2125" s="1"/>
    </row>
    <row r="2126" spans="1:5" ht="16">
      <c r="A2126" s="1" t="s">
        <v>1939</v>
      </c>
      <c r="B2126" s="1" t="s">
        <v>2114</v>
      </c>
      <c r="C2126" s="1" t="s">
        <v>332</v>
      </c>
      <c r="D2126" s="1" t="s">
        <v>229</v>
      </c>
      <c r="E2126" s="1"/>
    </row>
    <row r="2127" spans="1:5" ht="16">
      <c r="A2127" s="1" t="s">
        <v>1939</v>
      </c>
      <c r="B2127" s="1" t="s">
        <v>2115</v>
      </c>
      <c r="C2127" s="1" t="s">
        <v>332</v>
      </c>
      <c r="D2127" s="1" t="s">
        <v>229</v>
      </c>
      <c r="E2127" s="1"/>
    </row>
    <row r="2128" spans="1:5" ht="16">
      <c r="A2128" s="1" t="s">
        <v>1939</v>
      </c>
      <c r="B2128" s="1" t="s">
        <v>2116</v>
      </c>
      <c r="C2128" s="1" t="s">
        <v>332</v>
      </c>
      <c r="D2128" s="1" t="s">
        <v>229</v>
      </c>
      <c r="E2128" s="1"/>
    </row>
    <row r="2129" spans="1:5" ht="16">
      <c r="A2129" s="1" t="s">
        <v>1939</v>
      </c>
      <c r="B2129" s="1" t="s">
        <v>2117</v>
      </c>
      <c r="C2129" s="1" t="s">
        <v>332</v>
      </c>
      <c r="D2129" s="1" t="s">
        <v>229</v>
      </c>
      <c r="E2129" s="1"/>
    </row>
    <row r="2130" spans="1:5" ht="16">
      <c r="A2130" s="1" t="s">
        <v>1939</v>
      </c>
      <c r="B2130" s="1" t="s">
        <v>2118</v>
      </c>
      <c r="C2130" s="1" t="s">
        <v>332</v>
      </c>
      <c r="D2130" s="1" t="s">
        <v>229</v>
      </c>
      <c r="E2130" s="1"/>
    </row>
    <row r="2131" spans="1:5" ht="16">
      <c r="A2131" s="1" t="s">
        <v>1939</v>
      </c>
      <c r="B2131" s="1" t="s">
        <v>2119</v>
      </c>
      <c r="C2131" s="1" t="s">
        <v>332</v>
      </c>
      <c r="D2131" s="1" t="s">
        <v>229</v>
      </c>
      <c r="E2131" s="1"/>
    </row>
    <row r="2132" spans="1:5" ht="16">
      <c r="A2132" s="1" t="s">
        <v>1939</v>
      </c>
      <c r="B2132" s="1" t="s">
        <v>2120</v>
      </c>
      <c r="C2132" s="1" t="s">
        <v>332</v>
      </c>
      <c r="D2132" s="1" t="s">
        <v>229</v>
      </c>
      <c r="E2132" s="1"/>
    </row>
    <row r="2133" spans="1:5" ht="16">
      <c r="A2133" s="1" t="s">
        <v>1939</v>
      </c>
      <c r="B2133" s="1" t="s">
        <v>2121</v>
      </c>
      <c r="C2133" s="1" t="s">
        <v>334</v>
      </c>
      <c r="D2133" s="1" t="s">
        <v>229</v>
      </c>
      <c r="E2133" s="1"/>
    </row>
    <row r="2134" spans="1:5" ht="16">
      <c r="A2134" s="1" t="s">
        <v>1939</v>
      </c>
      <c r="B2134" s="1" t="s">
        <v>2122</v>
      </c>
      <c r="C2134" s="1" t="s">
        <v>334</v>
      </c>
      <c r="D2134" s="1" t="s">
        <v>229</v>
      </c>
      <c r="E2134" s="1"/>
    </row>
    <row r="2135" spans="1:5" ht="16">
      <c r="A2135" s="1" t="s">
        <v>1939</v>
      </c>
      <c r="B2135" s="1" t="s">
        <v>2123</v>
      </c>
      <c r="C2135" s="1" t="s">
        <v>334</v>
      </c>
      <c r="D2135" s="1" t="s">
        <v>229</v>
      </c>
      <c r="E2135" s="1"/>
    </row>
    <row r="2136" spans="1:5" ht="16">
      <c r="A2136" s="1" t="s">
        <v>1939</v>
      </c>
      <c r="B2136" s="1" t="s">
        <v>2124</v>
      </c>
      <c r="C2136" s="1" t="s">
        <v>334</v>
      </c>
      <c r="D2136" s="1" t="s">
        <v>229</v>
      </c>
      <c r="E2136" s="1"/>
    </row>
    <row r="2137" spans="1:5" ht="16">
      <c r="A2137" s="1" t="s">
        <v>1939</v>
      </c>
      <c r="B2137" s="1" t="s">
        <v>2125</v>
      </c>
      <c r="C2137" s="1" t="s">
        <v>334</v>
      </c>
      <c r="D2137" s="1" t="s">
        <v>229</v>
      </c>
      <c r="E2137" s="1"/>
    </row>
    <row r="2138" spans="1:5" ht="16">
      <c r="A2138" s="1" t="s">
        <v>1939</v>
      </c>
      <c r="B2138" s="1" t="s">
        <v>2126</v>
      </c>
      <c r="C2138" s="1" t="s">
        <v>334</v>
      </c>
      <c r="D2138" s="1" t="s">
        <v>229</v>
      </c>
      <c r="E2138" s="1"/>
    </row>
    <row r="2139" spans="1:5" ht="16">
      <c r="A2139" s="1" t="s">
        <v>1939</v>
      </c>
      <c r="B2139" s="1" t="s">
        <v>2127</v>
      </c>
      <c r="C2139" s="1" t="s">
        <v>334</v>
      </c>
      <c r="D2139" s="1" t="s">
        <v>229</v>
      </c>
      <c r="E2139" s="1"/>
    </row>
    <row r="2140" spans="1:5" ht="16">
      <c r="A2140" s="1" t="s">
        <v>1939</v>
      </c>
      <c r="B2140" s="1" t="s">
        <v>2128</v>
      </c>
      <c r="C2140" s="1" t="s">
        <v>334</v>
      </c>
      <c r="D2140" s="1" t="s">
        <v>229</v>
      </c>
      <c r="E2140" s="1"/>
    </row>
    <row r="2141" spans="1:5" ht="16">
      <c r="A2141" s="1" t="s">
        <v>1939</v>
      </c>
      <c r="B2141" s="1" t="s">
        <v>2015</v>
      </c>
      <c r="C2141" s="1" t="s">
        <v>332</v>
      </c>
      <c r="D2141" s="1" t="s">
        <v>229</v>
      </c>
      <c r="E2141" s="1" t="s">
        <v>500</v>
      </c>
    </row>
    <row r="2142" spans="1:5" ht="16">
      <c r="A2142" s="1" t="s">
        <v>1939</v>
      </c>
      <c r="B2142" s="1" t="s">
        <v>2017</v>
      </c>
      <c r="C2142" s="1" t="s">
        <v>332</v>
      </c>
      <c r="D2142" s="1" t="s">
        <v>229</v>
      </c>
      <c r="E2142" s="1" t="s">
        <v>500</v>
      </c>
    </row>
    <row r="2143" spans="1:5" ht="16">
      <c r="A2143" s="1" t="s">
        <v>1939</v>
      </c>
      <c r="B2143" s="1" t="s">
        <v>2129</v>
      </c>
      <c r="C2143" s="1" t="s">
        <v>334</v>
      </c>
      <c r="D2143" s="1" t="s">
        <v>229</v>
      </c>
      <c r="E2143" s="1"/>
    </row>
    <row r="2144" spans="1:5" ht="16">
      <c r="A2144" s="1" t="s">
        <v>1939</v>
      </c>
      <c r="B2144" s="1" t="s">
        <v>2130</v>
      </c>
      <c r="C2144" s="1" t="s">
        <v>334</v>
      </c>
      <c r="D2144" s="1" t="s">
        <v>229</v>
      </c>
      <c r="E2144" s="1"/>
    </row>
    <row r="2145" spans="1:5" ht="16">
      <c r="A2145" s="1" t="s">
        <v>1939</v>
      </c>
      <c r="B2145" s="1" t="s">
        <v>2131</v>
      </c>
      <c r="C2145" s="1" t="s">
        <v>332</v>
      </c>
      <c r="D2145" s="1" t="s">
        <v>229</v>
      </c>
      <c r="E2145" s="1"/>
    </row>
    <row r="2146" spans="1:5" ht="16">
      <c r="A2146" s="1" t="s">
        <v>1939</v>
      </c>
      <c r="B2146" s="1" t="s">
        <v>2132</v>
      </c>
      <c r="C2146" s="1" t="s">
        <v>332</v>
      </c>
      <c r="D2146" s="1" t="s">
        <v>229</v>
      </c>
      <c r="E2146" s="1"/>
    </row>
    <row r="2147" spans="1:5" ht="16">
      <c r="A2147" s="1" t="s">
        <v>1939</v>
      </c>
      <c r="B2147" s="1" t="s">
        <v>2133</v>
      </c>
      <c r="C2147" s="1" t="s">
        <v>332</v>
      </c>
      <c r="D2147" s="1" t="s">
        <v>229</v>
      </c>
      <c r="E2147" s="1"/>
    </row>
    <row r="2148" spans="1:5" ht="16">
      <c r="A2148" s="1" t="s">
        <v>1939</v>
      </c>
      <c r="B2148" s="1" t="s">
        <v>2134</v>
      </c>
      <c r="C2148" s="1" t="s">
        <v>332</v>
      </c>
      <c r="D2148" s="1" t="s">
        <v>229</v>
      </c>
      <c r="E2148" s="1"/>
    </row>
    <row r="2149" spans="1:5" ht="16">
      <c r="A2149" s="1" t="s">
        <v>1939</v>
      </c>
      <c r="B2149" s="1" t="s">
        <v>2135</v>
      </c>
      <c r="C2149" s="1" t="s">
        <v>332</v>
      </c>
      <c r="D2149" s="1" t="s">
        <v>229</v>
      </c>
      <c r="E2149" s="1"/>
    </row>
    <row r="2150" spans="1:5" ht="16">
      <c r="A2150" s="1" t="s">
        <v>1939</v>
      </c>
      <c r="B2150" s="1" t="s">
        <v>2136</v>
      </c>
      <c r="C2150" s="1" t="s">
        <v>332</v>
      </c>
      <c r="D2150" s="1" t="s">
        <v>229</v>
      </c>
      <c r="E2150" s="1"/>
    </row>
    <row r="2151" spans="1:5" ht="16">
      <c r="A2151" s="1" t="s">
        <v>1939</v>
      </c>
      <c r="B2151" s="1" t="s">
        <v>2137</v>
      </c>
      <c r="C2151" s="1" t="s">
        <v>332</v>
      </c>
      <c r="D2151" s="1" t="s">
        <v>229</v>
      </c>
      <c r="E2151" s="1"/>
    </row>
    <row r="2152" spans="1:5" ht="16">
      <c r="A2152" s="1" t="s">
        <v>1939</v>
      </c>
      <c r="B2152" s="1" t="s">
        <v>2138</v>
      </c>
      <c r="C2152" s="1" t="s">
        <v>332</v>
      </c>
      <c r="D2152" s="1" t="s">
        <v>229</v>
      </c>
      <c r="E2152" s="1"/>
    </row>
    <row r="2153" spans="1:5" ht="16">
      <c r="A2153" s="1" t="s">
        <v>1939</v>
      </c>
      <c r="B2153" s="1" t="s">
        <v>2139</v>
      </c>
      <c r="C2153" s="1" t="s">
        <v>332</v>
      </c>
      <c r="D2153" s="1" t="s">
        <v>229</v>
      </c>
      <c r="E2153" s="1"/>
    </row>
    <row r="2154" spans="1:5" ht="16">
      <c r="A2154" s="1" t="s">
        <v>1939</v>
      </c>
      <c r="B2154" s="1" t="s">
        <v>2140</v>
      </c>
      <c r="C2154" s="1" t="s">
        <v>332</v>
      </c>
      <c r="D2154" s="1" t="s">
        <v>229</v>
      </c>
      <c r="E2154" s="1"/>
    </row>
    <row r="2155" spans="1:5" ht="16">
      <c r="A2155" s="1" t="s">
        <v>1939</v>
      </c>
      <c r="B2155" s="1" t="s">
        <v>2141</v>
      </c>
      <c r="C2155" s="1" t="s">
        <v>332</v>
      </c>
      <c r="D2155" s="1" t="s">
        <v>229</v>
      </c>
      <c r="E2155" s="1"/>
    </row>
    <row r="2156" spans="1:5" ht="16">
      <c r="A2156" s="1" t="s">
        <v>1939</v>
      </c>
      <c r="B2156" s="1" t="s">
        <v>2142</v>
      </c>
      <c r="C2156" s="1" t="s">
        <v>332</v>
      </c>
      <c r="D2156" s="1" t="s">
        <v>229</v>
      </c>
      <c r="E2156" s="1"/>
    </row>
    <row r="2157" spans="1:5" ht="16">
      <c r="A2157" s="1" t="s">
        <v>1939</v>
      </c>
      <c r="B2157" s="1" t="s">
        <v>2143</v>
      </c>
      <c r="C2157" s="1" t="s">
        <v>332</v>
      </c>
      <c r="D2157" s="1" t="s">
        <v>229</v>
      </c>
      <c r="E2157" s="1"/>
    </row>
    <row r="2158" spans="1:5" ht="16">
      <c r="A2158" s="1" t="s">
        <v>1939</v>
      </c>
      <c r="B2158" s="1" t="s">
        <v>2144</v>
      </c>
      <c r="C2158" s="1" t="s">
        <v>332</v>
      </c>
      <c r="D2158" s="1" t="s">
        <v>229</v>
      </c>
      <c r="E2158" s="1"/>
    </row>
    <row r="2159" spans="1:5" ht="16">
      <c r="A2159" s="1" t="s">
        <v>1939</v>
      </c>
      <c r="B2159" s="1" t="s">
        <v>2145</v>
      </c>
      <c r="C2159" s="1" t="s">
        <v>332</v>
      </c>
      <c r="D2159" s="1" t="s">
        <v>229</v>
      </c>
      <c r="E2159" s="1"/>
    </row>
    <row r="2160" spans="1:5" ht="16">
      <c r="A2160" s="1" t="s">
        <v>1939</v>
      </c>
      <c r="B2160" s="1" t="s">
        <v>2146</v>
      </c>
      <c r="C2160" s="1" t="s">
        <v>332</v>
      </c>
      <c r="D2160" s="1" t="s">
        <v>229</v>
      </c>
      <c r="E2160" s="1"/>
    </row>
    <row r="2161" spans="1:5" ht="16">
      <c r="A2161" s="1" t="s">
        <v>1939</v>
      </c>
      <c r="B2161" s="1" t="s">
        <v>2147</v>
      </c>
      <c r="C2161" s="1" t="s">
        <v>332</v>
      </c>
      <c r="D2161" s="1" t="s">
        <v>229</v>
      </c>
      <c r="E2161" s="1"/>
    </row>
    <row r="2162" spans="1:5" ht="16">
      <c r="A2162" s="1" t="s">
        <v>1939</v>
      </c>
      <c r="B2162" s="1" t="s">
        <v>2148</v>
      </c>
      <c r="C2162" s="1" t="s">
        <v>332</v>
      </c>
      <c r="D2162" s="1" t="s">
        <v>229</v>
      </c>
      <c r="E2162" s="1"/>
    </row>
    <row r="2163" spans="1:5" ht="16">
      <c r="A2163" s="1" t="s">
        <v>1939</v>
      </c>
      <c r="B2163" s="1" t="s">
        <v>2149</v>
      </c>
      <c r="C2163" s="1" t="s">
        <v>332</v>
      </c>
      <c r="D2163" s="1" t="s">
        <v>229</v>
      </c>
      <c r="E2163" s="1"/>
    </row>
    <row r="2164" spans="1:5" ht="16">
      <c r="A2164" s="1" t="s">
        <v>1939</v>
      </c>
      <c r="B2164" s="1" t="s">
        <v>2150</v>
      </c>
      <c r="C2164" s="1" t="s">
        <v>332</v>
      </c>
      <c r="D2164" s="1" t="s">
        <v>229</v>
      </c>
      <c r="E2164" s="1"/>
    </row>
    <row r="2165" spans="1:5" ht="16">
      <c r="A2165" s="1" t="s">
        <v>1939</v>
      </c>
      <c r="B2165" s="1" t="s">
        <v>2151</v>
      </c>
      <c r="C2165" s="1" t="s">
        <v>332</v>
      </c>
      <c r="D2165" s="1" t="s">
        <v>229</v>
      </c>
      <c r="E2165" s="1"/>
    </row>
    <row r="2166" spans="1:5" ht="16">
      <c r="A2166" s="1" t="s">
        <v>1939</v>
      </c>
      <c r="B2166" s="1" t="s">
        <v>2152</v>
      </c>
      <c r="C2166" s="1" t="s">
        <v>332</v>
      </c>
      <c r="D2166" s="1" t="s">
        <v>229</v>
      </c>
      <c r="E2166" s="1"/>
    </row>
    <row r="2167" spans="1:5" ht="16">
      <c r="A2167" s="1" t="s">
        <v>1939</v>
      </c>
      <c r="B2167" s="1" t="s">
        <v>2153</v>
      </c>
      <c r="C2167" s="1" t="s">
        <v>332</v>
      </c>
      <c r="D2167" s="1" t="s">
        <v>229</v>
      </c>
      <c r="E2167" s="1"/>
    </row>
    <row r="2168" spans="1:5" ht="16">
      <c r="A2168" s="1" t="s">
        <v>1939</v>
      </c>
      <c r="B2168" s="1" t="s">
        <v>2154</v>
      </c>
      <c r="C2168" s="1" t="s">
        <v>332</v>
      </c>
      <c r="D2168" s="1" t="s">
        <v>229</v>
      </c>
      <c r="E2168" s="1"/>
    </row>
    <row r="2169" spans="1:5" ht="16">
      <c r="A2169" s="1" t="s">
        <v>1939</v>
      </c>
      <c r="B2169" s="1" t="s">
        <v>2155</v>
      </c>
      <c r="C2169" s="1" t="s">
        <v>332</v>
      </c>
      <c r="D2169" s="1" t="s">
        <v>229</v>
      </c>
      <c r="E2169" s="1"/>
    </row>
    <row r="2170" spans="1:5" ht="16">
      <c r="A2170" s="1" t="s">
        <v>1939</v>
      </c>
      <c r="B2170" s="1" t="s">
        <v>2156</v>
      </c>
      <c r="C2170" s="1" t="s">
        <v>332</v>
      </c>
      <c r="D2170" s="1" t="s">
        <v>229</v>
      </c>
      <c r="E2170" s="1"/>
    </row>
    <row r="2171" spans="1:5" ht="16">
      <c r="A2171" s="1" t="s">
        <v>1939</v>
      </c>
      <c r="B2171" s="1" t="s">
        <v>2157</v>
      </c>
      <c r="C2171" s="1" t="s">
        <v>332</v>
      </c>
      <c r="D2171" s="1" t="s">
        <v>229</v>
      </c>
      <c r="E2171" s="1"/>
    </row>
    <row r="2172" spans="1:5" ht="16">
      <c r="A2172" s="1" t="s">
        <v>1939</v>
      </c>
      <c r="B2172" s="1" t="s">
        <v>2158</v>
      </c>
      <c r="C2172" s="1" t="s">
        <v>332</v>
      </c>
      <c r="D2172" s="1" t="s">
        <v>229</v>
      </c>
      <c r="E2172" s="1"/>
    </row>
    <row r="2173" spans="1:5" ht="16">
      <c r="A2173" s="1" t="s">
        <v>1939</v>
      </c>
      <c r="B2173" s="1" t="s">
        <v>2159</v>
      </c>
      <c r="C2173" s="1" t="s">
        <v>332</v>
      </c>
      <c r="D2173" s="1" t="s">
        <v>229</v>
      </c>
      <c r="E2173" s="1"/>
    </row>
    <row r="2174" spans="1:5" ht="16">
      <c r="A2174" s="1" t="s">
        <v>1939</v>
      </c>
      <c r="B2174" s="1" t="s">
        <v>2160</v>
      </c>
      <c r="C2174" s="1" t="s">
        <v>332</v>
      </c>
      <c r="D2174" s="1" t="s">
        <v>229</v>
      </c>
      <c r="E2174" s="1"/>
    </row>
    <row r="2175" spans="1:5" ht="16">
      <c r="A2175" s="1" t="s">
        <v>1939</v>
      </c>
      <c r="B2175" s="1" t="s">
        <v>2161</v>
      </c>
      <c r="C2175" s="1" t="s">
        <v>332</v>
      </c>
      <c r="D2175" s="1" t="s">
        <v>229</v>
      </c>
      <c r="E2175" s="1"/>
    </row>
    <row r="2176" spans="1:5" ht="16">
      <c r="A2176" s="1" t="s">
        <v>1939</v>
      </c>
      <c r="B2176" s="1" t="s">
        <v>2162</v>
      </c>
      <c r="C2176" s="1" t="s">
        <v>332</v>
      </c>
      <c r="D2176" s="1" t="s">
        <v>229</v>
      </c>
      <c r="E2176" s="1"/>
    </row>
    <row r="2177" spans="1:5" ht="16">
      <c r="A2177" s="1" t="s">
        <v>1939</v>
      </c>
      <c r="B2177" s="1" t="s">
        <v>2163</v>
      </c>
      <c r="C2177" s="1" t="s">
        <v>332</v>
      </c>
      <c r="D2177" s="1" t="s">
        <v>229</v>
      </c>
      <c r="E2177" s="1"/>
    </row>
    <row r="2178" spans="1:5" ht="16">
      <c r="A2178" s="1" t="s">
        <v>1939</v>
      </c>
      <c r="B2178" s="1" t="s">
        <v>2164</v>
      </c>
      <c r="C2178" s="1" t="s">
        <v>332</v>
      </c>
      <c r="D2178" s="1" t="s">
        <v>229</v>
      </c>
      <c r="E2178" s="1"/>
    </row>
    <row r="2179" spans="1:5" ht="16">
      <c r="A2179" s="1" t="s">
        <v>1939</v>
      </c>
      <c r="B2179" s="1" t="s">
        <v>2165</v>
      </c>
      <c r="C2179" s="1" t="s">
        <v>332</v>
      </c>
      <c r="D2179" s="1" t="s">
        <v>229</v>
      </c>
      <c r="E2179" s="1"/>
    </row>
    <row r="2180" spans="1:5" ht="16">
      <c r="A2180" s="1" t="s">
        <v>1939</v>
      </c>
      <c r="B2180" s="1" t="s">
        <v>2166</v>
      </c>
      <c r="C2180" s="1" t="s">
        <v>332</v>
      </c>
      <c r="D2180" s="1" t="s">
        <v>229</v>
      </c>
      <c r="E2180" s="1"/>
    </row>
    <row r="2181" spans="1:5" ht="16">
      <c r="A2181" s="1" t="s">
        <v>1939</v>
      </c>
      <c r="B2181" s="1" t="s">
        <v>2167</v>
      </c>
      <c r="C2181" s="1" t="s">
        <v>332</v>
      </c>
      <c r="D2181" s="1" t="s">
        <v>229</v>
      </c>
      <c r="E2181" s="1"/>
    </row>
    <row r="2182" spans="1:5" ht="16">
      <c r="A2182" s="1" t="s">
        <v>1939</v>
      </c>
      <c r="B2182" s="1" t="s">
        <v>2168</v>
      </c>
      <c r="C2182" s="1" t="s">
        <v>332</v>
      </c>
      <c r="D2182" s="1" t="s">
        <v>229</v>
      </c>
      <c r="E2182" s="1"/>
    </row>
    <row r="2183" spans="1:5" ht="16">
      <c r="A2183" s="1" t="s">
        <v>1939</v>
      </c>
      <c r="B2183" s="1" t="s">
        <v>2169</v>
      </c>
      <c r="C2183" s="1" t="s">
        <v>332</v>
      </c>
      <c r="D2183" s="1" t="s">
        <v>229</v>
      </c>
      <c r="E2183" s="1"/>
    </row>
    <row r="2184" spans="1:5" ht="16">
      <c r="A2184" s="1" t="s">
        <v>1939</v>
      </c>
      <c r="B2184" s="1" t="s">
        <v>2170</v>
      </c>
      <c r="C2184" s="1" t="s">
        <v>332</v>
      </c>
      <c r="D2184" s="1" t="s">
        <v>229</v>
      </c>
      <c r="E2184" s="1"/>
    </row>
    <row r="2185" spans="1:5" ht="16">
      <c r="A2185" s="1" t="s">
        <v>1939</v>
      </c>
      <c r="B2185" s="1" t="s">
        <v>2171</v>
      </c>
      <c r="C2185" s="1" t="s">
        <v>332</v>
      </c>
      <c r="D2185" s="1" t="s">
        <v>229</v>
      </c>
      <c r="E2185" s="1"/>
    </row>
    <row r="2186" spans="1:5" ht="16">
      <c r="A2186" s="1" t="s">
        <v>1939</v>
      </c>
      <c r="B2186" s="1" t="s">
        <v>2172</v>
      </c>
      <c r="C2186" s="1" t="s">
        <v>332</v>
      </c>
      <c r="D2186" s="1" t="s">
        <v>229</v>
      </c>
      <c r="E2186" s="1"/>
    </row>
    <row r="2187" spans="1:5" ht="16">
      <c r="A2187" s="1" t="s">
        <v>1939</v>
      </c>
      <c r="B2187" s="1" t="s">
        <v>2173</v>
      </c>
      <c r="C2187" s="1" t="s">
        <v>332</v>
      </c>
      <c r="D2187" s="1" t="s">
        <v>229</v>
      </c>
      <c r="E2187" s="1"/>
    </row>
    <row r="2188" spans="1:5" ht="16">
      <c r="A2188" s="1" t="s">
        <v>1939</v>
      </c>
      <c r="B2188" s="1" t="s">
        <v>2174</v>
      </c>
      <c r="C2188" s="1" t="s">
        <v>332</v>
      </c>
      <c r="D2188" s="1" t="s">
        <v>229</v>
      </c>
      <c r="E2188" s="1"/>
    </row>
    <row r="2189" spans="1:5" ht="16">
      <c r="A2189" s="1" t="s">
        <v>1939</v>
      </c>
      <c r="B2189" s="1" t="s">
        <v>2175</v>
      </c>
      <c r="C2189" s="1" t="s">
        <v>332</v>
      </c>
      <c r="D2189" s="1" t="s">
        <v>229</v>
      </c>
      <c r="E2189" s="1"/>
    </row>
    <row r="2190" spans="1:5" ht="16">
      <c r="A2190" s="1" t="s">
        <v>1939</v>
      </c>
      <c r="B2190" s="1" t="s">
        <v>2176</v>
      </c>
      <c r="C2190" s="1" t="s">
        <v>332</v>
      </c>
      <c r="D2190" s="1" t="s">
        <v>229</v>
      </c>
      <c r="E2190" s="1"/>
    </row>
    <row r="2191" spans="1:5" ht="16">
      <c r="A2191" s="1" t="s">
        <v>1939</v>
      </c>
      <c r="B2191" s="1" t="s">
        <v>2177</v>
      </c>
      <c r="C2191" s="1" t="s">
        <v>332</v>
      </c>
      <c r="D2191" s="1" t="s">
        <v>229</v>
      </c>
      <c r="E2191" s="1"/>
    </row>
    <row r="2192" spans="1:5" ht="16">
      <c r="A2192" s="1" t="s">
        <v>1939</v>
      </c>
      <c r="B2192" s="1" t="s">
        <v>2178</v>
      </c>
      <c r="C2192" s="1" t="s">
        <v>332</v>
      </c>
      <c r="D2192" s="1" t="s">
        <v>229</v>
      </c>
      <c r="E2192" s="1"/>
    </row>
    <row r="2193" spans="1:5" ht="16">
      <c r="A2193" s="1" t="s">
        <v>1939</v>
      </c>
      <c r="B2193" s="1" t="s">
        <v>2179</v>
      </c>
      <c r="C2193" s="1" t="s">
        <v>332</v>
      </c>
      <c r="D2193" s="1" t="s">
        <v>229</v>
      </c>
      <c r="E2193" s="1"/>
    </row>
    <row r="2194" spans="1:5" ht="16">
      <c r="A2194" s="1" t="s">
        <v>1939</v>
      </c>
      <c r="B2194" s="1" t="s">
        <v>2180</v>
      </c>
      <c r="C2194" s="1" t="s">
        <v>332</v>
      </c>
      <c r="D2194" s="1" t="s">
        <v>229</v>
      </c>
      <c r="E2194" s="1"/>
    </row>
    <row r="2195" spans="1:5" ht="16">
      <c r="A2195" s="1" t="s">
        <v>1939</v>
      </c>
      <c r="B2195" s="1" t="s">
        <v>2181</v>
      </c>
      <c r="C2195" s="1" t="s">
        <v>332</v>
      </c>
      <c r="D2195" s="1" t="s">
        <v>229</v>
      </c>
      <c r="E2195" s="1"/>
    </row>
    <row r="2196" spans="1:5" ht="16">
      <c r="A2196" s="1" t="s">
        <v>1939</v>
      </c>
      <c r="B2196" s="1" t="s">
        <v>2182</v>
      </c>
      <c r="C2196" s="1" t="s">
        <v>332</v>
      </c>
      <c r="D2196" s="1" t="s">
        <v>229</v>
      </c>
      <c r="E2196" s="1"/>
    </row>
    <row r="2197" spans="1:5" ht="16">
      <c r="A2197" s="1" t="s">
        <v>1939</v>
      </c>
      <c r="B2197" s="1" t="s">
        <v>2183</v>
      </c>
      <c r="C2197" s="1" t="s">
        <v>332</v>
      </c>
      <c r="D2197" s="1" t="s">
        <v>229</v>
      </c>
      <c r="E2197" s="1"/>
    </row>
    <row r="2198" spans="1:5" ht="16">
      <c r="A2198" s="1" t="s">
        <v>1939</v>
      </c>
      <c r="B2198" s="1" t="s">
        <v>2184</v>
      </c>
      <c r="C2198" s="1" t="s">
        <v>332</v>
      </c>
      <c r="D2198" s="1" t="s">
        <v>229</v>
      </c>
      <c r="E2198" s="1"/>
    </row>
    <row r="2199" spans="1:5" ht="16">
      <c r="A2199" s="1" t="s">
        <v>1939</v>
      </c>
      <c r="B2199" s="1" t="s">
        <v>2185</v>
      </c>
      <c r="C2199" s="1" t="s">
        <v>332</v>
      </c>
      <c r="D2199" s="1" t="s">
        <v>229</v>
      </c>
      <c r="E2199" s="1"/>
    </row>
    <row r="2200" spans="1:5" ht="16">
      <c r="A2200" s="1" t="s">
        <v>1939</v>
      </c>
      <c r="B2200" s="1" t="s">
        <v>2186</v>
      </c>
      <c r="C2200" s="1" t="s">
        <v>332</v>
      </c>
      <c r="D2200" s="1" t="s">
        <v>229</v>
      </c>
      <c r="E2200" s="1"/>
    </row>
    <row r="2201" spans="1:5" ht="16">
      <c r="A2201" s="1" t="s">
        <v>1939</v>
      </c>
      <c r="B2201" s="1" t="s">
        <v>2187</v>
      </c>
      <c r="C2201" s="1" t="s">
        <v>332</v>
      </c>
      <c r="D2201" s="1" t="s">
        <v>229</v>
      </c>
      <c r="E2201" s="1"/>
    </row>
    <row r="2202" spans="1:5" ht="16">
      <c r="A2202" s="1" t="s">
        <v>1939</v>
      </c>
      <c r="B2202" s="1" t="s">
        <v>2188</v>
      </c>
      <c r="C2202" s="1" t="s">
        <v>332</v>
      </c>
      <c r="D2202" s="1" t="s">
        <v>229</v>
      </c>
      <c r="E2202" s="1"/>
    </row>
    <row r="2203" spans="1:5" ht="16">
      <c r="A2203" s="1" t="s">
        <v>1939</v>
      </c>
      <c r="B2203" s="1" t="s">
        <v>2189</v>
      </c>
      <c r="C2203" s="1" t="s">
        <v>332</v>
      </c>
      <c r="D2203" s="1" t="s">
        <v>229</v>
      </c>
      <c r="E2203" s="1"/>
    </row>
    <row r="2204" spans="1:5" ht="16">
      <c r="A2204" s="1" t="s">
        <v>1939</v>
      </c>
      <c r="B2204" s="1" t="s">
        <v>2190</v>
      </c>
      <c r="C2204" s="1" t="s">
        <v>332</v>
      </c>
      <c r="D2204" s="1" t="s">
        <v>229</v>
      </c>
      <c r="E2204" s="1"/>
    </row>
    <row r="2205" spans="1:5" ht="16">
      <c r="A2205" s="1" t="s">
        <v>1939</v>
      </c>
      <c r="B2205" s="1" t="s">
        <v>2191</v>
      </c>
      <c r="C2205" s="1" t="s">
        <v>332</v>
      </c>
      <c r="D2205" s="1" t="s">
        <v>229</v>
      </c>
      <c r="E2205" s="1"/>
    </row>
    <row r="2206" spans="1:5" ht="16">
      <c r="A2206" s="1" t="s">
        <v>1939</v>
      </c>
      <c r="B2206" s="1" t="s">
        <v>2192</v>
      </c>
      <c r="C2206" s="1" t="s">
        <v>332</v>
      </c>
      <c r="D2206" s="1" t="s">
        <v>229</v>
      </c>
      <c r="E2206" s="1"/>
    </row>
    <row r="2207" spans="1:5" ht="16">
      <c r="A2207" s="1" t="s">
        <v>1939</v>
      </c>
      <c r="B2207" s="1" t="s">
        <v>2193</v>
      </c>
      <c r="C2207" s="1" t="s">
        <v>332</v>
      </c>
      <c r="D2207" s="1" t="s">
        <v>229</v>
      </c>
      <c r="E2207" s="1"/>
    </row>
    <row r="2208" spans="1:5" ht="16">
      <c r="A2208" s="1" t="s">
        <v>1939</v>
      </c>
      <c r="B2208" s="1" t="s">
        <v>2194</v>
      </c>
      <c r="C2208" s="1" t="s">
        <v>332</v>
      </c>
      <c r="D2208" s="1" t="s">
        <v>229</v>
      </c>
      <c r="E2208" s="1"/>
    </row>
    <row r="2209" spans="1:5" ht="16">
      <c r="A2209" s="1" t="s">
        <v>1939</v>
      </c>
      <c r="B2209" s="1" t="s">
        <v>2195</v>
      </c>
      <c r="C2209" s="1" t="s">
        <v>332</v>
      </c>
      <c r="D2209" s="1" t="s">
        <v>229</v>
      </c>
      <c r="E2209" s="1"/>
    </row>
    <row r="2210" spans="1:5" ht="16">
      <c r="A2210" s="1" t="s">
        <v>1939</v>
      </c>
      <c r="B2210" s="1" t="s">
        <v>2196</v>
      </c>
      <c r="C2210" s="1" t="s">
        <v>332</v>
      </c>
      <c r="D2210" s="1" t="s">
        <v>229</v>
      </c>
      <c r="E2210" s="1"/>
    </row>
    <row r="2211" spans="1:5" ht="16">
      <c r="A2211" s="1" t="s">
        <v>1939</v>
      </c>
      <c r="B2211" s="1" t="s">
        <v>2197</v>
      </c>
      <c r="C2211" s="1" t="s">
        <v>332</v>
      </c>
      <c r="D2211" s="1" t="s">
        <v>229</v>
      </c>
      <c r="E2211" s="1"/>
    </row>
    <row r="2212" spans="1:5" ht="16">
      <c r="A2212" s="1" t="s">
        <v>1939</v>
      </c>
      <c r="B2212" s="1" t="s">
        <v>2198</v>
      </c>
      <c r="C2212" s="1" t="s">
        <v>332</v>
      </c>
      <c r="D2212" s="1" t="s">
        <v>229</v>
      </c>
      <c r="E2212" s="1"/>
    </row>
    <row r="2213" spans="1:5" ht="16">
      <c r="A2213" s="1" t="s">
        <v>1939</v>
      </c>
      <c r="B2213" s="1" t="s">
        <v>2199</v>
      </c>
      <c r="C2213" s="1" t="s">
        <v>332</v>
      </c>
      <c r="D2213" s="1" t="s">
        <v>229</v>
      </c>
      <c r="E2213" s="1"/>
    </row>
    <row r="2214" spans="1:5" ht="16">
      <c r="A2214" s="1" t="s">
        <v>1939</v>
      </c>
      <c r="B2214" s="1" t="s">
        <v>2200</v>
      </c>
      <c r="C2214" s="1" t="s">
        <v>332</v>
      </c>
      <c r="D2214" s="1" t="s">
        <v>229</v>
      </c>
      <c r="E2214" s="1"/>
    </row>
    <row r="2215" spans="1:5" ht="16">
      <c r="A2215" s="1" t="s">
        <v>1939</v>
      </c>
      <c r="B2215" s="1" t="s">
        <v>2201</v>
      </c>
      <c r="C2215" s="1" t="s">
        <v>332</v>
      </c>
      <c r="D2215" s="1" t="s">
        <v>229</v>
      </c>
      <c r="E2215" s="1"/>
    </row>
    <row r="2216" spans="1:5" ht="16">
      <c r="A2216" s="1" t="s">
        <v>1939</v>
      </c>
      <c r="B2216" s="1" t="s">
        <v>2202</v>
      </c>
      <c r="C2216" s="1" t="s">
        <v>332</v>
      </c>
      <c r="D2216" s="1" t="s">
        <v>229</v>
      </c>
      <c r="E2216" s="1"/>
    </row>
    <row r="2217" spans="1:5" ht="16">
      <c r="A2217" s="1" t="s">
        <v>1939</v>
      </c>
      <c r="B2217" s="1" t="s">
        <v>2203</v>
      </c>
      <c r="C2217" s="1" t="s">
        <v>332</v>
      </c>
      <c r="D2217" s="1" t="s">
        <v>229</v>
      </c>
      <c r="E2217" s="1"/>
    </row>
    <row r="2218" spans="1:5" ht="16">
      <c r="A2218" s="1" t="s">
        <v>1939</v>
      </c>
      <c r="B2218" s="1" t="s">
        <v>2204</v>
      </c>
      <c r="C2218" s="1" t="s">
        <v>332</v>
      </c>
      <c r="D2218" s="1" t="s">
        <v>229</v>
      </c>
      <c r="E2218" s="1"/>
    </row>
    <row r="2219" spans="1:5" ht="16">
      <c r="A2219" s="1" t="s">
        <v>1939</v>
      </c>
      <c r="B2219" s="1" t="s">
        <v>2205</v>
      </c>
      <c r="C2219" s="1" t="s">
        <v>332</v>
      </c>
      <c r="D2219" s="1" t="s">
        <v>229</v>
      </c>
      <c r="E2219" s="1"/>
    </row>
    <row r="2220" spans="1:5" ht="16">
      <c r="A2220" s="1" t="s">
        <v>1939</v>
      </c>
      <c r="B2220" s="1" t="s">
        <v>2206</v>
      </c>
      <c r="C2220" s="1" t="s">
        <v>334</v>
      </c>
      <c r="D2220" s="1" t="s">
        <v>229</v>
      </c>
      <c r="E2220" s="1"/>
    </row>
    <row r="2221" spans="1:5" ht="16">
      <c r="A2221" s="1" t="s">
        <v>1939</v>
      </c>
      <c r="B2221" s="1" t="s">
        <v>2207</v>
      </c>
      <c r="C2221" s="1" t="s">
        <v>334</v>
      </c>
      <c r="D2221" s="1" t="s">
        <v>229</v>
      </c>
      <c r="E2221" s="1"/>
    </row>
    <row r="2222" spans="1:5" ht="16">
      <c r="A2222" s="1" t="s">
        <v>1939</v>
      </c>
      <c r="B2222" s="1" t="s">
        <v>2208</v>
      </c>
      <c r="C2222" s="1" t="s">
        <v>332</v>
      </c>
      <c r="D2222" s="1" t="s">
        <v>229</v>
      </c>
      <c r="E2222" s="1"/>
    </row>
    <row r="2223" spans="1:5" ht="16">
      <c r="A2223" s="1" t="s">
        <v>1939</v>
      </c>
      <c r="B2223" s="1" t="s">
        <v>2209</v>
      </c>
      <c r="C2223" s="1" t="s">
        <v>332</v>
      </c>
      <c r="D2223" s="1" t="s">
        <v>229</v>
      </c>
      <c r="E2223" s="1"/>
    </row>
    <row r="2224" spans="1:5" ht="16">
      <c r="A2224" s="1" t="s">
        <v>1939</v>
      </c>
      <c r="B2224" s="1" t="s">
        <v>2210</v>
      </c>
      <c r="C2224" s="1" t="s">
        <v>332</v>
      </c>
      <c r="D2224" s="1" t="s">
        <v>229</v>
      </c>
      <c r="E2224" s="1"/>
    </row>
    <row r="2225" spans="1:5" ht="16">
      <c r="A2225" s="1" t="s">
        <v>1939</v>
      </c>
      <c r="B2225" s="1" t="s">
        <v>2211</v>
      </c>
      <c r="C2225" s="1" t="s">
        <v>332</v>
      </c>
      <c r="D2225" s="1" t="s">
        <v>229</v>
      </c>
      <c r="E2225" s="1"/>
    </row>
    <row r="2226" spans="1:5" ht="16">
      <c r="A2226" s="1" t="s">
        <v>1939</v>
      </c>
      <c r="B2226" s="1" t="s">
        <v>2212</v>
      </c>
      <c r="C2226" s="1" t="s">
        <v>332</v>
      </c>
      <c r="D2226" s="1" t="s">
        <v>229</v>
      </c>
      <c r="E2226" s="1"/>
    </row>
    <row r="2227" spans="1:5" ht="16">
      <c r="A2227" s="1" t="s">
        <v>1939</v>
      </c>
      <c r="B2227" s="1" t="s">
        <v>2213</v>
      </c>
      <c r="C2227" s="1" t="s">
        <v>332</v>
      </c>
      <c r="D2227" s="1" t="s">
        <v>229</v>
      </c>
      <c r="E2227" s="1"/>
    </row>
    <row r="2228" spans="1:5" ht="16">
      <c r="A2228" s="1" t="s">
        <v>1939</v>
      </c>
      <c r="B2228" s="1" t="s">
        <v>2214</v>
      </c>
      <c r="C2228" s="1" t="s">
        <v>332</v>
      </c>
      <c r="D2228" s="1" t="s">
        <v>229</v>
      </c>
      <c r="E2228" s="1"/>
    </row>
    <row r="2229" spans="1:5" ht="16">
      <c r="A2229" s="1" t="s">
        <v>1939</v>
      </c>
      <c r="B2229" s="1" t="s">
        <v>2215</v>
      </c>
      <c r="C2229" s="1" t="s">
        <v>332</v>
      </c>
      <c r="D2229" s="1" t="s">
        <v>229</v>
      </c>
      <c r="E2229" s="1"/>
    </row>
    <row r="2230" spans="1:5" ht="16">
      <c r="A2230" s="1" t="s">
        <v>1939</v>
      </c>
      <c r="B2230" s="1" t="s">
        <v>2216</v>
      </c>
      <c r="C2230" s="1" t="s">
        <v>332</v>
      </c>
      <c r="D2230" s="1" t="s">
        <v>229</v>
      </c>
      <c r="E2230" s="1"/>
    </row>
    <row r="2231" spans="1:5" ht="16">
      <c r="A2231" s="1" t="s">
        <v>1939</v>
      </c>
      <c r="B2231" s="1" t="s">
        <v>2217</v>
      </c>
      <c r="C2231" s="1" t="s">
        <v>332</v>
      </c>
      <c r="D2231" s="1" t="s">
        <v>229</v>
      </c>
      <c r="E2231" s="1"/>
    </row>
    <row r="2232" spans="1:5" ht="16">
      <c r="A2232" s="1" t="s">
        <v>1939</v>
      </c>
      <c r="B2232" s="1" t="s">
        <v>2218</v>
      </c>
      <c r="C2232" s="1" t="s">
        <v>332</v>
      </c>
      <c r="D2232" s="1" t="s">
        <v>229</v>
      </c>
      <c r="E2232" s="1"/>
    </row>
    <row r="2233" spans="1:5" ht="16">
      <c r="A2233" s="1" t="s">
        <v>1939</v>
      </c>
      <c r="B2233" s="1" t="s">
        <v>2219</v>
      </c>
      <c r="C2233" s="1" t="s">
        <v>332</v>
      </c>
      <c r="D2233" s="1" t="s">
        <v>229</v>
      </c>
      <c r="E2233" s="1"/>
    </row>
    <row r="2234" spans="1:5" ht="16">
      <c r="A2234" s="1" t="s">
        <v>1939</v>
      </c>
      <c r="B2234" s="1" t="s">
        <v>2220</v>
      </c>
      <c r="C2234" s="1" t="s">
        <v>332</v>
      </c>
      <c r="D2234" s="1" t="s">
        <v>229</v>
      </c>
      <c r="E2234" s="1"/>
    </row>
    <row r="2235" spans="1:5" ht="16">
      <c r="A2235" s="1" t="s">
        <v>1939</v>
      </c>
      <c r="B2235" s="1" t="s">
        <v>2221</v>
      </c>
      <c r="C2235" s="1" t="s">
        <v>332</v>
      </c>
      <c r="D2235" s="1" t="s">
        <v>229</v>
      </c>
      <c r="E2235" s="1"/>
    </row>
    <row r="2236" spans="1:5" ht="16">
      <c r="A2236" s="1" t="s">
        <v>1939</v>
      </c>
      <c r="B2236" s="1" t="s">
        <v>2222</v>
      </c>
      <c r="C2236" s="1" t="s">
        <v>332</v>
      </c>
      <c r="D2236" s="1" t="s">
        <v>229</v>
      </c>
      <c r="E2236" s="1"/>
    </row>
    <row r="2237" spans="1:5" ht="16">
      <c r="A2237" s="1" t="s">
        <v>1939</v>
      </c>
      <c r="B2237" s="1" t="s">
        <v>2223</v>
      </c>
      <c r="C2237" s="1" t="s">
        <v>332</v>
      </c>
      <c r="D2237" s="1" t="s">
        <v>229</v>
      </c>
      <c r="E2237" s="1"/>
    </row>
    <row r="2238" spans="1:5" ht="16">
      <c r="A2238" s="1" t="s">
        <v>1939</v>
      </c>
      <c r="B2238" s="1" t="s">
        <v>2224</v>
      </c>
      <c r="C2238" s="1" t="s">
        <v>332</v>
      </c>
      <c r="D2238" s="1" t="s">
        <v>229</v>
      </c>
      <c r="E2238" s="1"/>
    </row>
    <row r="2239" spans="1:5" ht="16">
      <c r="A2239" s="1" t="s">
        <v>1939</v>
      </c>
      <c r="B2239" s="1" t="s">
        <v>2225</v>
      </c>
      <c r="C2239" s="1" t="s">
        <v>364</v>
      </c>
      <c r="D2239" s="1" t="s">
        <v>229</v>
      </c>
      <c r="E2239" s="1"/>
    </row>
    <row r="2240" spans="1:5" ht="16">
      <c r="A2240" s="1" t="s">
        <v>1939</v>
      </c>
      <c r="B2240" s="1" t="s">
        <v>2226</v>
      </c>
      <c r="C2240" s="1" t="s">
        <v>364</v>
      </c>
      <c r="D2240" s="1" t="s">
        <v>229</v>
      </c>
      <c r="E2240" s="1"/>
    </row>
    <row r="2241" spans="1:5" ht="16">
      <c r="A2241" s="1" t="s">
        <v>1939</v>
      </c>
      <c r="B2241" s="1" t="s">
        <v>2227</v>
      </c>
      <c r="C2241" s="1" t="s">
        <v>334</v>
      </c>
      <c r="D2241" s="1" t="s">
        <v>229</v>
      </c>
      <c r="E2241" s="1"/>
    </row>
    <row r="2242" spans="1:5" ht="16">
      <c r="A2242" s="1" t="s">
        <v>1939</v>
      </c>
      <c r="B2242" s="1" t="s">
        <v>2228</v>
      </c>
      <c r="C2242" s="1" t="s">
        <v>334</v>
      </c>
      <c r="D2242" s="1" t="s">
        <v>229</v>
      </c>
      <c r="E2242" s="1"/>
    </row>
    <row r="2243" spans="1:5" ht="16">
      <c r="A2243" s="1" t="s">
        <v>1939</v>
      </c>
      <c r="B2243" s="1" t="s">
        <v>2229</v>
      </c>
      <c r="C2243" s="1" t="s">
        <v>334</v>
      </c>
      <c r="D2243" s="1" t="s">
        <v>229</v>
      </c>
      <c r="E2243" s="1"/>
    </row>
    <row r="2244" spans="1:5" ht="16">
      <c r="A2244" s="1" t="s">
        <v>1939</v>
      </c>
      <c r="B2244" s="1" t="s">
        <v>2230</v>
      </c>
      <c r="C2244" s="1" t="s">
        <v>334</v>
      </c>
      <c r="D2244" s="1" t="s">
        <v>229</v>
      </c>
      <c r="E2244" s="1"/>
    </row>
    <row r="2245" spans="1:5" ht="16">
      <c r="A2245" s="1" t="s">
        <v>1939</v>
      </c>
      <c r="B2245" s="1" t="s">
        <v>2231</v>
      </c>
      <c r="C2245" s="1" t="s">
        <v>332</v>
      </c>
      <c r="D2245" s="1" t="s">
        <v>229</v>
      </c>
      <c r="E2245" s="1"/>
    </row>
    <row r="2246" spans="1:5" ht="16">
      <c r="A2246" s="1" t="s">
        <v>1939</v>
      </c>
      <c r="B2246" s="1" t="s">
        <v>2232</v>
      </c>
      <c r="C2246" s="1" t="s">
        <v>332</v>
      </c>
      <c r="D2246" s="1" t="s">
        <v>229</v>
      </c>
      <c r="E2246" s="1"/>
    </row>
    <row r="2247" spans="1:5" ht="16">
      <c r="A2247" s="1" t="s">
        <v>1939</v>
      </c>
      <c r="B2247" s="1" t="s">
        <v>2233</v>
      </c>
      <c r="C2247" s="1" t="s">
        <v>332</v>
      </c>
      <c r="D2247" s="1" t="s">
        <v>229</v>
      </c>
      <c r="E2247" s="1"/>
    </row>
    <row r="2248" spans="1:5" ht="16">
      <c r="A2248" s="1" t="s">
        <v>1939</v>
      </c>
      <c r="B2248" s="1" t="s">
        <v>2234</v>
      </c>
      <c r="C2248" s="1" t="s">
        <v>332</v>
      </c>
      <c r="D2248" s="1" t="s">
        <v>229</v>
      </c>
      <c r="E2248" s="1"/>
    </row>
    <row r="2249" spans="1:5" ht="16">
      <c r="A2249" s="1" t="s">
        <v>1939</v>
      </c>
      <c r="B2249" s="1" t="s">
        <v>2235</v>
      </c>
      <c r="C2249" s="1" t="s">
        <v>332</v>
      </c>
      <c r="D2249" s="1" t="s">
        <v>229</v>
      </c>
      <c r="E2249" s="1"/>
    </row>
    <row r="2250" spans="1:5" ht="16">
      <c r="A2250" s="1" t="s">
        <v>1939</v>
      </c>
      <c r="B2250" s="1" t="s">
        <v>2236</v>
      </c>
      <c r="C2250" s="1" t="s">
        <v>332</v>
      </c>
      <c r="D2250" s="1" t="s">
        <v>229</v>
      </c>
      <c r="E2250" s="1"/>
    </row>
    <row r="2251" spans="1:5" ht="16">
      <c r="A2251" s="1" t="s">
        <v>1939</v>
      </c>
      <c r="B2251" s="1" t="s">
        <v>2237</v>
      </c>
      <c r="C2251" s="1" t="s">
        <v>332</v>
      </c>
      <c r="D2251" s="1" t="s">
        <v>229</v>
      </c>
      <c r="E2251" s="1"/>
    </row>
    <row r="2252" spans="1:5" ht="16">
      <c r="A2252" s="1" t="s">
        <v>1939</v>
      </c>
      <c r="B2252" s="1" t="s">
        <v>2238</v>
      </c>
      <c r="C2252" s="1" t="s">
        <v>332</v>
      </c>
      <c r="D2252" s="1" t="s">
        <v>229</v>
      </c>
      <c r="E2252" s="1"/>
    </row>
    <row r="2253" spans="1:5" ht="16">
      <c r="A2253" s="1" t="s">
        <v>1939</v>
      </c>
      <c r="B2253" s="1" t="s">
        <v>2239</v>
      </c>
      <c r="C2253" s="1" t="s">
        <v>332</v>
      </c>
      <c r="D2253" s="1" t="s">
        <v>229</v>
      </c>
      <c r="E2253" s="1"/>
    </row>
    <row r="2254" spans="1:5" ht="16">
      <c r="A2254" s="1" t="s">
        <v>1939</v>
      </c>
      <c r="B2254" s="1" t="s">
        <v>2240</v>
      </c>
      <c r="C2254" s="1" t="s">
        <v>332</v>
      </c>
      <c r="D2254" s="1" t="s">
        <v>229</v>
      </c>
      <c r="E2254" s="1"/>
    </row>
    <row r="2255" spans="1:5" ht="16">
      <c r="A2255" s="1" t="s">
        <v>1939</v>
      </c>
      <c r="B2255" s="1" t="s">
        <v>2241</v>
      </c>
      <c r="C2255" s="1" t="s">
        <v>332</v>
      </c>
      <c r="D2255" s="1" t="s">
        <v>229</v>
      </c>
      <c r="E2255" s="1"/>
    </row>
    <row r="2256" spans="1:5" ht="16">
      <c r="A2256" s="1" t="s">
        <v>1939</v>
      </c>
      <c r="B2256" s="1" t="s">
        <v>2242</v>
      </c>
      <c r="C2256" s="1" t="s">
        <v>332</v>
      </c>
      <c r="D2256" s="1" t="s">
        <v>229</v>
      </c>
      <c r="E2256" s="1"/>
    </row>
    <row r="2257" spans="1:5" ht="16">
      <c r="A2257" s="1" t="s">
        <v>1939</v>
      </c>
      <c r="B2257" s="1" t="s">
        <v>2243</v>
      </c>
      <c r="C2257" s="1" t="s">
        <v>332</v>
      </c>
      <c r="D2257" s="1" t="s">
        <v>229</v>
      </c>
      <c r="E2257" s="1"/>
    </row>
    <row r="2258" spans="1:5" ht="16">
      <c r="A2258" s="1" t="s">
        <v>1939</v>
      </c>
      <c r="B2258" s="1" t="s">
        <v>2244</v>
      </c>
      <c r="C2258" s="1" t="s">
        <v>332</v>
      </c>
      <c r="D2258" s="1" t="s">
        <v>229</v>
      </c>
      <c r="E2258" s="1"/>
    </row>
    <row r="2259" spans="1:5" ht="16">
      <c r="A2259" s="1" t="s">
        <v>1939</v>
      </c>
      <c r="B2259" s="1" t="s">
        <v>2245</v>
      </c>
      <c r="C2259" s="1" t="s">
        <v>332</v>
      </c>
      <c r="D2259" s="1" t="s">
        <v>229</v>
      </c>
      <c r="E2259" s="1"/>
    </row>
    <row r="2260" spans="1:5" ht="16">
      <c r="A2260" s="1" t="s">
        <v>1939</v>
      </c>
      <c r="B2260" s="1" t="s">
        <v>2246</v>
      </c>
      <c r="C2260" s="1" t="s">
        <v>332</v>
      </c>
      <c r="D2260" s="1" t="s">
        <v>229</v>
      </c>
      <c r="E2260" s="1"/>
    </row>
    <row r="2261" spans="1:5" ht="16">
      <c r="A2261" s="1" t="s">
        <v>1939</v>
      </c>
      <c r="B2261" s="1" t="s">
        <v>2247</v>
      </c>
      <c r="C2261" s="1" t="s">
        <v>332</v>
      </c>
      <c r="D2261" s="1" t="s">
        <v>229</v>
      </c>
      <c r="E2261" s="1"/>
    </row>
    <row r="2262" spans="1:5" ht="16">
      <c r="A2262" s="1" t="s">
        <v>1939</v>
      </c>
      <c r="B2262" s="1" t="s">
        <v>2248</v>
      </c>
      <c r="C2262" s="1" t="s">
        <v>332</v>
      </c>
      <c r="D2262" s="1" t="s">
        <v>229</v>
      </c>
      <c r="E2262" s="1"/>
    </row>
    <row r="2263" spans="1:5" ht="16">
      <c r="A2263" s="1" t="s">
        <v>1939</v>
      </c>
      <c r="B2263" s="1" t="s">
        <v>2249</v>
      </c>
      <c r="C2263" s="1" t="s">
        <v>332</v>
      </c>
      <c r="D2263" s="1" t="s">
        <v>229</v>
      </c>
      <c r="E2263" s="1"/>
    </row>
    <row r="2264" spans="1:5" ht="16">
      <c r="A2264" s="1" t="s">
        <v>1939</v>
      </c>
      <c r="B2264" s="1" t="s">
        <v>2250</v>
      </c>
      <c r="C2264" s="1" t="s">
        <v>332</v>
      </c>
      <c r="D2264" s="1" t="s">
        <v>229</v>
      </c>
      <c r="E2264" s="1"/>
    </row>
    <row r="2265" spans="1:5" ht="16">
      <c r="A2265" s="1" t="s">
        <v>1939</v>
      </c>
      <c r="B2265" s="1" t="s">
        <v>2251</v>
      </c>
      <c r="C2265" s="1" t="s">
        <v>332</v>
      </c>
      <c r="D2265" s="1" t="s">
        <v>229</v>
      </c>
      <c r="E2265" s="1"/>
    </row>
    <row r="2266" spans="1:5" ht="16">
      <c r="A2266" s="1" t="s">
        <v>1939</v>
      </c>
      <c r="B2266" s="1" t="s">
        <v>2252</v>
      </c>
      <c r="C2266" s="1" t="s">
        <v>332</v>
      </c>
      <c r="D2266" s="1" t="s">
        <v>229</v>
      </c>
      <c r="E2266" s="1"/>
    </row>
    <row r="2267" spans="1:5" ht="16">
      <c r="A2267" s="1" t="s">
        <v>1939</v>
      </c>
      <c r="B2267" s="1" t="s">
        <v>1944</v>
      </c>
      <c r="C2267" s="1" t="s">
        <v>332</v>
      </c>
      <c r="D2267" s="1" t="s">
        <v>229</v>
      </c>
      <c r="E2267" s="1"/>
    </row>
    <row r="2268" spans="1:5" ht="16">
      <c r="A2268" s="1" t="s">
        <v>1939</v>
      </c>
      <c r="B2268" s="1" t="s">
        <v>1945</v>
      </c>
      <c r="C2268" s="1" t="s">
        <v>332</v>
      </c>
      <c r="D2268" s="1" t="s">
        <v>229</v>
      </c>
      <c r="E2268" s="1"/>
    </row>
    <row r="2269" spans="1:5" ht="16">
      <c r="A2269" s="1" t="s">
        <v>1939</v>
      </c>
      <c r="B2269" s="1" t="s">
        <v>1947</v>
      </c>
      <c r="C2269" s="1" t="s">
        <v>332</v>
      </c>
      <c r="D2269" s="1" t="s">
        <v>229</v>
      </c>
      <c r="E2269" s="1"/>
    </row>
    <row r="2270" spans="1:5" ht="16">
      <c r="A2270" s="1" t="s">
        <v>1939</v>
      </c>
      <c r="B2270" s="1" t="s">
        <v>2253</v>
      </c>
      <c r="C2270" s="1" t="s">
        <v>332</v>
      </c>
      <c r="D2270" s="1" t="s">
        <v>229</v>
      </c>
      <c r="E2270" s="1"/>
    </row>
    <row r="2271" spans="1:5" ht="16">
      <c r="A2271" s="1" t="s">
        <v>1939</v>
      </c>
      <c r="B2271" s="1" t="s">
        <v>1943</v>
      </c>
      <c r="C2271" s="1" t="s">
        <v>332</v>
      </c>
      <c r="D2271" s="1" t="s">
        <v>229</v>
      </c>
      <c r="E2271" s="1"/>
    </row>
    <row r="2272" spans="1:5" ht="16">
      <c r="A2272" s="1" t="s">
        <v>1939</v>
      </c>
      <c r="B2272" s="1" t="s">
        <v>2254</v>
      </c>
      <c r="C2272" s="1" t="s">
        <v>332</v>
      </c>
      <c r="D2272" s="1" t="s">
        <v>229</v>
      </c>
      <c r="E2272" s="1"/>
    </row>
    <row r="2273" spans="1:5" ht="16">
      <c r="A2273" s="1" t="s">
        <v>1939</v>
      </c>
      <c r="B2273" s="1" t="s">
        <v>2255</v>
      </c>
      <c r="C2273" s="1" t="s">
        <v>332</v>
      </c>
      <c r="D2273" s="1" t="s">
        <v>229</v>
      </c>
      <c r="E2273" s="1"/>
    </row>
    <row r="2274" spans="1:5" ht="16">
      <c r="A2274" s="1" t="s">
        <v>1939</v>
      </c>
      <c r="B2274" s="1" t="s">
        <v>2256</v>
      </c>
      <c r="C2274" s="1" t="s">
        <v>332</v>
      </c>
      <c r="D2274" s="1" t="s">
        <v>229</v>
      </c>
      <c r="E2274" s="1"/>
    </row>
    <row r="2275" spans="1:5" ht="16">
      <c r="A2275" s="1" t="s">
        <v>1939</v>
      </c>
      <c r="B2275" s="1" t="s">
        <v>2257</v>
      </c>
      <c r="C2275" s="1" t="s">
        <v>332</v>
      </c>
      <c r="D2275" s="1" t="s">
        <v>229</v>
      </c>
      <c r="E2275" s="1"/>
    </row>
    <row r="2276" spans="1:5" ht="16">
      <c r="A2276" s="1" t="s">
        <v>1939</v>
      </c>
      <c r="B2276" s="1" t="s">
        <v>2258</v>
      </c>
      <c r="C2276" s="1" t="s">
        <v>332</v>
      </c>
      <c r="D2276" s="1" t="s">
        <v>229</v>
      </c>
      <c r="E2276" s="1"/>
    </row>
    <row r="2277" spans="1:5" ht="16">
      <c r="A2277" s="1" t="s">
        <v>1939</v>
      </c>
      <c r="B2277" s="1" t="s">
        <v>2259</v>
      </c>
      <c r="C2277" s="1" t="s">
        <v>332</v>
      </c>
      <c r="D2277" s="1" t="s">
        <v>229</v>
      </c>
      <c r="E2277" s="1"/>
    </row>
    <row r="2278" spans="1:5" ht="16">
      <c r="A2278" s="1" t="s">
        <v>1939</v>
      </c>
      <c r="B2278" s="1" t="s">
        <v>2260</v>
      </c>
      <c r="C2278" s="1" t="s">
        <v>332</v>
      </c>
      <c r="D2278" s="1" t="s">
        <v>229</v>
      </c>
      <c r="E2278" s="1"/>
    </row>
    <row r="2279" spans="1:5" ht="16">
      <c r="A2279" s="1" t="s">
        <v>1939</v>
      </c>
      <c r="B2279" s="1" t="s">
        <v>2261</v>
      </c>
      <c r="C2279" s="1" t="s">
        <v>332</v>
      </c>
      <c r="D2279" s="1" t="s">
        <v>229</v>
      </c>
      <c r="E2279" s="1"/>
    </row>
    <row r="2280" spans="1:5" ht="16">
      <c r="A2280" s="1" t="s">
        <v>1939</v>
      </c>
      <c r="B2280" s="1" t="s">
        <v>2262</v>
      </c>
      <c r="C2280" s="1" t="s">
        <v>332</v>
      </c>
      <c r="D2280" s="1" t="s">
        <v>229</v>
      </c>
      <c r="E2280" s="1"/>
    </row>
    <row r="2281" spans="1:5" ht="16">
      <c r="A2281" s="1" t="s">
        <v>1939</v>
      </c>
      <c r="B2281" s="1" t="s">
        <v>2263</v>
      </c>
      <c r="C2281" s="1" t="s">
        <v>332</v>
      </c>
      <c r="D2281" s="1" t="s">
        <v>229</v>
      </c>
      <c r="E2281" s="1"/>
    </row>
    <row r="2282" spans="1:5" ht="16">
      <c r="A2282" s="1" t="s">
        <v>1939</v>
      </c>
      <c r="B2282" s="1" t="s">
        <v>2264</v>
      </c>
      <c r="C2282" s="1" t="s">
        <v>332</v>
      </c>
      <c r="D2282" s="1" t="s">
        <v>229</v>
      </c>
      <c r="E2282" s="1"/>
    </row>
    <row r="2283" spans="1:5" ht="16">
      <c r="A2283" s="1" t="s">
        <v>1939</v>
      </c>
      <c r="B2283" s="1" t="s">
        <v>2265</v>
      </c>
      <c r="C2283" s="1" t="s">
        <v>332</v>
      </c>
      <c r="D2283" s="1" t="s">
        <v>229</v>
      </c>
      <c r="E2283" s="1"/>
    </row>
    <row r="2284" spans="1:5" ht="16">
      <c r="A2284" s="1" t="s">
        <v>1939</v>
      </c>
      <c r="B2284" s="1" t="s">
        <v>2266</v>
      </c>
      <c r="C2284" s="1" t="s">
        <v>332</v>
      </c>
      <c r="D2284" s="1" t="s">
        <v>229</v>
      </c>
      <c r="E2284" s="1"/>
    </row>
    <row r="2285" spans="1:5" ht="16">
      <c r="A2285" s="1" t="s">
        <v>1939</v>
      </c>
      <c r="B2285" s="1" t="s">
        <v>2267</v>
      </c>
      <c r="C2285" s="1" t="s">
        <v>332</v>
      </c>
      <c r="D2285" s="1" t="s">
        <v>229</v>
      </c>
      <c r="E2285" s="1"/>
    </row>
    <row r="2286" spans="1:5" ht="16">
      <c r="A2286" s="1" t="s">
        <v>1939</v>
      </c>
      <c r="B2286" s="1" t="s">
        <v>2268</v>
      </c>
      <c r="C2286" s="1" t="s">
        <v>332</v>
      </c>
      <c r="D2286" s="1" t="s">
        <v>229</v>
      </c>
      <c r="E2286" s="1"/>
    </row>
    <row r="2287" spans="1:5" ht="16">
      <c r="A2287" s="1" t="s">
        <v>1939</v>
      </c>
      <c r="B2287" s="1" t="s">
        <v>2269</v>
      </c>
      <c r="C2287" s="1" t="s">
        <v>332</v>
      </c>
      <c r="D2287" s="1" t="s">
        <v>229</v>
      </c>
      <c r="E2287" s="1"/>
    </row>
    <row r="2288" spans="1:5" ht="16">
      <c r="A2288" s="1" t="s">
        <v>1939</v>
      </c>
      <c r="B2288" s="1" t="s">
        <v>2270</v>
      </c>
      <c r="C2288" s="1" t="s">
        <v>332</v>
      </c>
      <c r="D2288" s="1" t="s">
        <v>229</v>
      </c>
      <c r="E2288" s="1"/>
    </row>
    <row r="2289" spans="1:5" ht="16">
      <c r="A2289" s="1" t="s">
        <v>1939</v>
      </c>
      <c r="B2289" s="1" t="s">
        <v>2271</v>
      </c>
      <c r="C2289" s="1" t="s">
        <v>263</v>
      </c>
      <c r="D2289" s="1" t="s">
        <v>229</v>
      </c>
      <c r="E2289" s="1"/>
    </row>
    <row r="2290" spans="1:5" ht="16">
      <c r="A2290" s="1" t="s">
        <v>1939</v>
      </c>
      <c r="B2290" s="1" t="s">
        <v>2272</v>
      </c>
      <c r="C2290" s="1" t="s">
        <v>263</v>
      </c>
      <c r="D2290" s="1" t="s">
        <v>229</v>
      </c>
      <c r="E2290" s="1"/>
    </row>
    <row r="2291" spans="1:5" ht="16">
      <c r="A2291" s="1" t="s">
        <v>1939</v>
      </c>
      <c r="B2291" s="1" t="s">
        <v>2273</v>
      </c>
      <c r="C2291" s="1" t="s">
        <v>332</v>
      </c>
      <c r="D2291" s="1" t="s">
        <v>229</v>
      </c>
      <c r="E2291" s="1"/>
    </row>
    <row r="2292" spans="1:5" ht="16">
      <c r="A2292" s="1" t="s">
        <v>1939</v>
      </c>
      <c r="B2292" s="1" t="s">
        <v>2274</v>
      </c>
      <c r="C2292" s="1" t="s">
        <v>332</v>
      </c>
      <c r="D2292" s="1" t="s">
        <v>229</v>
      </c>
      <c r="E2292" s="1"/>
    </row>
    <row r="2293" spans="1:5" ht="16">
      <c r="A2293" s="1" t="s">
        <v>1939</v>
      </c>
      <c r="B2293" s="1" t="s">
        <v>2275</v>
      </c>
      <c r="C2293" s="1" t="s">
        <v>332</v>
      </c>
      <c r="D2293" s="1" t="s">
        <v>229</v>
      </c>
      <c r="E2293" s="1"/>
    </row>
    <row r="2294" spans="1:5" ht="16">
      <c r="A2294" s="1" t="s">
        <v>1939</v>
      </c>
      <c r="B2294" s="1" t="s">
        <v>2276</v>
      </c>
      <c r="C2294" s="1" t="s">
        <v>332</v>
      </c>
      <c r="D2294" s="1" t="s">
        <v>229</v>
      </c>
      <c r="E2294" s="1"/>
    </row>
    <row r="2295" spans="1:5" ht="16">
      <c r="A2295" s="1" t="s">
        <v>1939</v>
      </c>
      <c r="B2295" s="1" t="s">
        <v>2277</v>
      </c>
      <c r="C2295" s="1" t="s">
        <v>332</v>
      </c>
      <c r="D2295" s="1" t="s">
        <v>229</v>
      </c>
      <c r="E2295" s="1"/>
    </row>
    <row r="2296" spans="1:5" ht="16">
      <c r="A2296" s="1" t="s">
        <v>1939</v>
      </c>
      <c r="B2296" s="1" t="s">
        <v>2278</v>
      </c>
      <c r="C2296" s="1" t="s">
        <v>332</v>
      </c>
      <c r="D2296" s="1" t="s">
        <v>229</v>
      </c>
      <c r="E2296" s="1"/>
    </row>
    <row r="2297" spans="1:5" ht="16">
      <c r="A2297" s="1" t="s">
        <v>1939</v>
      </c>
      <c r="B2297" s="1" t="s">
        <v>2279</v>
      </c>
      <c r="C2297" s="1" t="s">
        <v>332</v>
      </c>
      <c r="D2297" s="1" t="s">
        <v>229</v>
      </c>
      <c r="E2297" s="1"/>
    </row>
    <row r="2298" spans="1:5" ht="16">
      <c r="A2298" s="1" t="s">
        <v>1939</v>
      </c>
      <c r="B2298" s="1" t="s">
        <v>2280</v>
      </c>
      <c r="C2298" s="1" t="s">
        <v>332</v>
      </c>
      <c r="D2298" s="1" t="s">
        <v>229</v>
      </c>
      <c r="E2298" s="1"/>
    </row>
    <row r="2299" spans="1:5" ht="16">
      <c r="A2299" s="1" t="s">
        <v>1939</v>
      </c>
      <c r="B2299" s="1" t="s">
        <v>2281</v>
      </c>
      <c r="C2299" s="1" t="s">
        <v>332</v>
      </c>
      <c r="D2299" s="1" t="s">
        <v>229</v>
      </c>
      <c r="E2299" s="1"/>
    </row>
    <row r="2300" spans="1:5" ht="16">
      <c r="A2300" s="1" t="s">
        <v>1939</v>
      </c>
      <c r="B2300" s="1" t="s">
        <v>2282</v>
      </c>
      <c r="C2300" s="1" t="s">
        <v>332</v>
      </c>
      <c r="D2300" s="1" t="s">
        <v>229</v>
      </c>
      <c r="E2300" s="1"/>
    </row>
    <row r="2301" spans="1:5" ht="16">
      <c r="A2301" s="1" t="s">
        <v>1939</v>
      </c>
      <c r="B2301" s="1" t="s">
        <v>2283</v>
      </c>
      <c r="C2301" s="1" t="s">
        <v>332</v>
      </c>
      <c r="D2301" s="1" t="s">
        <v>229</v>
      </c>
      <c r="E2301" s="1"/>
    </row>
    <row r="2302" spans="1:5" ht="16">
      <c r="A2302" s="1" t="s">
        <v>1939</v>
      </c>
      <c r="B2302" s="1" t="s">
        <v>2284</v>
      </c>
      <c r="C2302" s="1" t="s">
        <v>332</v>
      </c>
      <c r="D2302" s="1" t="s">
        <v>229</v>
      </c>
      <c r="E2302" s="1"/>
    </row>
    <row r="2303" spans="1:5" ht="16">
      <c r="A2303" s="1" t="s">
        <v>1939</v>
      </c>
      <c r="B2303" s="1" t="s">
        <v>2285</v>
      </c>
      <c r="C2303" s="1" t="s">
        <v>332</v>
      </c>
      <c r="D2303" s="1" t="s">
        <v>229</v>
      </c>
      <c r="E2303" s="1"/>
    </row>
    <row r="2304" spans="1:5" ht="16">
      <c r="A2304" s="1" t="s">
        <v>1939</v>
      </c>
      <c r="B2304" s="1" t="s">
        <v>2286</v>
      </c>
      <c r="C2304" s="1" t="s">
        <v>332</v>
      </c>
      <c r="D2304" s="1" t="s">
        <v>229</v>
      </c>
      <c r="E2304" s="1"/>
    </row>
    <row r="2305" spans="1:5" ht="16">
      <c r="A2305" s="1" t="s">
        <v>1939</v>
      </c>
      <c r="B2305" s="1" t="s">
        <v>2287</v>
      </c>
      <c r="C2305" s="1" t="s">
        <v>332</v>
      </c>
      <c r="D2305" s="1" t="s">
        <v>229</v>
      </c>
      <c r="E2305" s="1"/>
    </row>
    <row r="2306" spans="1:5" ht="16">
      <c r="A2306" s="1" t="s">
        <v>1939</v>
      </c>
      <c r="B2306" s="1" t="s">
        <v>2288</v>
      </c>
      <c r="C2306" s="1" t="s">
        <v>332</v>
      </c>
      <c r="D2306" s="1" t="s">
        <v>229</v>
      </c>
      <c r="E2306" s="1"/>
    </row>
    <row r="2307" spans="1:5" ht="16">
      <c r="A2307" s="1" t="s">
        <v>1939</v>
      </c>
      <c r="B2307" s="1" t="s">
        <v>2289</v>
      </c>
      <c r="C2307" s="1" t="s">
        <v>332</v>
      </c>
      <c r="D2307" s="1" t="s">
        <v>229</v>
      </c>
      <c r="E2307" s="1"/>
    </row>
    <row r="2308" spans="1:5" ht="16">
      <c r="A2308" s="1" t="s">
        <v>1939</v>
      </c>
      <c r="B2308" s="1" t="s">
        <v>2290</v>
      </c>
      <c r="C2308" s="1" t="s">
        <v>332</v>
      </c>
      <c r="D2308" s="1" t="s">
        <v>229</v>
      </c>
      <c r="E2308" s="1"/>
    </row>
    <row r="2309" spans="1:5" ht="16">
      <c r="A2309" s="1" t="s">
        <v>1939</v>
      </c>
      <c r="B2309" s="1" t="s">
        <v>2291</v>
      </c>
      <c r="C2309" s="1" t="s">
        <v>332</v>
      </c>
      <c r="D2309" s="1" t="s">
        <v>229</v>
      </c>
      <c r="E2309" s="1"/>
    </row>
    <row r="2310" spans="1:5" ht="16">
      <c r="A2310" s="1" t="s">
        <v>1939</v>
      </c>
      <c r="B2310" s="1" t="s">
        <v>2292</v>
      </c>
      <c r="C2310" s="1" t="s">
        <v>332</v>
      </c>
      <c r="D2310" s="1" t="s">
        <v>229</v>
      </c>
      <c r="E2310" s="1"/>
    </row>
    <row r="2311" spans="1:5" ht="16">
      <c r="A2311" s="1" t="s">
        <v>1939</v>
      </c>
      <c r="B2311" s="1" t="s">
        <v>2293</v>
      </c>
      <c r="C2311" s="1" t="s">
        <v>332</v>
      </c>
      <c r="D2311" s="1" t="s">
        <v>229</v>
      </c>
      <c r="E2311" s="1"/>
    </row>
    <row r="2312" spans="1:5" ht="16">
      <c r="A2312" s="1" t="s">
        <v>1939</v>
      </c>
      <c r="B2312" s="1" t="s">
        <v>2294</v>
      </c>
      <c r="C2312" s="1" t="s">
        <v>332</v>
      </c>
      <c r="D2312" s="1" t="s">
        <v>229</v>
      </c>
      <c r="E2312" s="1"/>
    </row>
    <row r="2313" spans="1:5" ht="16">
      <c r="A2313" s="1" t="s">
        <v>1939</v>
      </c>
      <c r="B2313" s="1" t="s">
        <v>2295</v>
      </c>
      <c r="C2313" s="1" t="s">
        <v>332</v>
      </c>
      <c r="D2313" s="1" t="s">
        <v>229</v>
      </c>
      <c r="E2313" s="1"/>
    </row>
    <row r="2314" spans="1:5" ht="16">
      <c r="A2314" s="1" t="s">
        <v>1939</v>
      </c>
      <c r="B2314" s="1" t="s">
        <v>2296</v>
      </c>
      <c r="C2314" s="1" t="s">
        <v>332</v>
      </c>
      <c r="D2314" s="1" t="s">
        <v>229</v>
      </c>
      <c r="E2314" s="1"/>
    </row>
    <row r="2315" spans="1:5" ht="16">
      <c r="A2315" s="1" t="s">
        <v>1939</v>
      </c>
      <c r="B2315" s="1" t="s">
        <v>2297</v>
      </c>
      <c r="C2315" s="1" t="s">
        <v>332</v>
      </c>
      <c r="D2315" s="1" t="s">
        <v>229</v>
      </c>
      <c r="E2315" s="1"/>
    </row>
    <row r="2316" spans="1:5" ht="16">
      <c r="A2316" s="1" t="s">
        <v>1939</v>
      </c>
      <c r="B2316" s="1" t="s">
        <v>2298</v>
      </c>
      <c r="C2316" s="1" t="s">
        <v>332</v>
      </c>
      <c r="D2316" s="1" t="s">
        <v>229</v>
      </c>
      <c r="E2316" s="1"/>
    </row>
    <row r="2317" spans="1:5" ht="16">
      <c r="A2317" s="1" t="s">
        <v>1939</v>
      </c>
      <c r="B2317" s="1" t="s">
        <v>2299</v>
      </c>
      <c r="C2317" s="1" t="s">
        <v>332</v>
      </c>
      <c r="D2317" s="1" t="s">
        <v>229</v>
      </c>
      <c r="E2317" s="1"/>
    </row>
    <row r="2318" spans="1:5" ht="16">
      <c r="A2318" s="1" t="s">
        <v>1939</v>
      </c>
      <c r="B2318" s="1" t="s">
        <v>2300</v>
      </c>
      <c r="C2318" s="1" t="s">
        <v>332</v>
      </c>
      <c r="D2318" s="1" t="s">
        <v>229</v>
      </c>
      <c r="E2318" s="1"/>
    </row>
    <row r="2319" spans="1:5" ht="16">
      <c r="A2319" s="1" t="s">
        <v>1939</v>
      </c>
      <c r="B2319" s="1" t="s">
        <v>2301</v>
      </c>
      <c r="C2319" s="1" t="s">
        <v>332</v>
      </c>
      <c r="D2319" s="1" t="s">
        <v>229</v>
      </c>
      <c r="E2319" s="1"/>
    </row>
    <row r="2320" spans="1:5" ht="16">
      <c r="A2320" s="1" t="s">
        <v>1939</v>
      </c>
      <c r="B2320" s="1" t="s">
        <v>2302</v>
      </c>
      <c r="C2320" s="1" t="s">
        <v>332</v>
      </c>
      <c r="D2320" s="1" t="s">
        <v>229</v>
      </c>
      <c r="E2320" s="1"/>
    </row>
    <row r="2321" spans="1:5" ht="16">
      <c r="A2321" s="1" t="s">
        <v>1939</v>
      </c>
      <c r="B2321" s="1" t="s">
        <v>2303</v>
      </c>
      <c r="C2321" s="1" t="s">
        <v>332</v>
      </c>
      <c r="D2321" s="1" t="s">
        <v>229</v>
      </c>
      <c r="E2321" s="1"/>
    </row>
    <row r="2322" spans="1:5" ht="16">
      <c r="A2322" s="1" t="s">
        <v>1939</v>
      </c>
      <c r="B2322" s="1" t="s">
        <v>2304</v>
      </c>
      <c r="C2322" s="1" t="s">
        <v>332</v>
      </c>
      <c r="D2322" s="1" t="s">
        <v>229</v>
      </c>
      <c r="E2322" s="1"/>
    </row>
    <row r="2323" spans="1:5" ht="16">
      <c r="A2323" s="1" t="s">
        <v>1939</v>
      </c>
      <c r="B2323" s="1" t="s">
        <v>2305</v>
      </c>
      <c r="C2323" s="1" t="s">
        <v>332</v>
      </c>
      <c r="D2323" s="1" t="s">
        <v>229</v>
      </c>
      <c r="E2323" s="1"/>
    </row>
    <row r="2324" spans="1:5" ht="16">
      <c r="A2324" s="1" t="s">
        <v>1939</v>
      </c>
      <c r="B2324" s="1" t="s">
        <v>2306</v>
      </c>
      <c r="C2324" s="1" t="s">
        <v>332</v>
      </c>
      <c r="D2324" s="1" t="s">
        <v>229</v>
      </c>
      <c r="E2324" s="1"/>
    </row>
    <row r="2325" spans="1:5" ht="16">
      <c r="A2325" s="1" t="s">
        <v>1939</v>
      </c>
      <c r="B2325" s="1" t="s">
        <v>2307</v>
      </c>
      <c r="C2325" s="1" t="s">
        <v>332</v>
      </c>
      <c r="D2325" s="1" t="s">
        <v>229</v>
      </c>
      <c r="E2325" s="1"/>
    </row>
    <row r="2326" spans="1:5" ht="16">
      <c r="A2326" s="1" t="s">
        <v>1939</v>
      </c>
      <c r="B2326" s="1" t="s">
        <v>2308</v>
      </c>
      <c r="C2326" s="1" t="s">
        <v>332</v>
      </c>
      <c r="D2326" s="1" t="s">
        <v>229</v>
      </c>
      <c r="E2326" s="1"/>
    </row>
    <row r="2327" spans="1:5" ht="16">
      <c r="A2327" s="1" t="s">
        <v>1939</v>
      </c>
      <c r="B2327" s="1" t="s">
        <v>2309</v>
      </c>
      <c r="C2327" s="1" t="s">
        <v>332</v>
      </c>
      <c r="D2327" s="1" t="s">
        <v>229</v>
      </c>
      <c r="E2327" s="1"/>
    </row>
    <row r="2328" spans="1:5" ht="16">
      <c r="A2328" s="1" t="s">
        <v>1939</v>
      </c>
      <c r="B2328" s="1" t="s">
        <v>2310</v>
      </c>
      <c r="C2328" s="1" t="s">
        <v>332</v>
      </c>
      <c r="D2328" s="1" t="s">
        <v>229</v>
      </c>
      <c r="E2328" s="1"/>
    </row>
    <row r="2329" spans="1:5" ht="16">
      <c r="A2329" s="1" t="s">
        <v>1939</v>
      </c>
      <c r="B2329" s="1" t="s">
        <v>2311</v>
      </c>
      <c r="C2329" s="1" t="s">
        <v>332</v>
      </c>
      <c r="D2329" s="1" t="s">
        <v>229</v>
      </c>
      <c r="E2329" s="1"/>
    </row>
    <row r="2330" spans="1:5" ht="16">
      <c r="A2330" s="1" t="s">
        <v>1939</v>
      </c>
      <c r="B2330" s="1" t="s">
        <v>2312</v>
      </c>
      <c r="C2330" s="1" t="s">
        <v>332</v>
      </c>
      <c r="D2330" s="1" t="s">
        <v>229</v>
      </c>
      <c r="E2330" s="1"/>
    </row>
    <row r="2331" spans="1:5" ht="16">
      <c r="A2331" s="1" t="s">
        <v>1939</v>
      </c>
      <c r="B2331" s="1" t="s">
        <v>2313</v>
      </c>
      <c r="C2331" s="1" t="s">
        <v>332</v>
      </c>
      <c r="D2331" s="1" t="s">
        <v>229</v>
      </c>
      <c r="E2331" s="1"/>
    </row>
    <row r="2332" spans="1:5" ht="16">
      <c r="A2332" s="1" t="s">
        <v>1939</v>
      </c>
      <c r="B2332" s="1" t="s">
        <v>2314</v>
      </c>
      <c r="C2332" s="1" t="s">
        <v>332</v>
      </c>
      <c r="D2332" s="1" t="s">
        <v>229</v>
      </c>
      <c r="E2332" s="1"/>
    </row>
    <row r="2333" spans="1:5" ht="16">
      <c r="A2333" s="1" t="s">
        <v>1939</v>
      </c>
      <c r="B2333" s="1" t="s">
        <v>2315</v>
      </c>
      <c r="C2333" s="1" t="s">
        <v>332</v>
      </c>
      <c r="D2333" s="1" t="s">
        <v>229</v>
      </c>
      <c r="E2333" s="1"/>
    </row>
    <row r="2334" spans="1:5" ht="16">
      <c r="A2334" s="1" t="s">
        <v>1939</v>
      </c>
      <c r="B2334" s="1" t="s">
        <v>2316</v>
      </c>
      <c r="C2334" s="1" t="s">
        <v>332</v>
      </c>
      <c r="D2334" s="1" t="s">
        <v>229</v>
      </c>
      <c r="E2334" s="1"/>
    </row>
    <row r="2335" spans="1:5" ht="16">
      <c r="A2335" s="1" t="s">
        <v>1939</v>
      </c>
      <c r="B2335" s="1" t="s">
        <v>2317</v>
      </c>
      <c r="C2335" s="1" t="s">
        <v>332</v>
      </c>
      <c r="D2335" s="1" t="s">
        <v>229</v>
      </c>
      <c r="E2335" s="1"/>
    </row>
    <row r="2336" spans="1:5" ht="16">
      <c r="A2336" s="1" t="s">
        <v>1939</v>
      </c>
      <c r="B2336" s="1" t="s">
        <v>2318</v>
      </c>
      <c r="C2336" s="1" t="s">
        <v>332</v>
      </c>
      <c r="D2336" s="1" t="s">
        <v>229</v>
      </c>
      <c r="E2336" s="1"/>
    </row>
    <row r="2337" spans="1:5" ht="16">
      <c r="A2337" s="1" t="s">
        <v>1939</v>
      </c>
      <c r="B2337" s="1" t="s">
        <v>2319</v>
      </c>
      <c r="C2337" s="1" t="s">
        <v>332</v>
      </c>
      <c r="D2337" s="1" t="s">
        <v>229</v>
      </c>
      <c r="E2337" s="1"/>
    </row>
    <row r="2338" spans="1:5" ht="16">
      <c r="A2338" s="1" t="s">
        <v>1939</v>
      </c>
      <c r="B2338" s="1" t="s">
        <v>2320</v>
      </c>
      <c r="C2338" s="1" t="s">
        <v>332</v>
      </c>
      <c r="D2338" s="1" t="s">
        <v>229</v>
      </c>
      <c r="E2338" s="1"/>
    </row>
    <row r="2339" spans="1:5" ht="16">
      <c r="A2339" s="1" t="s">
        <v>1939</v>
      </c>
      <c r="B2339" s="1" t="s">
        <v>2321</v>
      </c>
      <c r="C2339" s="1" t="s">
        <v>332</v>
      </c>
      <c r="D2339" s="1" t="s">
        <v>229</v>
      </c>
      <c r="E2339" s="1"/>
    </row>
    <row r="2340" spans="1:5" ht="16">
      <c r="A2340" s="1" t="s">
        <v>1939</v>
      </c>
      <c r="B2340" s="1" t="s">
        <v>2322</v>
      </c>
      <c r="C2340" s="1" t="s">
        <v>332</v>
      </c>
      <c r="D2340" s="1" t="s">
        <v>229</v>
      </c>
      <c r="E2340" s="1"/>
    </row>
    <row r="2341" spans="1:5" ht="16">
      <c r="A2341" s="1" t="s">
        <v>1939</v>
      </c>
      <c r="B2341" s="1" t="s">
        <v>2323</v>
      </c>
      <c r="C2341" s="1" t="s">
        <v>332</v>
      </c>
      <c r="D2341" s="1" t="s">
        <v>229</v>
      </c>
      <c r="E2341" s="1"/>
    </row>
    <row r="2342" spans="1:5" ht="16">
      <c r="A2342" s="1" t="s">
        <v>1939</v>
      </c>
      <c r="B2342" s="1" t="s">
        <v>2324</v>
      </c>
      <c r="C2342" s="1" t="s">
        <v>332</v>
      </c>
      <c r="D2342" s="1" t="s">
        <v>229</v>
      </c>
      <c r="E2342" s="1"/>
    </row>
    <row r="2343" spans="1:5" ht="16">
      <c r="A2343" s="1" t="s">
        <v>1939</v>
      </c>
      <c r="B2343" s="1" t="s">
        <v>2325</v>
      </c>
      <c r="C2343" s="1" t="s">
        <v>332</v>
      </c>
      <c r="D2343" s="1" t="s">
        <v>229</v>
      </c>
      <c r="E2343" s="1"/>
    </row>
    <row r="2344" spans="1:5" ht="16">
      <c r="A2344" s="1" t="s">
        <v>1939</v>
      </c>
      <c r="B2344" s="1" t="s">
        <v>2326</v>
      </c>
      <c r="C2344" s="1" t="s">
        <v>332</v>
      </c>
      <c r="D2344" s="1" t="s">
        <v>229</v>
      </c>
      <c r="E2344" s="1"/>
    </row>
    <row r="2345" spans="1:5" ht="16">
      <c r="A2345" s="1" t="s">
        <v>1939</v>
      </c>
      <c r="B2345" s="1" t="s">
        <v>2327</v>
      </c>
      <c r="C2345" s="1" t="s">
        <v>332</v>
      </c>
      <c r="D2345" s="1" t="s">
        <v>229</v>
      </c>
      <c r="E2345" s="1"/>
    </row>
    <row r="2346" spans="1:5" ht="16">
      <c r="A2346" s="1" t="s">
        <v>1939</v>
      </c>
      <c r="B2346" s="1" t="s">
        <v>2328</v>
      </c>
      <c r="C2346" s="1" t="s">
        <v>332</v>
      </c>
      <c r="D2346" s="1" t="s">
        <v>229</v>
      </c>
      <c r="E2346" s="1"/>
    </row>
    <row r="2347" spans="1:5" ht="16">
      <c r="A2347" s="1" t="s">
        <v>1939</v>
      </c>
      <c r="B2347" s="1" t="s">
        <v>2329</v>
      </c>
      <c r="C2347" s="1" t="s">
        <v>332</v>
      </c>
      <c r="D2347" s="1" t="s">
        <v>229</v>
      </c>
      <c r="E2347" s="1"/>
    </row>
    <row r="2348" spans="1:5" ht="16">
      <c r="A2348" s="1" t="s">
        <v>1939</v>
      </c>
      <c r="B2348" s="1" t="s">
        <v>2330</v>
      </c>
      <c r="C2348" s="1" t="s">
        <v>332</v>
      </c>
      <c r="D2348" s="1" t="s">
        <v>229</v>
      </c>
      <c r="E2348" s="1"/>
    </row>
    <row r="2349" spans="1:5" ht="16">
      <c r="A2349" s="1" t="s">
        <v>1939</v>
      </c>
      <c r="B2349" s="1" t="s">
        <v>2331</v>
      </c>
      <c r="C2349" s="1" t="s">
        <v>332</v>
      </c>
      <c r="D2349" s="1" t="s">
        <v>229</v>
      </c>
      <c r="E2349" s="1"/>
    </row>
    <row r="2350" spans="1:5" ht="16">
      <c r="A2350" s="1" t="s">
        <v>1939</v>
      </c>
      <c r="B2350" s="1" t="s">
        <v>2332</v>
      </c>
      <c r="C2350" s="1" t="s">
        <v>332</v>
      </c>
      <c r="D2350" s="1" t="s">
        <v>229</v>
      </c>
      <c r="E2350" s="1"/>
    </row>
    <row r="2351" spans="1:5" ht="16">
      <c r="A2351" s="1" t="s">
        <v>1939</v>
      </c>
      <c r="B2351" s="1" t="s">
        <v>2333</v>
      </c>
      <c r="C2351" s="1" t="s">
        <v>332</v>
      </c>
      <c r="D2351" s="1" t="s">
        <v>229</v>
      </c>
      <c r="E2351" s="1"/>
    </row>
    <row r="2352" spans="1:5" ht="16">
      <c r="A2352" s="1" t="s">
        <v>1939</v>
      </c>
      <c r="B2352" s="1" t="s">
        <v>2334</v>
      </c>
      <c r="C2352" s="1" t="s">
        <v>332</v>
      </c>
      <c r="D2352" s="1" t="s">
        <v>229</v>
      </c>
      <c r="E2352" s="1"/>
    </row>
    <row r="2353" spans="1:5" ht="16">
      <c r="A2353" s="1" t="s">
        <v>1939</v>
      </c>
      <c r="B2353" s="1" t="s">
        <v>2335</v>
      </c>
      <c r="C2353" s="1" t="s">
        <v>332</v>
      </c>
      <c r="D2353" s="1" t="s">
        <v>229</v>
      </c>
      <c r="E2353" s="1"/>
    </row>
    <row r="2354" spans="1:5" ht="16">
      <c r="A2354" s="1" t="s">
        <v>1939</v>
      </c>
      <c r="B2354" s="1" t="s">
        <v>2336</v>
      </c>
      <c r="C2354" s="1" t="s">
        <v>332</v>
      </c>
      <c r="D2354" s="1" t="s">
        <v>229</v>
      </c>
      <c r="E2354" s="1"/>
    </row>
    <row r="2355" spans="1:5" ht="16">
      <c r="A2355" s="1" t="s">
        <v>1939</v>
      </c>
      <c r="B2355" s="1" t="s">
        <v>2337</v>
      </c>
      <c r="C2355" s="1" t="s">
        <v>332</v>
      </c>
      <c r="D2355" s="1" t="s">
        <v>229</v>
      </c>
      <c r="E2355" s="1"/>
    </row>
    <row r="2356" spans="1:5" ht="16">
      <c r="A2356" s="1" t="s">
        <v>1939</v>
      </c>
      <c r="B2356" s="1" t="s">
        <v>2338</v>
      </c>
      <c r="C2356" s="1" t="s">
        <v>332</v>
      </c>
      <c r="D2356" s="1" t="s">
        <v>229</v>
      </c>
      <c r="E2356" s="1"/>
    </row>
    <row r="2357" spans="1:5" ht="16">
      <c r="A2357" s="1" t="s">
        <v>1939</v>
      </c>
      <c r="B2357" s="1" t="s">
        <v>2339</v>
      </c>
      <c r="C2357" s="1" t="s">
        <v>332</v>
      </c>
      <c r="D2357" s="1" t="s">
        <v>229</v>
      </c>
      <c r="E2357" s="1"/>
    </row>
    <row r="2358" spans="1:5" ht="16">
      <c r="A2358" s="1" t="s">
        <v>1939</v>
      </c>
      <c r="B2358" s="1" t="s">
        <v>2340</v>
      </c>
      <c r="C2358" s="1" t="s">
        <v>332</v>
      </c>
      <c r="D2358" s="1" t="s">
        <v>229</v>
      </c>
      <c r="E2358" s="1"/>
    </row>
    <row r="2359" spans="1:5" ht="16">
      <c r="A2359" s="1" t="s">
        <v>1939</v>
      </c>
      <c r="B2359" s="1" t="s">
        <v>2341</v>
      </c>
      <c r="C2359" s="1" t="s">
        <v>332</v>
      </c>
      <c r="D2359" s="1" t="s">
        <v>229</v>
      </c>
      <c r="E2359" s="1"/>
    </row>
    <row r="2360" spans="1:5" ht="16">
      <c r="A2360" s="1" t="s">
        <v>1939</v>
      </c>
      <c r="B2360" s="1" t="s">
        <v>2342</v>
      </c>
      <c r="C2360" s="1" t="s">
        <v>332</v>
      </c>
      <c r="D2360" s="1" t="s">
        <v>229</v>
      </c>
      <c r="E2360" s="1"/>
    </row>
    <row r="2361" spans="1:5" ht="16">
      <c r="A2361" s="1" t="s">
        <v>1939</v>
      </c>
      <c r="B2361" s="1" t="s">
        <v>2343</v>
      </c>
      <c r="C2361" s="1" t="s">
        <v>332</v>
      </c>
      <c r="D2361" s="1" t="s">
        <v>229</v>
      </c>
      <c r="E2361" s="1"/>
    </row>
    <row r="2362" spans="1:5" ht="16">
      <c r="A2362" s="1" t="s">
        <v>1939</v>
      </c>
      <c r="B2362" s="1" t="s">
        <v>2344</v>
      </c>
      <c r="C2362" s="1" t="s">
        <v>332</v>
      </c>
      <c r="D2362" s="1" t="s">
        <v>229</v>
      </c>
      <c r="E2362" s="1"/>
    </row>
    <row r="2363" spans="1:5" ht="16">
      <c r="A2363" s="1" t="s">
        <v>1939</v>
      </c>
      <c r="B2363" s="1" t="s">
        <v>2345</v>
      </c>
      <c r="C2363" s="1" t="s">
        <v>332</v>
      </c>
      <c r="D2363" s="1" t="s">
        <v>229</v>
      </c>
      <c r="E2363" s="1"/>
    </row>
    <row r="2364" spans="1:5" ht="16">
      <c r="A2364" s="1" t="s">
        <v>1939</v>
      </c>
      <c r="B2364" s="1" t="s">
        <v>2346</v>
      </c>
      <c r="C2364" s="1" t="s">
        <v>332</v>
      </c>
      <c r="D2364" s="1" t="s">
        <v>229</v>
      </c>
      <c r="E2364" s="1"/>
    </row>
    <row r="2365" spans="1:5" ht="16">
      <c r="A2365" s="1" t="s">
        <v>1939</v>
      </c>
      <c r="B2365" s="1" t="s">
        <v>2347</v>
      </c>
      <c r="C2365" s="1" t="s">
        <v>332</v>
      </c>
      <c r="D2365" s="1" t="s">
        <v>229</v>
      </c>
      <c r="E2365" s="1"/>
    </row>
    <row r="2366" spans="1:5" ht="16">
      <c r="A2366" s="1" t="s">
        <v>1939</v>
      </c>
      <c r="B2366" s="1" t="s">
        <v>2348</v>
      </c>
      <c r="C2366" s="1" t="s">
        <v>332</v>
      </c>
      <c r="D2366" s="1" t="s">
        <v>229</v>
      </c>
      <c r="E2366" s="1"/>
    </row>
    <row r="2367" spans="1:5" ht="16">
      <c r="A2367" s="1" t="s">
        <v>1939</v>
      </c>
      <c r="B2367" s="1" t="s">
        <v>2349</v>
      </c>
      <c r="C2367" s="1" t="s">
        <v>332</v>
      </c>
      <c r="D2367" s="1" t="s">
        <v>229</v>
      </c>
      <c r="E2367" s="1"/>
    </row>
    <row r="2368" spans="1:5" ht="16">
      <c r="A2368" s="1" t="s">
        <v>1939</v>
      </c>
      <c r="B2368" s="1" t="s">
        <v>2350</v>
      </c>
      <c r="C2368" s="1" t="s">
        <v>332</v>
      </c>
      <c r="D2368" s="1" t="s">
        <v>229</v>
      </c>
      <c r="E2368" s="1"/>
    </row>
    <row r="2369" spans="1:5" ht="16">
      <c r="A2369" s="1" t="s">
        <v>1939</v>
      </c>
      <c r="B2369" s="1" t="s">
        <v>2351</v>
      </c>
      <c r="C2369" s="1" t="s">
        <v>332</v>
      </c>
      <c r="D2369" s="1" t="s">
        <v>229</v>
      </c>
      <c r="E2369" s="1"/>
    </row>
    <row r="2370" spans="1:5" ht="16">
      <c r="A2370" s="1" t="s">
        <v>1939</v>
      </c>
      <c r="B2370" s="1" t="s">
        <v>2352</v>
      </c>
      <c r="C2370" s="1" t="s">
        <v>332</v>
      </c>
      <c r="D2370" s="1" t="s">
        <v>229</v>
      </c>
      <c r="E2370" s="1"/>
    </row>
    <row r="2371" spans="1:5" ht="16">
      <c r="A2371" s="1" t="s">
        <v>1939</v>
      </c>
      <c r="B2371" s="1" t="s">
        <v>2353</v>
      </c>
      <c r="C2371" s="1" t="s">
        <v>332</v>
      </c>
      <c r="D2371" s="1" t="s">
        <v>229</v>
      </c>
      <c r="E2371" s="1"/>
    </row>
    <row r="2372" spans="1:5" ht="16">
      <c r="A2372" s="1" t="s">
        <v>1939</v>
      </c>
      <c r="B2372" s="1" t="s">
        <v>2354</v>
      </c>
      <c r="C2372" s="1" t="s">
        <v>332</v>
      </c>
      <c r="D2372" s="1" t="s">
        <v>229</v>
      </c>
      <c r="E2372" s="1"/>
    </row>
    <row r="2373" spans="1:5" ht="16">
      <c r="A2373" s="1" t="s">
        <v>1939</v>
      </c>
      <c r="B2373" s="1" t="s">
        <v>2355</v>
      </c>
      <c r="C2373" s="1" t="s">
        <v>332</v>
      </c>
      <c r="D2373" s="1" t="s">
        <v>229</v>
      </c>
      <c r="E2373" s="1"/>
    </row>
    <row r="2374" spans="1:5" ht="16">
      <c r="A2374" s="1" t="s">
        <v>1939</v>
      </c>
      <c r="B2374" s="1" t="s">
        <v>2356</v>
      </c>
      <c r="C2374" s="1" t="s">
        <v>332</v>
      </c>
      <c r="D2374" s="1" t="s">
        <v>229</v>
      </c>
      <c r="E2374" s="1"/>
    </row>
    <row r="2375" spans="1:5" ht="16">
      <c r="A2375" s="1" t="s">
        <v>1939</v>
      </c>
      <c r="B2375" s="1" t="s">
        <v>2357</v>
      </c>
      <c r="C2375" s="1" t="s">
        <v>332</v>
      </c>
      <c r="D2375" s="1" t="s">
        <v>229</v>
      </c>
      <c r="E2375" s="1"/>
    </row>
    <row r="2376" spans="1:5" ht="16">
      <c r="A2376" s="1" t="s">
        <v>1939</v>
      </c>
      <c r="B2376" s="1" t="s">
        <v>2358</v>
      </c>
      <c r="C2376" s="1" t="s">
        <v>332</v>
      </c>
      <c r="D2376" s="1" t="s">
        <v>229</v>
      </c>
      <c r="E2376" s="1"/>
    </row>
    <row r="2377" spans="1:5" ht="16">
      <c r="A2377" s="1" t="s">
        <v>1939</v>
      </c>
      <c r="B2377" s="1" t="s">
        <v>2359</v>
      </c>
      <c r="C2377" s="1" t="s">
        <v>332</v>
      </c>
      <c r="D2377" s="1" t="s">
        <v>229</v>
      </c>
      <c r="E2377" s="1"/>
    </row>
    <row r="2378" spans="1:5" ht="16">
      <c r="A2378" s="1" t="s">
        <v>1939</v>
      </c>
      <c r="B2378" s="1" t="s">
        <v>2360</v>
      </c>
      <c r="C2378" s="1" t="s">
        <v>332</v>
      </c>
      <c r="D2378" s="1" t="s">
        <v>229</v>
      </c>
      <c r="E2378" s="1"/>
    </row>
    <row r="2379" spans="1:5" ht="16">
      <c r="A2379" s="1" t="s">
        <v>1939</v>
      </c>
      <c r="B2379" s="1" t="s">
        <v>2361</v>
      </c>
      <c r="C2379" s="1" t="s">
        <v>332</v>
      </c>
      <c r="D2379" s="1" t="s">
        <v>229</v>
      </c>
      <c r="E2379" s="1"/>
    </row>
    <row r="2380" spans="1:5" ht="16">
      <c r="A2380" s="1" t="s">
        <v>1939</v>
      </c>
      <c r="B2380" s="1" t="s">
        <v>2362</v>
      </c>
      <c r="C2380" s="1" t="s">
        <v>332</v>
      </c>
      <c r="D2380" s="1" t="s">
        <v>229</v>
      </c>
      <c r="E2380" s="1"/>
    </row>
    <row r="2381" spans="1:5" ht="16">
      <c r="A2381" s="1" t="s">
        <v>1939</v>
      </c>
      <c r="B2381" s="1" t="s">
        <v>2363</v>
      </c>
      <c r="C2381" s="1" t="s">
        <v>332</v>
      </c>
      <c r="D2381" s="1" t="s">
        <v>229</v>
      </c>
      <c r="E2381" s="1"/>
    </row>
    <row r="2382" spans="1:5" ht="16">
      <c r="A2382" s="1" t="s">
        <v>1939</v>
      </c>
      <c r="B2382" s="1" t="s">
        <v>2364</v>
      </c>
      <c r="C2382" s="1" t="s">
        <v>332</v>
      </c>
      <c r="D2382" s="1" t="s">
        <v>229</v>
      </c>
      <c r="E2382" s="1"/>
    </row>
    <row r="2383" spans="1:5" ht="16">
      <c r="A2383" s="1" t="s">
        <v>1939</v>
      </c>
      <c r="B2383" s="1" t="s">
        <v>2365</v>
      </c>
      <c r="C2383" s="1" t="s">
        <v>332</v>
      </c>
      <c r="D2383" s="1" t="s">
        <v>229</v>
      </c>
      <c r="E2383" s="1"/>
    </row>
    <row r="2384" spans="1:5" ht="16">
      <c r="A2384" s="1" t="s">
        <v>1939</v>
      </c>
      <c r="B2384" s="1" t="s">
        <v>2366</v>
      </c>
      <c r="C2384" s="1" t="s">
        <v>332</v>
      </c>
      <c r="D2384" s="1" t="s">
        <v>229</v>
      </c>
      <c r="E2384" s="1"/>
    </row>
    <row r="2385" spans="1:5" ht="16">
      <c r="A2385" s="1" t="s">
        <v>1939</v>
      </c>
      <c r="B2385" s="1" t="s">
        <v>2367</v>
      </c>
      <c r="C2385" s="1" t="s">
        <v>332</v>
      </c>
      <c r="D2385" s="1" t="s">
        <v>229</v>
      </c>
      <c r="E2385" s="1"/>
    </row>
    <row r="2386" spans="1:5" ht="16">
      <c r="A2386" s="1" t="s">
        <v>1939</v>
      </c>
      <c r="B2386" s="1" t="s">
        <v>2368</v>
      </c>
      <c r="C2386" s="1" t="s">
        <v>332</v>
      </c>
      <c r="D2386" s="1" t="s">
        <v>229</v>
      </c>
      <c r="E2386" s="1"/>
    </row>
    <row r="2387" spans="1:5" ht="16">
      <c r="A2387" s="1" t="s">
        <v>1939</v>
      </c>
      <c r="B2387" s="1" t="s">
        <v>2369</v>
      </c>
      <c r="C2387" s="1" t="s">
        <v>332</v>
      </c>
      <c r="D2387" s="1" t="s">
        <v>229</v>
      </c>
      <c r="E2387" s="1" t="s">
        <v>500</v>
      </c>
    </row>
    <row r="2388" spans="1:5" ht="16">
      <c r="A2388" s="1" t="s">
        <v>1939</v>
      </c>
      <c r="B2388" s="1" t="s">
        <v>2370</v>
      </c>
      <c r="C2388" s="1" t="s">
        <v>332</v>
      </c>
      <c r="D2388" s="1" t="s">
        <v>229</v>
      </c>
      <c r="E2388" s="1" t="s">
        <v>500</v>
      </c>
    </row>
    <row r="2389" spans="1:5" ht="16">
      <c r="A2389" s="1" t="s">
        <v>1939</v>
      </c>
      <c r="B2389" s="1" t="s">
        <v>2371</v>
      </c>
      <c r="C2389" s="1" t="s">
        <v>332</v>
      </c>
      <c r="D2389" s="1" t="s">
        <v>229</v>
      </c>
      <c r="E2389" s="1"/>
    </row>
    <row r="2390" spans="1:5" ht="16">
      <c r="A2390" s="1" t="s">
        <v>1939</v>
      </c>
      <c r="B2390" s="1" t="s">
        <v>2372</v>
      </c>
      <c r="C2390" s="1" t="s">
        <v>332</v>
      </c>
      <c r="D2390" s="1" t="s">
        <v>229</v>
      </c>
      <c r="E2390" s="1"/>
    </row>
    <row r="2391" spans="1:5" ht="16">
      <c r="A2391" s="1" t="s">
        <v>1939</v>
      </c>
      <c r="B2391" s="1" t="s">
        <v>2373</v>
      </c>
      <c r="C2391" s="1" t="s">
        <v>332</v>
      </c>
      <c r="D2391" s="1" t="s">
        <v>229</v>
      </c>
      <c r="E2391" s="1"/>
    </row>
    <row r="2392" spans="1:5" ht="16">
      <c r="A2392" s="1" t="s">
        <v>1939</v>
      </c>
      <c r="B2392" s="1" t="s">
        <v>2374</v>
      </c>
      <c r="C2392" s="1" t="s">
        <v>332</v>
      </c>
      <c r="D2392" s="1" t="s">
        <v>229</v>
      </c>
      <c r="E2392" s="1"/>
    </row>
    <row r="2393" spans="1:5" ht="16">
      <c r="A2393" s="1" t="s">
        <v>1939</v>
      </c>
      <c r="B2393" s="1" t="s">
        <v>2375</v>
      </c>
      <c r="C2393" s="1" t="s">
        <v>332</v>
      </c>
      <c r="D2393" s="1" t="s">
        <v>229</v>
      </c>
      <c r="E2393" s="1"/>
    </row>
    <row r="2394" spans="1:5" ht="16">
      <c r="A2394" s="1" t="s">
        <v>1939</v>
      </c>
      <c r="B2394" s="1" t="s">
        <v>2376</v>
      </c>
      <c r="C2394" s="1" t="s">
        <v>332</v>
      </c>
      <c r="D2394" s="1" t="s">
        <v>229</v>
      </c>
      <c r="E2394" s="1"/>
    </row>
    <row r="2395" spans="1:5" ht="16">
      <c r="A2395" s="1" t="s">
        <v>1939</v>
      </c>
      <c r="B2395" s="1" t="s">
        <v>2377</v>
      </c>
      <c r="C2395" s="1" t="s">
        <v>332</v>
      </c>
      <c r="D2395" s="1" t="s">
        <v>229</v>
      </c>
      <c r="E2395" s="1"/>
    </row>
    <row r="2396" spans="1:5" ht="16">
      <c r="A2396" s="1" t="s">
        <v>1939</v>
      </c>
      <c r="B2396" s="1" t="s">
        <v>2378</v>
      </c>
      <c r="C2396" s="1" t="s">
        <v>332</v>
      </c>
      <c r="D2396" s="1" t="s">
        <v>229</v>
      </c>
      <c r="E2396" s="1"/>
    </row>
    <row r="2397" spans="1:5" ht="16">
      <c r="A2397" s="1" t="s">
        <v>1939</v>
      </c>
      <c r="B2397" s="1" t="s">
        <v>2379</v>
      </c>
      <c r="C2397" s="1" t="s">
        <v>332</v>
      </c>
      <c r="D2397" s="1" t="s">
        <v>229</v>
      </c>
      <c r="E2397" s="1"/>
    </row>
    <row r="2398" spans="1:5" ht="16">
      <c r="A2398" s="1" t="s">
        <v>1939</v>
      </c>
      <c r="B2398" s="1" t="s">
        <v>2380</v>
      </c>
      <c r="C2398" s="1" t="s">
        <v>332</v>
      </c>
      <c r="D2398" s="1" t="s">
        <v>229</v>
      </c>
      <c r="E2398" s="1"/>
    </row>
    <row r="2399" spans="1:5" ht="16">
      <c r="A2399" s="1" t="s">
        <v>1939</v>
      </c>
      <c r="B2399" s="1" t="s">
        <v>2381</v>
      </c>
      <c r="C2399" s="1" t="s">
        <v>332</v>
      </c>
      <c r="D2399" s="1" t="s">
        <v>229</v>
      </c>
      <c r="E2399" s="1"/>
    </row>
    <row r="2400" spans="1:5" ht="16">
      <c r="A2400" s="1" t="s">
        <v>1939</v>
      </c>
      <c r="B2400" s="1" t="s">
        <v>2382</v>
      </c>
      <c r="C2400" s="1" t="s">
        <v>332</v>
      </c>
      <c r="D2400" s="1" t="s">
        <v>229</v>
      </c>
      <c r="E2400" s="1"/>
    </row>
    <row r="2401" spans="1:5" ht="16">
      <c r="A2401" s="1" t="s">
        <v>1939</v>
      </c>
      <c r="B2401" s="1" t="s">
        <v>2383</v>
      </c>
      <c r="C2401" s="1" t="s">
        <v>332</v>
      </c>
      <c r="D2401" s="1" t="s">
        <v>229</v>
      </c>
      <c r="E2401" s="1"/>
    </row>
    <row r="2402" spans="1:5" ht="16">
      <c r="A2402" s="1" t="s">
        <v>1939</v>
      </c>
      <c r="B2402" s="1" t="s">
        <v>2384</v>
      </c>
      <c r="C2402" s="1" t="s">
        <v>332</v>
      </c>
      <c r="D2402" s="1" t="s">
        <v>229</v>
      </c>
      <c r="E2402" s="1"/>
    </row>
    <row r="2403" spans="1:5" ht="16">
      <c r="A2403" s="1" t="s">
        <v>1939</v>
      </c>
      <c r="B2403" s="1" t="s">
        <v>2385</v>
      </c>
      <c r="C2403" s="1" t="s">
        <v>332</v>
      </c>
      <c r="D2403" s="1" t="s">
        <v>229</v>
      </c>
      <c r="E2403" s="1"/>
    </row>
    <row r="2404" spans="1:5" ht="16">
      <c r="A2404" s="1" t="s">
        <v>1939</v>
      </c>
      <c r="B2404" s="1" t="s">
        <v>2386</v>
      </c>
      <c r="C2404" s="1" t="s">
        <v>332</v>
      </c>
      <c r="D2404" s="1" t="s">
        <v>229</v>
      </c>
      <c r="E2404" s="1"/>
    </row>
    <row r="2405" spans="1:5" ht="16">
      <c r="A2405" s="1" t="s">
        <v>1939</v>
      </c>
      <c r="B2405" s="1" t="s">
        <v>2387</v>
      </c>
      <c r="C2405" s="1" t="s">
        <v>332</v>
      </c>
      <c r="D2405" s="1" t="s">
        <v>229</v>
      </c>
      <c r="E2405" s="1"/>
    </row>
    <row r="2406" spans="1:5" ht="16">
      <c r="A2406" s="1" t="s">
        <v>1939</v>
      </c>
      <c r="B2406" s="1" t="s">
        <v>2388</v>
      </c>
      <c r="C2406" s="1" t="s">
        <v>332</v>
      </c>
      <c r="D2406" s="1" t="s">
        <v>229</v>
      </c>
      <c r="E2406" s="1"/>
    </row>
    <row r="2407" spans="1:5" ht="16">
      <c r="A2407" s="1" t="s">
        <v>1939</v>
      </c>
      <c r="B2407" s="1" t="s">
        <v>2389</v>
      </c>
      <c r="C2407" s="1" t="s">
        <v>332</v>
      </c>
      <c r="D2407" s="1" t="s">
        <v>229</v>
      </c>
      <c r="E2407" s="1"/>
    </row>
    <row r="2408" spans="1:5" ht="16">
      <c r="A2408" s="1" t="s">
        <v>1939</v>
      </c>
      <c r="B2408" s="1" t="s">
        <v>2390</v>
      </c>
      <c r="C2408" s="1" t="s">
        <v>332</v>
      </c>
      <c r="D2408" s="1" t="s">
        <v>229</v>
      </c>
      <c r="E2408" s="1"/>
    </row>
    <row r="2409" spans="1:5" ht="16">
      <c r="A2409" s="1" t="s">
        <v>1939</v>
      </c>
      <c r="B2409" s="1" t="s">
        <v>2391</v>
      </c>
      <c r="C2409" s="1" t="s">
        <v>332</v>
      </c>
      <c r="D2409" s="1" t="s">
        <v>229</v>
      </c>
      <c r="E2409" s="1"/>
    </row>
    <row r="2410" spans="1:5" ht="16">
      <c r="A2410" s="1" t="s">
        <v>1939</v>
      </c>
      <c r="B2410" s="1" t="s">
        <v>2392</v>
      </c>
      <c r="C2410" s="1" t="s">
        <v>332</v>
      </c>
      <c r="D2410" s="1" t="s">
        <v>229</v>
      </c>
      <c r="E2410" s="1"/>
    </row>
    <row r="2411" spans="1:5" ht="16">
      <c r="A2411" s="1" t="s">
        <v>1939</v>
      </c>
      <c r="B2411" s="1" t="s">
        <v>2393</v>
      </c>
      <c r="C2411" s="1" t="s">
        <v>332</v>
      </c>
      <c r="D2411" s="1" t="s">
        <v>229</v>
      </c>
      <c r="E2411" s="1"/>
    </row>
    <row r="2412" spans="1:5" ht="16">
      <c r="A2412" s="1" t="s">
        <v>1939</v>
      </c>
      <c r="B2412" s="1" t="s">
        <v>2394</v>
      </c>
      <c r="C2412" s="1" t="s">
        <v>332</v>
      </c>
      <c r="D2412" s="1" t="s">
        <v>229</v>
      </c>
      <c r="E2412" s="1"/>
    </row>
    <row r="2413" spans="1:5" ht="16">
      <c r="A2413" s="1" t="s">
        <v>1939</v>
      </c>
      <c r="B2413" s="1" t="s">
        <v>2395</v>
      </c>
      <c r="C2413" s="1" t="s">
        <v>332</v>
      </c>
      <c r="D2413" s="1" t="s">
        <v>229</v>
      </c>
      <c r="E2413" s="1"/>
    </row>
    <row r="2414" spans="1:5" ht="16">
      <c r="A2414" s="1" t="s">
        <v>1939</v>
      </c>
      <c r="B2414" s="1" t="s">
        <v>2396</v>
      </c>
      <c r="C2414" s="1" t="s">
        <v>332</v>
      </c>
      <c r="D2414" s="1" t="s">
        <v>229</v>
      </c>
      <c r="E2414" s="1"/>
    </row>
    <row r="2415" spans="1:5" ht="16">
      <c r="A2415" s="1" t="s">
        <v>1939</v>
      </c>
      <c r="B2415" s="1" t="s">
        <v>2397</v>
      </c>
      <c r="C2415" s="1" t="s">
        <v>332</v>
      </c>
      <c r="D2415" s="1" t="s">
        <v>229</v>
      </c>
      <c r="E2415" s="1"/>
    </row>
    <row r="2416" spans="1:5" ht="16">
      <c r="A2416" s="1" t="s">
        <v>1939</v>
      </c>
      <c r="B2416" s="1" t="s">
        <v>2398</v>
      </c>
      <c r="C2416" s="1" t="s">
        <v>332</v>
      </c>
      <c r="D2416" s="1" t="s">
        <v>229</v>
      </c>
      <c r="E2416" s="1"/>
    </row>
    <row r="2417" spans="1:5" ht="16">
      <c r="A2417" s="1" t="s">
        <v>1939</v>
      </c>
      <c r="B2417" s="1" t="s">
        <v>2399</v>
      </c>
      <c r="C2417" s="1" t="s">
        <v>332</v>
      </c>
      <c r="D2417" s="1" t="s">
        <v>229</v>
      </c>
      <c r="E2417" s="1"/>
    </row>
    <row r="2418" spans="1:5" ht="16">
      <c r="A2418" s="1" t="s">
        <v>1939</v>
      </c>
      <c r="B2418" s="1" t="s">
        <v>2400</v>
      </c>
      <c r="C2418" s="1" t="s">
        <v>332</v>
      </c>
      <c r="D2418" s="1" t="s">
        <v>229</v>
      </c>
      <c r="E2418" s="1"/>
    </row>
    <row r="2419" spans="1:5" ht="16">
      <c r="A2419" s="1" t="s">
        <v>1939</v>
      </c>
      <c r="B2419" s="1" t="s">
        <v>2401</v>
      </c>
      <c r="C2419" s="1" t="s">
        <v>332</v>
      </c>
      <c r="D2419" s="1" t="s">
        <v>229</v>
      </c>
      <c r="E2419" s="1"/>
    </row>
    <row r="2420" spans="1:5" ht="16">
      <c r="A2420" s="1" t="s">
        <v>1939</v>
      </c>
      <c r="B2420" s="1" t="s">
        <v>2402</v>
      </c>
      <c r="C2420" s="1" t="s">
        <v>332</v>
      </c>
      <c r="D2420" s="1" t="s">
        <v>229</v>
      </c>
      <c r="E2420" s="1"/>
    </row>
    <row r="2421" spans="1:5" ht="16">
      <c r="A2421" s="1" t="s">
        <v>1939</v>
      </c>
      <c r="B2421" s="1" t="s">
        <v>2403</v>
      </c>
      <c r="C2421" s="1" t="s">
        <v>332</v>
      </c>
      <c r="D2421" s="1" t="s">
        <v>229</v>
      </c>
      <c r="E2421" s="1"/>
    </row>
    <row r="2422" spans="1:5" ht="16">
      <c r="A2422" s="1" t="s">
        <v>1939</v>
      </c>
      <c r="B2422" s="1" t="s">
        <v>2404</v>
      </c>
      <c r="C2422" s="1" t="s">
        <v>332</v>
      </c>
      <c r="D2422" s="1" t="s">
        <v>229</v>
      </c>
      <c r="E2422" s="1"/>
    </row>
    <row r="2423" spans="1:5" ht="16">
      <c r="A2423" s="1" t="s">
        <v>1939</v>
      </c>
      <c r="B2423" s="1" t="s">
        <v>2405</v>
      </c>
      <c r="C2423" s="1" t="s">
        <v>332</v>
      </c>
      <c r="D2423" s="1" t="s">
        <v>229</v>
      </c>
      <c r="E2423" s="1"/>
    </row>
    <row r="2424" spans="1:5" ht="16">
      <c r="A2424" s="1" t="s">
        <v>1939</v>
      </c>
      <c r="B2424" s="1" t="s">
        <v>2406</v>
      </c>
      <c r="C2424" s="1" t="s">
        <v>332</v>
      </c>
      <c r="D2424" s="1" t="s">
        <v>229</v>
      </c>
      <c r="E2424" s="1"/>
    </row>
    <row r="2425" spans="1:5" ht="16">
      <c r="A2425" s="1" t="s">
        <v>1939</v>
      </c>
      <c r="B2425" s="1" t="s">
        <v>2407</v>
      </c>
      <c r="C2425" s="1" t="s">
        <v>332</v>
      </c>
      <c r="D2425" s="1" t="s">
        <v>229</v>
      </c>
      <c r="E2425" s="1"/>
    </row>
    <row r="2426" spans="1:5" ht="16">
      <c r="A2426" s="1" t="s">
        <v>1939</v>
      </c>
      <c r="B2426" s="1" t="s">
        <v>2408</v>
      </c>
      <c r="C2426" s="1" t="s">
        <v>332</v>
      </c>
      <c r="D2426" s="1" t="s">
        <v>229</v>
      </c>
      <c r="E2426" s="1"/>
    </row>
    <row r="2427" spans="1:5" ht="16">
      <c r="A2427" s="1" t="s">
        <v>1939</v>
      </c>
      <c r="B2427" s="1" t="s">
        <v>2409</v>
      </c>
      <c r="C2427" s="1" t="s">
        <v>332</v>
      </c>
      <c r="D2427" s="1" t="s">
        <v>229</v>
      </c>
      <c r="E2427" s="1"/>
    </row>
    <row r="2428" spans="1:5" ht="16">
      <c r="A2428" s="1" t="s">
        <v>1939</v>
      </c>
      <c r="B2428" s="1" t="s">
        <v>2410</v>
      </c>
      <c r="C2428" s="1" t="s">
        <v>332</v>
      </c>
      <c r="D2428" s="1" t="s">
        <v>229</v>
      </c>
      <c r="E2428" s="1"/>
    </row>
    <row r="2429" spans="1:5" ht="16">
      <c r="A2429" s="1" t="s">
        <v>1939</v>
      </c>
      <c r="B2429" s="1" t="s">
        <v>2411</v>
      </c>
      <c r="C2429" s="1" t="s">
        <v>332</v>
      </c>
      <c r="D2429" s="1" t="s">
        <v>229</v>
      </c>
      <c r="E2429" s="1"/>
    </row>
    <row r="2430" spans="1:5" ht="16">
      <c r="A2430" s="1" t="s">
        <v>1939</v>
      </c>
      <c r="B2430" s="1" t="s">
        <v>2412</v>
      </c>
      <c r="C2430" s="1" t="s">
        <v>332</v>
      </c>
      <c r="D2430" s="1" t="s">
        <v>229</v>
      </c>
      <c r="E2430" s="1"/>
    </row>
    <row r="2431" spans="1:5" ht="16">
      <c r="A2431" s="1" t="s">
        <v>1939</v>
      </c>
      <c r="B2431" s="1" t="s">
        <v>2413</v>
      </c>
      <c r="C2431" s="1" t="s">
        <v>332</v>
      </c>
      <c r="D2431" s="1" t="s">
        <v>229</v>
      </c>
      <c r="E2431" s="1"/>
    </row>
    <row r="2432" spans="1:5" ht="16">
      <c r="A2432" s="1" t="s">
        <v>1939</v>
      </c>
      <c r="B2432" s="1" t="s">
        <v>2414</v>
      </c>
      <c r="C2432" s="1" t="s">
        <v>332</v>
      </c>
      <c r="D2432" s="1" t="s">
        <v>229</v>
      </c>
      <c r="E2432" s="1"/>
    </row>
    <row r="2433" spans="1:5" ht="16">
      <c r="A2433" s="1" t="s">
        <v>1939</v>
      </c>
      <c r="B2433" s="1" t="s">
        <v>2415</v>
      </c>
      <c r="C2433" s="1" t="s">
        <v>332</v>
      </c>
      <c r="D2433" s="1" t="s">
        <v>229</v>
      </c>
      <c r="E2433" s="1"/>
    </row>
    <row r="2434" spans="1:5" ht="16">
      <c r="A2434" s="1" t="s">
        <v>1939</v>
      </c>
      <c r="B2434" s="1" t="s">
        <v>2416</v>
      </c>
      <c r="C2434" s="1" t="s">
        <v>332</v>
      </c>
      <c r="D2434" s="1" t="s">
        <v>229</v>
      </c>
      <c r="E2434" s="1"/>
    </row>
    <row r="2435" spans="1:5" ht="16">
      <c r="A2435" s="1" t="s">
        <v>1939</v>
      </c>
      <c r="B2435" s="1" t="s">
        <v>2417</v>
      </c>
      <c r="C2435" s="1" t="s">
        <v>332</v>
      </c>
      <c r="D2435" s="1" t="s">
        <v>229</v>
      </c>
      <c r="E2435" s="1"/>
    </row>
    <row r="2436" spans="1:5" ht="16">
      <c r="A2436" s="1" t="s">
        <v>1939</v>
      </c>
      <c r="B2436" s="1" t="s">
        <v>2418</v>
      </c>
      <c r="C2436" s="1" t="s">
        <v>332</v>
      </c>
      <c r="D2436" s="1" t="s">
        <v>229</v>
      </c>
      <c r="E2436" s="1"/>
    </row>
    <row r="2437" spans="1:5" ht="16">
      <c r="A2437" s="1" t="s">
        <v>1939</v>
      </c>
      <c r="B2437" s="1" t="s">
        <v>2419</v>
      </c>
      <c r="C2437" s="1" t="s">
        <v>332</v>
      </c>
      <c r="D2437" s="1" t="s">
        <v>229</v>
      </c>
      <c r="E2437" s="1"/>
    </row>
    <row r="2438" spans="1:5" ht="16">
      <c r="A2438" s="1" t="s">
        <v>1939</v>
      </c>
      <c r="B2438" s="1" t="s">
        <v>2420</v>
      </c>
      <c r="C2438" s="1" t="s">
        <v>332</v>
      </c>
      <c r="D2438" s="1" t="s">
        <v>229</v>
      </c>
      <c r="E2438" s="1"/>
    </row>
    <row r="2439" spans="1:5" ht="16">
      <c r="A2439" s="1" t="s">
        <v>1939</v>
      </c>
      <c r="B2439" s="1" t="s">
        <v>2421</v>
      </c>
      <c r="C2439" s="1" t="s">
        <v>332</v>
      </c>
      <c r="D2439" s="1" t="s">
        <v>229</v>
      </c>
      <c r="E2439" s="1"/>
    </row>
    <row r="2440" spans="1:5" ht="16">
      <c r="A2440" s="1" t="s">
        <v>1939</v>
      </c>
      <c r="B2440" s="1" t="s">
        <v>2422</v>
      </c>
      <c r="C2440" s="1" t="s">
        <v>332</v>
      </c>
      <c r="D2440" s="1" t="s">
        <v>229</v>
      </c>
      <c r="E2440" s="1"/>
    </row>
    <row r="2441" spans="1:5" ht="16">
      <c r="A2441" s="1" t="s">
        <v>1939</v>
      </c>
      <c r="B2441" s="1" t="s">
        <v>2423</v>
      </c>
      <c r="C2441" s="1" t="s">
        <v>332</v>
      </c>
      <c r="D2441" s="1" t="s">
        <v>229</v>
      </c>
      <c r="E2441" s="1"/>
    </row>
    <row r="2442" spans="1:5" ht="16">
      <c r="A2442" s="1" t="s">
        <v>1939</v>
      </c>
      <c r="B2442" s="1" t="s">
        <v>2424</v>
      </c>
      <c r="C2442" s="1" t="s">
        <v>332</v>
      </c>
      <c r="D2442" s="1" t="s">
        <v>229</v>
      </c>
      <c r="E2442" s="1"/>
    </row>
    <row r="2443" spans="1:5" ht="16">
      <c r="A2443" s="1" t="s">
        <v>1939</v>
      </c>
      <c r="B2443" s="1" t="s">
        <v>2425</v>
      </c>
      <c r="C2443" s="1" t="s">
        <v>332</v>
      </c>
      <c r="D2443" s="1" t="s">
        <v>229</v>
      </c>
      <c r="E2443" s="1"/>
    </row>
    <row r="2444" spans="1:5" ht="16">
      <c r="A2444" s="1" t="s">
        <v>1939</v>
      </c>
      <c r="B2444" s="1" t="s">
        <v>2426</v>
      </c>
      <c r="C2444" s="1" t="s">
        <v>332</v>
      </c>
      <c r="D2444" s="1" t="s">
        <v>229</v>
      </c>
      <c r="E2444" s="1"/>
    </row>
    <row r="2445" spans="1:5" ht="16">
      <c r="A2445" s="1" t="s">
        <v>1939</v>
      </c>
      <c r="B2445" s="1" t="s">
        <v>2427</v>
      </c>
      <c r="C2445" s="1" t="s">
        <v>332</v>
      </c>
      <c r="D2445" s="1" t="s">
        <v>229</v>
      </c>
      <c r="E2445" s="1"/>
    </row>
    <row r="2446" spans="1:5" ht="16">
      <c r="A2446" s="1" t="s">
        <v>1939</v>
      </c>
      <c r="B2446" s="1" t="s">
        <v>2428</v>
      </c>
      <c r="C2446" s="1" t="s">
        <v>332</v>
      </c>
      <c r="D2446" s="1" t="s">
        <v>229</v>
      </c>
      <c r="E2446" s="1"/>
    </row>
    <row r="2447" spans="1:5" ht="16">
      <c r="A2447" s="1" t="s">
        <v>1939</v>
      </c>
      <c r="B2447" s="1" t="s">
        <v>2429</v>
      </c>
      <c r="C2447" s="1" t="s">
        <v>332</v>
      </c>
      <c r="D2447" s="1" t="s">
        <v>229</v>
      </c>
      <c r="E2447" s="1"/>
    </row>
    <row r="2448" spans="1:5" ht="16">
      <c r="A2448" s="1" t="s">
        <v>1939</v>
      </c>
      <c r="B2448" s="1" t="s">
        <v>2430</v>
      </c>
      <c r="C2448" s="1" t="s">
        <v>332</v>
      </c>
      <c r="D2448" s="1" t="s">
        <v>229</v>
      </c>
      <c r="E2448" s="1"/>
    </row>
    <row r="2449" spans="1:5" ht="16">
      <c r="A2449" s="1" t="s">
        <v>1939</v>
      </c>
      <c r="B2449" s="1" t="s">
        <v>2431</v>
      </c>
      <c r="C2449" s="1" t="s">
        <v>332</v>
      </c>
      <c r="D2449" s="1" t="s">
        <v>229</v>
      </c>
      <c r="E2449" s="1"/>
    </row>
    <row r="2450" spans="1:5" ht="16">
      <c r="A2450" s="1" t="s">
        <v>1939</v>
      </c>
      <c r="B2450" s="1" t="s">
        <v>2432</v>
      </c>
      <c r="C2450" s="1" t="s">
        <v>332</v>
      </c>
      <c r="D2450" s="1" t="s">
        <v>229</v>
      </c>
      <c r="E2450" s="1"/>
    </row>
    <row r="2451" spans="1:5" ht="16">
      <c r="A2451" s="1" t="s">
        <v>1939</v>
      </c>
      <c r="B2451" s="1" t="s">
        <v>2433</v>
      </c>
      <c r="C2451" s="1" t="s">
        <v>332</v>
      </c>
      <c r="D2451" s="1" t="s">
        <v>229</v>
      </c>
      <c r="E2451" s="1"/>
    </row>
    <row r="2452" spans="1:5" ht="16">
      <c r="A2452" s="1" t="s">
        <v>1939</v>
      </c>
      <c r="B2452" s="1" t="s">
        <v>2434</v>
      </c>
      <c r="C2452" s="1" t="s">
        <v>332</v>
      </c>
      <c r="D2452" s="1" t="s">
        <v>229</v>
      </c>
      <c r="E2452" s="1"/>
    </row>
    <row r="2453" spans="1:5" ht="16">
      <c r="A2453" s="1" t="s">
        <v>1939</v>
      </c>
      <c r="B2453" s="1" t="s">
        <v>2435</v>
      </c>
      <c r="C2453" s="1" t="s">
        <v>332</v>
      </c>
      <c r="D2453" s="1" t="s">
        <v>229</v>
      </c>
      <c r="E2453" s="1"/>
    </row>
    <row r="2454" spans="1:5" ht="16">
      <c r="A2454" s="1" t="s">
        <v>1939</v>
      </c>
      <c r="B2454" s="1" t="s">
        <v>2436</v>
      </c>
      <c r="C2454" s="1" t="s">
        <v>332</v>
      </c>
      <c r="D2454" s="1" t="s">
        <v>229</v>
      </c>
      <c r="E2454" s="1"/>
    </row>
    <row r="2455" spans="1:5" ht="16">
      <c r="A2455" s="1" t="s">
        <v>1939</v>
      </c>
      <c r="B2455" s="1" t="s">
        <v>2437</v>
      </c>
      <c r="C2455" s="1" t="s">
        <v>332</v>
      </c>
      <c r="D2455" s="1" t="s">
        <v>229</v>
      </c>
      <c r="E2455" s="1"/>
    </row>
    <row r="2456" spans="1:5" ht="16">
      <c r="A2456" s="1" t="s">
        <v>1939</v>
      </c>
      <c r="B2456" s="1" t="s">
        <v>2438</v>
      </c>
      <c r="C2456" s="1" t="s">
        <v>265</v>
      </c>
      <c r="D2456" s="1" t="s">
        <v>229</v>
      </c>
      <c r="E2456" s="1"/>
    </row>
    <row r="2457" spans="1:5" ht="16">
      <c r="A2457" s="1" t="s">
        <v>1939</v>
      </c>
      <c r="B2457" s="1" t="s">
        <v>2439</v>
      </c>
      <c r="C2457" s="1" t="s">
        <v>265</v>
      </c>
      <c r="D2457" s="1" t="s">
        <v>229</v>
      </c>
      <c r="E2457" s="1"/>
    </row>
    <row r="2458" spans="1:5" ht="16">
      <c r="A2458" s="1" t="s">
        <v>1939</v>
      </c>
      <c r="B2458" s="1" t="s">
        <v>2440</v>
      </c>
      <c r="C2458" s="1" t="s">
        <v>265</v>
      </c>
      <c r="D2458" s="1" t="s">
        <v>229</v>
      </c>
      <c r="E2458" s="1"/>
    </row>
    <row r="2459" spans="1:5" ht="16">
      <c r="A2459" s="1" t="s">
        <v>1939</v>
      </c>
      <c r="B2459" s="1" t="s">
        <v>2441</v>
      </c>
      <c r="C2459" s="1" t="s">
        <v>265</v>
      </c>
      <c r="D2459" s="1" t="s">
        <v>229</v>
      </c>
      <c r="E2459" s="1"/>
    </row>
    <row r="2460" spans="1:5" ht="16">
      <c r="A2460" s="1" t="s">
        <v>1939</v>
      </c>
      <c r="B2460" s="1" t="s">
        <v>2442</v>
      </c>
      <c r="C2460" s="1" t="s">
        <v>334</v>
      </c>
      <c r="D2460" s="1" t="s">
        <v>229</v>
      </c>
      <c r="E2460" s="1"/>
    </row>
    <row r="2461" spans="1:5" ht="16">
      <c r="A2461" s="1" t="s">
        <v>1939</v>
      </c>
      <c r="B2461" s="1" t="s">
        <v>2443</v>
      </c>
      <c r="C2461" s="1" t="s">
        <v>334</v>
      </c>
      <c r="D2461" s="1" t="s">
        <v>229</v>
      </c>
      <c r="E2461" s="1"/>
    </row>
    <row r="2462" spans="1:5" ht="16">
      <c r="A2462" s="1" t="s">
        <v>1939</v>
      </c>
      <c r="B2462" s="1" t="s">
        <v>2444</v>
      </c>
      <c r="C2462" s="1" t="s">
        <v>334</v>
      </c>
      <c r="D2462" s="1" t="s">
        <v>229</v>
      </c>
      <c r="E2462" s="1"/>
    </row>
    <row r="2463" spans="1:5" ht="16">
      <c r="A2463" s="1" t="s">
        <v>1939</v>
      </c>
      <c r="B2463" s="1" t="s">
        <v>2445</v>
      </c>
      <c r="C2463" s="1" t="s">
        <v>334</v>
      </c>
      <c r="D2463" s="1" t="s">
        <v>229</v>
      </c>
      <c r="E2463" s="1"/>
    </row>
    <row r="2464" spans="1:5" ht="16">
      <c r="A2464" s="1" t="s">
        <v>1939</v>
      </c>
      <c r="B2464" s="1" t="s">
        <v>2446</v>
      </c>
      <c r="C2464" s="1" t="s">
        <v>334</v>
      </c>
      <c r="D2464" s="1" t="s">
        <v>229</v>
      </c>
      <c r="E2464" s="1"/>
    </row>
    <row r="2465" spans="1:5" ht="16">
      <c r="A2465" s="1" t="s">
        <v>1939</v>
      </c>
      <c r="B2465" s="1" t="s">
        <v>2447</v>
      </c>
      <c r="C2465" s="1" t="s">
        <v>334</v>
      </c>
      <c r="D2465" s="1" t="s">
        <v>229</v>
      </c>
      <c r="E2465" s="1"/>
    </row>
    <row r="2466" spans="1:5" ht="16">
      <c r="A2466" s="1" t="s">
        <v>1939</v>
      </c>
      <c r="B2466" s="1" t="s">
        <v>2448</v>
      </c>
      <c r="C2466" s="1" t="s">
        <v>334</v>
      </c>
      <c r="D2466" s="1" t="s">
        <v>229</v>
      </c>
      <c r="E2466" s="1"/>
    </row>
    <row r="2467" spans="1:5" ht="16">
      <c r="A2467" s="1" t="s">
        <v>1939</v>
      </c>
      <c r="B2467" s="1" t="s">
        <v>2449</v>
      </c>
      <c r="C2467" s="1" t="s">
        <v>334</v>
      </c>
      <c r="D2467" s="1" t="s">
        <v>229</v>
      </c>
      <c r="E2467" s="1"/>
    </row>
    <row r="2468" spans="1:5" ht="16">
      <c r="A2468" s="1" t="s">
        <v>1939</v>
      </c>
      <c r="B2468" s="1" t="s">
        <v>2450</v>
      </c>
      <c r="C2468" s="1" t="s">
        <v>334</v>
      </c>
      <c r="D2468" s="1" t="s">
        <v>229</v>
      </c>
      <c r="E2468" s="1"/>
    </row>
    <row r="2469" spans="1:5" ht="16">
      <c r="A2469" s="1" t="s">
        <v>1939</v>
      </c>
      <c r="B2469" s="1" t="s">
        <v>2451</v>
      </c>
      <c r="C2469" s="1" t="s">
        <v>334</v>
      </c>
      <c r="D2469" s="1" t="s">
        <v>229</v>
      </c>
      <c r="E2469" s="1"/>
    </row>
    <row r="2470" spans="1:5" ht="16">
      <c r="A2470" s="1" t="s">
        <v>1939</v>
      </c>
      <c r="B2470" s="1" t="s">
        <v>2452</v>
      </c>
      <c r="C2470" s="1" t="s">
        <v>334</v>
      </c>
      <c r="D2470" s="1" t="s">
        <v>229</v>
      </c>
      <c r="E2470" s="1"/>
    </row>
    <row r="2471" spans="1:5" ht="16">
      <c r="A2471" s="1" t="s">
        <v>1939</v>
      </c>
      <c r="B2471" s="1" t="s">
        <v>2453</v>
      </c>
      <c r="C2471" s="1" t="s">
        <v>332</v>
      </c>
      <c r="D2471" s="1" t="s">
        <v>229</v>
      </c>
      <c r="E2471" s="1"/>
    </row>
    <row r="2472" spans="1:5" ht="16">
      <c r="A2472" s="1" t="s">
        <v>1939</v>
      </c>
      <c r="B2472" s="1" t="s">
        <v>2454</v>
      </c>
      <c r="C2472" s="1" t="s">
        <v>332</v>
      </c>
      <c r="D2472" s="1" t="s">
        <v>229</v>
      </c>
      <c r="E2472" s="1"/>
    </row>
    <row r="2473" spans="1:5" ht="16">
      <c r="A2473" s="1" t="s">
        <v>1939</v>
      </c>
      <c r="B2473" s="1" t="s">
        <v>2455</v>
      </c>
      <c r="C2473" s="1" t="s">
        <v>332</v>
      </c>
      <c r="D2473" s="1" t="s">
        <v>229</v>
      </c>
      <c r="E2473" s="1"/>
    </row>
    <row r="2474" spans="1:5" ht="16">
      <c r="A2474" s="1" t="s">
        <v>1939</v>
      </c>
      <c r="B2474" s="1" t="s">
        <v>2456</v>
      </c>
      <c r="C2474" s="1" t="s">
        <v>332</v>
      </c>
      <c r="D2474" s="1" t="s">
        <v>229</v>
      </c>
      <c r="E2474" s="1"/>
    </row>
    <row r="2475" spans="1:5" ht="16">
      <c r="A2475" s="1" t="s">
        <v>1939</v>
      </c>
      <c r="B2475" s="1" t="s">
        <v>2457</v>
      </c>
      <c r="C2475" s="1" t="s">
        <v>332</v>
      </c>
      <c r="D2475" s="1" t="s">
        <v>229</v>
      </c>
      <c r="E2475" s="1"/>
    </row>
    <row r="2476" spans="1:5" ht="16">
      <c r="A2476" s="1" t="s">
        <v>1939</v>
      </c>
      <c r="B2476" s="1" t="s">
        <v>2458</v>
      </c>
      <c r="C2476" s="1" t="s">
        <v>332</v>
      </c>
      <c r="D2476" s="1" t="s">
        <v>229</v>
      </c>
      <c r="E2476" s="1"/>
    </row>
    <row r="2477" spans="1:5" ht="16">
      <c r="A2477" s="1" t="s">
        <v>1939</v>
      </c>
      <c r="B2477" s="1" t="s">
        <v>2459</v>
      </c>
      <c r="C2477" s="1" t="s">
        <v>332</v>
      </c>
      <c r="D2477" s="1" t="s">
        <v>229</v>
      </c>
      <c r="E2477" s="1"/>
    </row>
    <row r="2478" spans="1:5" ht="16">
      <c r="A2478" s="1" t="s">
        <v>1939</v>
      </c>
      <c r="B2478" s="1" t="s">
        <v>2460</v>
      </c>
      <c r="C2478" s="1" t="s">
        <v>332</v>
      </c>
      <c r="D2478" s="1" t="s">
        <v>229</v>
      </c>
      <c r="E2478" s="1"/>
    </row>
    <row r="2479" spans="1:5" ht="16">
      <c r="A2479" s="1" t="s">
        <v>1939</v>
      </c>
      <c r="B2479" s="1" t="s">
        <v>2461</v>
      </c>
      <c r="C2479" s="1" t="s">
        <v>332</v>
      </c>
      <c r="D2479" s="1" t="s">
        <v>229</v>
      </c>
      <c r="E2479" s="1"/>
    </row>
    <row r="2480" spans="1:5" ht="16">
      <c r="A2480" s="1" t="s">
        <v>1939</v>
      </c>
      <c r="B2480" s="1" t="s">
        <v>2462</v>
      </c>
      <c r="C2480" s="1" t="s">
        <v>332</v>
      </c>
      <c r="D2480" s="1" t="s">
        <v>229</v>
      </c>
      <c r="E2480" s="1"/>
    </row>
    <row r="2481" spans="1:5" ht="16">
      <c r="A2481" s="1" t="s">
        <v>1939</v>
      </c>
      <c r="B2481" s="1" t="s">
        <v>2463</v>
      </c>
      <c r="C2481" s="1" t="s">
        <v>332</v>
      </c>
      <c r="D2481" s="1" t="s">
        <v>229</v>
      </c>
      <c r="E2481" s="1"/>
    </row>
    <row r="2482" spans="1:5" ht="16">
      <c r="A2482" s="1" t="s">
        <v>1939</v>
      </c>
      <c r="B2482" s="1" t="s">
        <v>2464</v>
      </c>
      <c r="C2482" s="1" t="s">
        <v>332</v>
      </c>
      <c r="D2482" s="1" t="s">
        <v>229</v>
      </c>
      <c r="E2482" s="1"/>
    </row>
    <row r="2483" spans="1:5" ht="16">
      <c r="A2483" s="1" t="s">
        <v>1939</v>
      </c>
      <c r="B2483" s="1" t="s">
        <v>2465</v>
      </c>
      <c r="C2483" s="1" t="s">
        <v>332</v>
      </c>
      <c r="D2483" s="1" t="s">
        <v>229</v>
      </c>
      <c r="E2483" s="1"/>
    </row>
    <row r="2484" spans="1:5" ht="16">
      <c r="A2484" s="1" t="s">
        <v>1939</v>
      </c>
      <c r="B2484" s="1" t="s">
        <v>2466</v>
      </c>
      <c r="C2484" s="1" t="s">
        <v>332</v>
      </c>
      <c r="D2484" s="1" t="s">
        <v>229</v>
      </c>
      <c r="E2484" s="1"/>
    </row>
    <row r="2485" spans="1:5" ht="16">
      <c r="A2485" s="1" t="s">
        <v>1939</v>
      </c>
      <c r="B2485" s="1" t="s">
        <v>2467</v>
      </c>
      <c r="C2485" s="1" t="s">
        <v>332</v>
      </c>
      <c r="D2485" s="1" t="s">
        <v>229</v>
      </c>
      <c r="E2485" s="1"/>
    </row>
    <row r="2486" spans="1:5" ht="16">
      <c r="A2486" s="1" t="s">
        <v>1939</v>
      </c>
      <c r="B2486" s="1" t="s">
        <v>2468</v>
      </c>
      <c r="C2486" s="1" t="s">
        <v>332</v>
      </c>
      <c r="D2486" s="1" t="s">
        <v>229</v>
      </c>
      <c r="E2486" s="1"/>
    </row>
    <row r="2487" spans="1:5" ht="16">
      <c r="A2487" s="1" t="s">
        <v>1939</v>
      </c>
      <c r="B2487" s="1" t="s">
        <v>2469</v>
      </c>
      <c r="C2487" s="1" t="s">
        <v>332</v>
      </c>
      <c r="D2487" s="1" t="s">
        <v>229</v>
      </c>
      <c r="E2487" s="1"/>
    </row>
    <row r="2488" spans="1:5" ht="16">
      <c r="A2488" s="1" t="s">
        <v>1939</v>
      </c>
      <c r="B2488" s="1" t="s">
        <v>2470</v>
      </c>
      <c r="C2488" s="1" t="s">
        <v>332</v>
      </c>
      <c r="D2488" s="1" t="s">
        <v>229</v>
      </c>
      <c r="E2488" s="1"/>
    </row>
    <row r="2489" spans="1:5" ht="16">
      <c r="A2489" s="1" t="s">
        <v>1939</v>
      </c>
      <c r="B2489" s="1" t="s">
        <v>2471</v>
      </c>
      <c r="C2489" s="1" t="s">
        <v>332</v>
      </c>
      <c r="D2489" s="1" t="s">
        <v>229</v>
      </c>
      <c r="E2489" s="1"/>
    </row>
    <row r="2490" spans="1:5" ht="16">
      <c r="A2490" s="1" t="s">
        <v>1939</v>
      </c>
      <c r="B2490" s="1" t="s">
        <v>2472</v>
      </c>
      <c r="C2490" s="1" t="s">
        <v>332</v>
      </c>
      <c r="D2490" s="1" t="s">
        <v>229</v>
      </c>
      <c r="E2490" s="1"/>
    </row>
    <row r="2491" spans="1:5" ht="16">
      <c r="A2491" s="1" t="s">
        <v>1939</v>
      </c>
      <c r="B2491" s="1" t="s">
        <v>2473</v>
      </c>
      <c r="C2491" s="1" t="s">
        <v>332</v>
      </c>
      <c r="D2491" s="1" t="s">
        <v>229</v>
      </c>
      <c r="E2491" s="1"/>
    </row>
    <row r="2492" spans="1:5" ht="16">
      <c r="A2492" s="1" t="s">
        <v>1939</v>
      </c>
      <c r="B2492" s="1" t="s">
        <v>2474</v>
      </c>
      <c r="C2492" s="1" t="s">
        <v>332</v>
      </c>
      <c r="D2492" s="1" t="s">
        <v>229</v>
      </c>
      <c r="E2492" s="1"/>
    </row>
    <row r="2493" spans="1:5" ht="16">
      <c r="A2493" s="1" t="s">
        <v>1939</v>
      </c>
      <c r="B2493" s="1" t="s">
        <v>2475</v>
      </c>
      <c r="C2493" s="1" t="s">
        <v>332</v>
      </c>
      <c r="D2493" s="1" t="s">
        <v>229</v>
      </c>
      <c r="E2493" s="1"/>
    </row>
    <row r="2494" spans="1:5" ht="16">
      <c r="A2494" s="1" t="s">
        <v>1939</v>
      </c>
      <c r="B2494" s="1" t="s">
        <v>2476</v>
      </c>
      <c r="C2494" s="1" t="s">
        <v>332</v>
      </c>
      <c r="D2494" s="1" t="s">
        <v>229</v>
      </c>
      <c r="E2494" s="1"/>
    </row>
    <row r="2495" spans="1:5" ht="16">
      <c r="A2495" s="1" t="s">
        <v>1939</v>
      </c>
      <c r="B2495" s="1" t="s">
        <v>2477</v>
      </c>
      <c r="C2495" s="1" t="s">
        <v>332</v>
      </c>
      <c r="D2495" s="1" t="s">
        <v>229</v>
      </c>
      <c r="E2495" s="1"/>
    </row>
    <row r="2496" spans="1:5" ht="16">
      <c r="A2496" s="1" t="s">
        <v>1939</v>
      </c>
      <c r="B2496" s="1" t="s">
        <v>2478</v>
      </c>
      <c r="C2496" s="1" t="s">
        <v>332</v>
      </c>
      <c r="D2496" s="1" t="s">
        <v>229</v>
      </c>
      <c r="E2496" s="1"/>
    </row>
    <row r="2497" spans="1:5" ht="16">
      <c r="A2497" s="1" t="s">
        <v>1939</v>
      </c>
      <c r="B2497" s="1" t="s">
        <v>2479</v>
      </c>
      <c r="C2497" s="1" t="s">
        <v>332</v>
      </c>
      <c r="D2497" s="1" t="s">
        <v>229</v>
      </c>
      <c r="E2497" s="1"/>
    </row>
    <row r="2498" spans="1:5" ht="16">
      <c r="A2498" s="1" t="s">
        <v>1939</v>
      </c>
      <c r="B2498" s="1" t="s">
        <v>2480</v>
      </c>
      <c r="C2498" s="1" t="s">
        <v>332</v>
      </c>
      <c r="D2498" s="1" t="s">
        <v>229</v>
      </c>
      <c r="E2498" s="1"/>
    </row>
    <row r="2499" spans="1:5" ht="16">
      <c r="A2499" s="1" t="s">
        <v>1939</v>
      </c>
      <c r="B2499" s="1" t="s">
        <v>2481</v>
      </c>
      <c r="C2499" s="1" t="s">
        <v>332</v>
      </c>
      <c r="D2499" s="1" t="s">
        <v>229</v>
      </c>
      <c r="E2499" s="1"/>
    </row>
    <row r="2500" spans="1:5" ht="16">
      <c r="A2500" s="1" t="s">
        <v>1939</v>
      </c>
      <c r="B2500" s="1" t="s">
        <v>2482</v>
      </c>
      <c r="C2500" s="1" t="s">
        <v>332</v>
      </c>
      <c r="D2500" s="1" t="s">
        <v>229</v>
      </c>
      <c r="E2500" s="1"/>
    </row>
    <row r="2501" spans="1:5" ht="16">
      <c r="A2501" s="1" t="s">
        <v>1939</v>
      </c>
      <c r="B2501" s="1" t="s">
        <v>2483</v>
      </c>
      <c r="C2501" s="1" t="s">
        <v>332</v>
      </c>
      <c r="D2501" s="1" t="s">
        <v>229</v>
      </c>
      <c r="E2501" s="1"/>
    </row>
    <row r="2502" spans="1:5" ht="16">
      <c r="A2502" s="1" t="s">
        <v>1939</v>
      </c>
      <c r="B2502" s="1" t="s">
        <v>2484</v>
      </c>
      <c r="C2502" s="1" t="s">
        <v>332</v>
      </c>
      <c r="D2502" s="1" t="s">
        <v>229</v>
      </c>
      <c r="E2502" s="1"/>
    </row>
    <row r="2503" spans="1:5" ht="16">
      <c r="A2503" s="1" t="s">
        <v>1939</v>
      </c>
      <c r="B2503" s="1" t="s">
        <v>2485</v>
      </c>
      <c r="C2503" s="1" t="s">
        <v>332</v>
      </c>
      <c r="D2503" s="1" t="s">
        <v>229</v>
      </c>
      <c r="E2503" s="1"/>
    </row>
    <row r="2504" spans="1:5" ht="16">
      <c r="A2504" s="1" t="s">
        <v>1939</v>
      </c>
      <c r="B2504" s="1" t="s">
        <v>2486</v>
      </c>
      <c r="C2504" s="1" t="s">
        <v>332</v>
      </c>
      <c r="D2504" s="1" t="s">
        <v>229</v>
      </c>
      <c r="E2504" s="1"/>
    </row>
    <row r="2505" spans="1:5" ht="16">
      <c r="A2505" s="1" t="s">
        <v>1939</v>
      </c>
      <c r="B2505" s="1" t="s">
        <v>2487</v>
      </c>
      <c r="C2505" s="1" t="s">
        <v>332</v>
      </c>
      <c r="D2505" s="1" t="s">
        <v>229</v>
      </c>
      <c r="E2505" s="1"/>
    </row>
    <row r="2506" spans="1:5" ht="16">
      <c r="A2506" s="1" t="s">
        <v>1939</v>
      </c>
      <c r="B2506" s="1" t="s">
        <v>2488</v>
      </c>
      <c r="C2506" s="1" t="s">
        <v>332</v>
      </c>
      <c r="D2506" s="1" t="s">
        <v>229</v>
      </c>
      <c r="E2506" s="1"/>
    </row>
    <row r="2507" spans="1:5" ht="16">
      <c r="A2507" s="1" t="s">
        <v>1939</v>
      </c>
      <c r="B2507" s="1" t="s">
        <v>2489</v>
      </c>
      <c r="C2507" s="1" t="s">
        <v>332</v>
      </c>
      <c r="D2507" s="1" t="s">
        <v>229</v>
      </c>
      <c r="E2507" s="1"/>
    </row>
    <row r="2508" spans="1:5" ht="16">
      <c r="A2508" s="1" t="s">
        <v>1939</v>
      </c>
      <c r="B2508" s="1" t="s">
        <v>2490</v>
      </c>
      <c r="C2508" s="1" t="s">
        <v>332</v>
      </c>
      <c r="D2508" s="1" t="s">
        <v>229</v>
      </c>
      <c r="E2508" s="1"/>
    </row>
    <row r="2509" spans="1:5" ht="16">
      <c r="A2509" s="1" t="s">
        <v>1939</v>
      </c>
      <c r="B2509" s="1" t="s">
        <v>2491</v>
      </c>
      <c r="C2509" s="1" t="s">
        <v>332</v>
      </c>
      <c r="D2509" s="1" t="s">
        <v>229</v>
      </c>
      <c r="E2509" s="1"/>
    </row>
    <row r="2510" spans="1:5" ht="16">
      <c r="A2510" s="1" t="s">
        <v>1939</v>
      </c>
      <c r="B2510" s="1" t="s">
        <v>2492</v>
      </c>
      <c r="C2510" s="1" t="s">
        <v>332</v>
      </c>
      <c r="D2510" s="1" t="s">
        <v>229</v>
      </c>
      <c r="E2510" s="1"/>
    </row>
    <row r="2511" spans="1:5" ht="16">
      <c r="A2511" s="1" t="s">
        <v>1939</v>
      </c>
      <c r="B2511" s="1" t="s">
        <v>2493</v>
      </c>
      <c r="C2511" s="1" t="s">
        <v>332</v>
      </c>
      <c r="D2511" s="1" t="s">
        <v>229</v>
      </c>
      <c r="E2511" s="1"/>
    </row>
    <row r="2512" spans="1:5" ht="16">
      <c r="A2512" s="1" t="s">
        <v>1939</v>
      </c>
      <c r="B2512" s="1" t="s">
        <v>2494</v>
      </c>
      <c r="C2512" s="1" t="s">
        <v>332</v>
      </c>
      <c r="D2512" s="1" t="s">
        <v>229</v>
      </c>
      <c r="E2512" s="1"/>
    </row>
    <row r="2513" spans="1:5" ht="16">
      <c r="A2513" s="1" t="s">
        <v>1939</v>
      </c>
      <c r="B2513" s="1" t="s">
        <v>2495</v>
      </c>
      <c r="C2513" s="1" t="s">
        <v>332</v>
      </c>
      <c r="D2513" s="1" t="s">
        <v>229</v>
      </c>
      <c r="E2513" s="1"/>
    </row>
    <row r="2514" spans="1:5" ht="16">
      <c r="A2514" s="1" t="s">
        <v>1939</v>
      </c>
      <c r="B2514" s="1" t="s">
        <v>2496</v>
      </c>
      <c r="C2514" s="1" t="s">
        <v>332</v>
      </c>
      <c r="D2514" s="1" t="s">
        <v>229</v>
      </c>
      <c r="E2514" s="1"/>
    </row>
    <row r="2515" spans="1:5" ht="16">
      <c r="A2515" s="1" t="s">
        <v>1939</v>
      </c>
      <c r="B2515" s="1" t="s">
        <v>2497</v>
      </c>
      <c r="C2515" s="1" t="s">
        <v>332</v>
      </c>
      <c r="D2515" s="1" t="s">
        <v>229</v>
      </c>
      <c r="E2515" s="1"/>
    </row>
    <row r="2516" spans="1:5" ht="16">
      <c r="A2516" s="1" t="s">
        <v>1939</v>
      </c>
      <c r="B2516" s="1" t="s">
        <v>2498</v>
      </c>
      <c r="C2516" s="1" t="s">
        <v>332</v>
      </c>
      <c r="D2516" s="1" t="s">
        <v>229</v>
      </c>
      <c r="E2516" s="1"/>
    </row>
    <row r="2517" spans="1:5" ht="16">
      <c r="A2517" s="1" t="s">
        <v>1939</v>
      </c>
      <c r="B2517" s="1" t="s">
        <v>2499</v>
      </c>
      <c r="C2517" s="1" t="s">
        <v>332</v>
      </c>
      <c r="D2517" s="1" t="s">
        <v>229</v>
      </c>
      <c r="E2517" s="1"/>
    </row>
    <row r="2518" spans="1:5" ht="16">
      <c r="A2518" s="1" t="s">
        <v>1939</v>
      </c>
      <c r="B2518" s="1" t="s">
        <v>2500</v>
      </c>
      <c r="C2518" s="1" t="s">
        <v>332</v>
      </c>
      <c r="D2518" s="1" t="s">
        <v>229</v>
      </c>
      <c r="E2518" s="1"/>
    </row>
    <row r="2519" spans="1:5" ht="16">
      <c r="A2519" s="1" t="s">
        <v>1939</v>
      </c>
      <c r="B2519" s="1" t="s">
        <v>2501</v>
      </c>
      <c r="C2519" s="1" t="s">
        <v>332</v>
      </c>
      <c r="D2519" s="1" t="s">
        <v>229</v>
      </c>
      <c r="E2519" s="1"/>
    </row>
    <row r="2520" spans="1:5" ht="16">
      <c r="A2520" s="1" t="s">
        <v>1939</v>
      </c>
      <c r="B2520" s="1" t="s">
        <v>2502</v>
      </c>
      <c r="C2520" s="1" t="s">
        <v>332</v>
      </c>
      <c r="D2520" s="1" t="s">
        <v>229</v>
      </c>
      <c r="E2520" s="1"/>
    </row>
    <row r="2521" spans="1:5" ht="16">
      <c r="A2521" s="1" t="s">
        <v>1939</v>
      </c>
      <c r="B2521" s="1" t="s">
        <v>2503</v>
      </c>
      <c r="C2521" s="1" t="s">
        <v>332</v>
      </c>
      <c r="D2521" s="1" t="s">
        <v>229</v>
      </c>
      <c r="E2521" s="1"/>
    </row>
    <row r="2522" spans="1:5" ht="16">
      <c r="A2522" s="1" t="s">
        <v>1939</v>
      </c>
      <c r="B2522" s="1" t="s">
        <v>2504</v>
      </c>
      <c r="C2522" s="1" t="s">
        <v>332</v>
      </c>
      <c r="D2522" s="1" t="s">
        <v>229</v>
      </c>
      <c r="E2522" s="1"/>
    </row>
    <row r="2523" spans="1:5" ht="16">
      <c r="A2523" s="1" t="s">
        <v>1939</v>
      </c>
      <c r="B2523" s="1" t="s">
        <v>2505</v>
      </c>
      <c r="C2523" s="1" t="s">
        <v>332</v>
      </c>
      <c r="D2523" s="1" t="s">
        <v>229</v>
      </c>
      <c r="E2523" s="1"/>
    </row>
    <row r="2524" spans="1:5" ht="16">
      <c r="A2524" s="1" t="s">
        <v>1939</v>
      </c>
      <c r="B2524" s="1" t="s">
        <v>2506</v>
      </c>
      <c r="C2524" s="1" t="s">
        <v>332</v>
      </c>
      <c r="D2524" s="1" t="s">
        <v>229</v>
      </c>
      <c r="E2524" s="1"/>
    </row>
    <row r="2525" spans="1:5" ht="16">
      <c r="A2525" s="1" t="s">
        <v>1939</v>
      </c>
      <c r="B2525" s="1" t="s">
        <v>2507</v>
      </c>
      <c r="C2525" s="1" t="s">
        <v>332</v>
      </c>
      <c r="D2525" s="1" t="s">
        <v>229</v>
      </c>
      <c r="E2525" s="1"/>
    </row>
    <row r="2526" spans="1:5" ht="16">
      <c r="A2526" s="1" t="s">
        <v>1939</v>
      </c>
      <c r="B2526" s="1" t="s">
        <v>2508</v>
      </c>
      <c r="C2526" s="1" t="s">
        <v>332</v>
      </c>
      <c r="D2526" s="1" t="s">
        <v>229</v>
      </c>
      <c r="E2526" s="1"/>
    </row>
    <row r="2527" spans="1:5" ht="16">
      <c r="A2527" s="1" t="s">
        <v>1939</v>
      </c>
      <c r="B2527" s="1" t="s">
        <v>2509</v>
      </c>
      <c r="C2527" s="1" t="s">
        <v>332</v>
      </c>
      <c r="D2527" s="1" t="s">
        <v>229</v>
      </c>
      <c r="E2527" s="1"/>
    </row>
    <row r="2528" spans="1:5" ht="16">
      <c r="A2528" s="1" t="s">
        <v>1939</v>
      </c>
      <c r="B2528" s="1" t="s">
        <v>2510</v>
      </c>
      <c r="C2528" s="1" t="s">
        <v>332</v>
      </c>
      <c r="D2528" s="1" t="s">
        <v>229</v>
      </c>
      <c r="E2528" s="1"/>
    </row>
    <row r="2529" spans="1:5" ht="16">
      <c r="A2529" s="1" t="s">
        <v>1939</v>
      </c>
      <c r="B2529" s="1" t="s">
        <v>2511</v>
      </c>
      <c r="C2529" s="1" t="s">
        <v>332</v>
      </c>
      <c r="D2529" s="1" t="s">
        <v>229</v>
      </c>
      <c r="E2529" s="1"/>
    </row>
    <row r="2530" spans="1:5" ht="16">
      <c r="A2530" s="1" t="s">
        <v>1939</v>
      </c>
      <c r="B2530" s="1" t="s">
        <v>2512</v>
      </c>
      <c r="C2530" s="1" t="s">
        <v>332</v>
      </c>
      <c r="D2530" s="1" t="s">
        <v>229</v>
      </c>
      <c r="E2530" s="1"/>
    </row>
    <row r="2531" spans="1:5" ht="16">
      <c r="A2531" s="1" t="s">
        <v>1939</v>
      </c>
      <c r="B2531" s="1" t="s">
        <v>2513</v>
      </c>
      <c r="C2531" s="1" t="s">
        <v>332</v>
      </c>
      <c r="D2531" s="1" t="s">
        <v>229</v>
      </c>
      <c r="E2531" s="1"/>
    </row>
    <row r="2532" spans="1:5" ht="16">
      <c r="A2532" s="1" t="s">
        <v>1939</v>
      </c>
      <c r="B2532" s="1" t="s">
        <v>2514</v>
      </c>
      <c r="C2532" s="1" t="s">
        <v>332</v>
      </c>
      <c r="D2532" s="1" t="s">
        <v>229</v>
      </c>
      <c r="E2532" s="1"/>
    </row>
    <row r="2533" spans="1:5" ht="16">
      <c r="A2533" s="1" t="s">
        <v>1939</v>
      </c>
      <c r="B2533" s="1" t="s">
        <v>2515</v>
      </c>
      <c r="C2533" s="1" t="s">
        <v>332</v>
      </c>
      <c r="D2533" s="1" t="s">
        <v>229</v>
      </c>
      <c r="E2533" s="1"/>
    </row>
    <row r="2534" spans="1:5" ht="16">
      <c r="A2534" s="1" t="s">
        <v>1939</v>
      </c>
      <c r="B2534" s="1" t="s">
        <v>2516</v>
      </c>
      <c r="C2534" s="1" t="s">
        <v>332</v>
      </c>
      <c r="D2534" s="1" t="s">
        <v>229</v>
      </c>
      <c r="E2534" s="1"/>
    </row>
    <row r="2535" spans="1:5" ht="16">
      <c r="A2535" s="1" t="s">
        <v>1939</v>
      </c>
      <c r="B2535" s="1" t="s">
        <v>2517</v>
      </c>
      <c r="C2535" s="1" t="s">
        <v>332</v>
      </c>
      <c r="D2535" s="1" t="s">
        <v>229</v>
      </c>
      <c r="E2535" s="1"/>
    </row>
    <row r="2536" spans="1:5" ht="16">
      <c r="A2536" s="1" t="s">
        <v>1939</v>
      </c>
      <c r="B2536" s="1" t="s">
        <v>2518</v>
      </c>
      <c r="C2536" s="1" t="s">
        <v>332</v>
      </c>
      <c r="D2536" s="1" t="s">
        <v>229</v>
      </c>
      <c r="E2536" s="1"/>
    </row>
    <row r="2537" spans="1:5" ht="16">
      <c r="A2537" s="1" t="s">
        <v>1939</v>
      </c>
      <c r="B2537" s="1" t="s">
        <v>2519</v>
      </c>
      <c r="C2537" s="1" t="s">
        <v>332</v>
      </c>
      <c r="D2537" s="1" t="s">
        <v>229</v>
      </c>
      <c r="E2537" s="1"/>
    </row>
    <row r="2538" spans="1:5" ht="16">
      <c r="A2538" s="1" t="s">
        <v>1939</v>
      </c>
      <c r="B2538" s="1" t="s">
        <v>2520</v>
      </c>
      <c r="C2538" s="1" t="s">
        <v>332</v>
      </c>
      <c r="D2538" s="1" t="s">
        <v>229</v>
      </c>
      <c r="E2538" s="1"/>
    </row>
    <row r="2539" spans="1:5" ht="16">
      <c r="A2539" s="1" t="s">
        <v>1939</v>
      </c>
      <c r="B2539" s="1" t="s">
        <v>2521</v>
      </c>
      <c r="C2539" s="1" t="s">
        <v>332</v>
      </c>
      <c r="D2539" s="1" t="s">
        <v>229</v>
      </c>
      <c r="E2539" s="1"/>
    </row>
    <row r="2540" spans="1:5" ht="16">
      <c r="A2540" s="1" t="s">
        <v>1939</v>
      </c>
      <c r="B2540" s="1" t="s">
        <v>2522</v>
      </c>
      <c r="C2540" s="1" t="s">
        <v>332</v>
      </c>
      <c r="D2540" s="1" t="s">
        <v>229</v>
      </c>
      <c r="E2540" s="1"/>
    </row>
    <row r="2541" spans="1:5" ht="16">
      <c r="A2541" s="1" t="s">
        <v>1939</v>
      </c>
      <c r="B2541" s="1" t="s">
        <v>2523</v>
      </c>
      <c r="C2541" s="1" t="s">
        <v>332</v>
      </c>
      <c r="D2541" s="1" t="s">
        <v>229</v>
      </c>
      <c r="E2541" s="1"/>
    </row>
    <row r="2542" spans="1:5" ht="16">
      <c r="A2542" s="1" t="s">
        <v>1939</v>
      </c>
      <c r="B2542" s="1" t="s">
        <v>2524</v>
      </c>
      <c r="C2542" s="1" t="s">
        <v>332</v>
      </c>
      <c r="D2542" s="1" t="s">
        <v>229</v>
      </c>
      <c r="E2542" s="1"/>
    </row>
    <row r="2543" spans="1:5" ht="16">
      <c r="A2543" s="1" t="s">
        <v>1939</v>
      </c>
      <c r="B2543" s="1" t="s">
        <v>2525</v>
      </c>
      <c r="C2543" s="1" t="s">
        <v>332</v>
      </c>
      <c r="D2543" s="1" t="s">
        <v>229</v>
      </c>
      <c r="E2543" s="1"/>
    </row>
    <row r="2544" spans="1:5" ht="16">
      <c r="A2544" s="1" t="s">
        <v>1939</v>
      </c>
      <c r="B2544" s="1" t="s">
        <v>2526</v>
      </c>
      <c r="C2544" s="1" t="s">
        <v>332</v>
      </c>
      <c r="D2544" s="1" t="s">
        <v>229</v>
      </c>
      <c r="E2544" s="1"/>
    </row>
    <row r="2545" spans="1:5" ht="16">
      <c r="A2545" s="1" t="s">
        <v>1939</v>
      </c>
      <c r="B2545" s="1" t="s">
        <v>2527</v>
      </c>
      <c r="C2545" s="1" t="s">
        <v>332</v>
      </c>
      <c r="D2545" s="1" t="s">
        <v>229</v>
      </c>
      <c r="E2545" s="1"/>
    </row>
    <row r="2546" spans="1:5" ht="16">
      <c r="A2546" s="1" t="s">
        <v>1939</v>
      </c>
      <c r="B2546" s="1" t="s">
        <v>2528</v>
      </c>
      <c r="C2546" s="1" t="s">
        <v>332</v>
      </c>
      <c r="D2546" s="1" t="s">
        <v>229</v>
      </c>
      <c r="E2546" s="1"/>
    </row>
    <row r="2547" spans="1:5" ht="16">
      <c r="A2547" s="1" t="s">
        <v>1939</v>
      </c>
      <c r="B2547" s="1" t="s">
        <v>2529</v>
      </c>
      <c r="C2547" s="1" t="s">
        <v>332</v>
      </c>
      <c r="D2547" s="1" t="s">
        <v>229</v>
      </c>
      <c r="E2547" s="1"/>
    </row>
    <row r="2548" spans="1:5" ht="16">
      <c r="A2548" s="1" t="s">
        <v>1939</v>
      </c>
      <c r="B2548" s="1" t="s">
        <v>2530</v>
      </c>
      <c r="C2548" s="1" t="s">
        <v>332</v>
      </c>
      <c r="D2548" s="1" t="s">
        <v>229</v>
      </c>
      <c r="E2548" s="1"/>
    </row>
    <row r="2549" spans="1:5" ht="16">
      <c r="A2549" s="1" t="s">
        <v>1939</v>
      </c>
      <c r="B2549" s="1" t="s">
        <v>2531</v>
      </c>
      <c r="C2549" s="1" t="s">
        <v>332</v>
      </c>
      <c r="D2549" s="1" t="s">
        <v>229</v>
      </c>
      <c r="E2549" s="1"/>
    </row>
    <row r="2550" spans="1:5" ht="16">
      <c r="A2550" s="1" t="s">
        <v>1939</v>
      </c>
      <c r="B2550" s="1" t="s">
        <v>2532</v>
      </c>
      <c r="C2550" s="1" t="s">
        <v>332</v>
      </c>
      <c r="D2550" s="1" t="s">
        <v>229</v>
      </c>
      <c r="E2550" s="1"/>
    </row>
    <row r="2551" spans="1:5" ht="16">
      <c r="A2551" s="1" t="s">
        <v>1939</v>
      </c>
      <c r="B2551" s="1" t="s">
        <v>2533</v>
      </c>
      <c r="C2551" s="1" t="s">
        <v>332</v>
      </c>
      <c r="D2551" s="1" t="s">
        <v>229</v>
      </c>
      <c r="E2551" s="1"/>
    </row>
    <row r="2552" spans="1:5" ht="16">
      <c r="A2552" s="1" t="s">
        <v>1939</v>
      </c>
      <c r="B2552" s="1" t="s">
        <v>2534</v>
      </c>
      <c r="C2552" s="1" t="s">
        <v>332</v>
      </c>
      <c r="D2552" s="1" t="s">
        <v>229</v>
      </c>
      <c r="E2552" s="1"/>
    </row>
    <row r="2553" spans="1:5" ht="16">
      <c r="A2553" s="1" t="s">
        <v>1939</v>
      </c>
      <c r="B2553" s="1" t="s">
        <v>2535</v>
      </c>
      <c r="C2553" s="1" t="s">
        <v>332</v>
      </c>
      <c r="D2553" s="1" t="s">
        <v>229</v>
      </c>
      <c r="E2553" s="1"/>
    </row>
    <row r="2554" spans="1:5" ht="16">
      <c r="A2554" s="1" t="s">
        <v>1939</v>
      </c>
      <c r="B2554" s="1" t="s">
        <v>2536</v>
      </c>
      <c r="C2554" s="1" t="s">
        <v>332</v>
      </c>
      <c r="D2554" s="1" t="s">
        <v>229</v>
      </c>
      <c r="E2554" s="1"/>
    </row>
    <row r="2555" spans="1:5" ht="16">
      <c r="A2555" s="1" t="s">
        <v>1939</v>
      </c>
      <c r="B2555" s="1" t="s">
        <v>2537</v>
      </c>
      <c r="C2555" s="1" t="s">
        <v>332</v>
      </c>
      <c r="D2555" s="1" t="s">
        <v>229</v>
      </c>
      <c r="E2555" s="1"/>
    </row>
    <row r="2556" spans="1:5" ht="16">
      <c r="A2556" s="1" t="s">
        <v>1939</v>
      </c>
      <c r="B2556" s="1" t="s">
        <v>2538</v>
      </c>
      <c r="C2556" s="1" t="s">
        <v>332</v>
      </c>
      <c r="D2556" s="1" t="s">
        <v>229</v>
      </c>
      <c r="E2556" s="1"/>
    </row>
    <row r="2557" spans="1:5" ht="16">
      <c r="A2557" s="1" t="s">
        <v>1939</v>
      </c>
      <c r="B2557" s="1" t="s">
        <v>2539</v>
      </c>
      <c r="C2557" s="1" t="s">
        <v>332</v>
      </c>
      <c r="D2557" s="1" t="s">
        <v>229</v>
      </c>
      <c r="E2557" s="1"/>
    </row>
    <row r="2558" spans="1:5" ht="16">
      <c r="A2558" s="1" t="s">
        <v>1939</v>
      </c>
      <c r="B2558" s="1" t="s">
        <v>2540</v>
      </c>
      <c r="C2558" s="1" t="s">
        <v>332</v>
      </c>
      <c r="D2558" s="1" t="s">
        <v>229</v>
      </c>
      <c r="E2558" s="1"/>
    </row>
    <row r="2559" spans="1:5" ht="16">
      <c r="A2559" s="1" t="s">
        <v>1939</v>
      </c>
      <c r="B2559" s="1" t="s">
        <v>2541</v>
      </c>
      <c r="C2559" s="1" t="s">
        <v>332</v>
      </c>
      <c r="D2559" s="1" t="s">
        <v>229</v>
      </c>
      <c r="E2559" s="1"/>
    </row>
    <row r="2560" spans="1:5" ht="16">
      <c r="A2560" s="1" t="s">
        <v>1939</v>
      </c>
      <c r="B2560" s="1" t="s">
        <v>2542</v>
      </c>
      <c r="C2560" s="1" t="s">
        <v>332</v>
      </c>
      <c r="D2560" s="1" t="s">
        <v>229</v>
      </c>
      <c r="E2560" s="1"/>
    </row>
    <row r="2561" spans="1:5" ht="16">
      <c r="A2561" s="1" t="s">
        <v>1939</v>
      </c>
      <c r="B2561" s="1" t="s">
        <v>2543</v>
      </c>
      <c r="C2561" s="1" t="s">
        <v>332</v>
      </c>
      <c r="D2561" s="1" t="s">
        <v>229</v>
      </c>
      <c r="E2561" s="1"/>
    </row>
    <row r="2562" spans="1:5" ht="16">
      <c r="A2562" s="1" t="s">
        <v>1939</v>
      </c>
      <c r="B2562" s="1" t="s">
        <v>2544</v>
      </c>
      <c r="C2562" s="1" t="s">
        <v>332</v>
      </c>
      <c r="D2562" s="1" t="s">
        <v>229</v>
      </c>
      <c r="E2562" s="1"/>
    </row>
    <row r="2563" spans="1:5" ht="16">
      <c r="A2563" s="1" t="s">
        <v>1939</v>
      </c>
      <c r="B2563" s="1" t="s">
        <v>2545</v>
      </c>
      <c r="C2563" s="1" t="s">
        <v>332</v>
      </c>
      <c r="D2563" s="1" t="s">
        <v>229</v>
      </c>
      <c r="E2563" s="1"/>
    </row>
    <row r="2564" spans="1:5" ht="16">
      <c r="A2564" s="1" t="s">
        <v>1939</v>
      </c>
      <c r="B2564" s="1" t="s">
        <v>2546</v>
      </c>
      <c r="C2564" s="1" t="s">
        <v>332</v>
      </c>
      <c r="D2564" s="1" t="s">
        <v>229</v>
      </c>
      <c r="E2564" s="1"/>
    </row>
    <row r="2565" spans="1:5" ht="16">
      <c r="A2565" s="1" t="s">
        <v>1939</v>
      </c>
      <c r="B2565" s="1" t="s">
        <v>2547</v>
      </c>
      <c r="C2565" s="1" t="s">
        <v>332</v>
      </c>
      <c r="D2565" s="1" t="s">
        <v>229</v>
      </c>
      <c r="E2565" s="1"/>
    </row>
    <row r="2566" spans="1:5" ht="16">
      <c r="A2566" s="1" t="s">
        <v>1939</v>
      </c>
      <c r="B2566" s="1" t="s">
        <v>2548</v>
      </c>
      <c r="C2566" s="1" t="s">
        <v>332</v>
      </c>
      <c r="D2566" s="1" t="s">
        <v>229</v>
      </c>
      <c r="E2566" s="1"/>
    </row>
    <row r="2567" spans="1:5" ht="16">
      <c r="A2567" s="1" t="s">
        <v>1939</v>
      </c>
      <c r="B2567" s="1" t="s">
        <v>2549</v>
      </c>
      <c r="C2567" s="1" t="s">
        <v>332</v>
      </c>
      <c r="D2567" s="1" t="s">
        <v>229</v>
      </c>
      <c r="E2567" s="1"/>
    </row>
    <row r="2568" spans="1:5" ht="16">
      <c r="A2568" s="1" t="s">
        <v>1939</v>
      </c>
      <c r="B2568" s="1" t="s">
        <v>2550</v>
      </c>
      <c r="C2568" s="1" t="s">
        <v>332</v>
      </c>
      <c r="D2568" s="1" t="s">
        <v>229</v>
      </c>
      <c r="E2568" s="1"/>
    </row>
    <row r="2569" spans="1:5" ht="16">
      <c r="A2569" s="1" t="s">
        <v>1939</v>
      </c>
      <c r="B2569" s="1" t="s">
        <v>2551</v>
      </c>
      <c r="C2569" s="1" t="s">
        <v>332</v>
      </c>
      <c r="D2569" s="1" t="s">
        <v>229</v>
      </c>
      <c r="E2569" s="1"/>
    </row>
    <row r="2570" spans="1:5" ht="16">
      <c r="A2570" s="1" t="s">
        <v>1939</v>
      </c>
      <c r="B2570" s="1" t="s">
        <v>2552</v>
      </c>
      <c r="C2570" s="1" t="s">
        <v>332</v>
      </c>
      <c r="D2570" s="1" t="s">
        <v>229</v>
      </c>
      <c r="E2570" s="1"/>
    </row>
    <row r="2571" spans="1:5" ht="16">
      <c r="A2571" s="1" t="s">
        <v>1939</v>
      </c>
      <c r="B2571" s="1" t="s">
        <v>2553</v>
      </c>
      <c r="C2571" s="1" t="s">
        <v>332</v>
      </c>
      <c r="D2571" s="1" t="s">
        <v>229</v>
      </c>
      <c r="E2571" s="1"/>
    </row>
    <row r="2572" spans="1:5" ht="16">
      <c r="A2572" s="1" t="s">
        <v>1939</v>
      </c>
      <c r="B2572" s="1" t="s">
        <v>2554</v>
      </c>
      <c r="C2572" s="1" t="s">
        <v>332</v>
      </c>
      <c r="D2572" s="1" t="s">
        <v>229</v>
      </c>
      <c r="E2572" s="1"/>
    </row>
    <row r="2573" spans="1:5" ht="16">
      <c r="A2573" s="1" t="s">
        <v>1939</v>
      </c>
      <c r="B2573" s="1" t="s">
        <v>2555</v>
      </c>
      <c r="C2573" s="1" t="s">
        <v>332</v>
      </c>
      <c r="D2573" s="1" t="s">
        <v>229</v>
      </c>
      <c r="E2573" s="1"/>
    </row>
    <row r="2574" spans="1:5" ht="16">
      <c r="A2574" s="1" t="s">
        <v>1939</v>
      </c>
      <c r="B2574" s="1" t="s">
        <v>2556</v>
      </c>
      <c r="C2574" s="1" t="s">
        <v>332</v>
      </c>
      <c r="D2574" s="1" t="s">
        <v>229</v>
      </c>
      <c r="E2574" s="1"/>
    </row>
    <row r="2575" spans="1:5" ht="16">
      <c r="A2575" s="1" t="s">
        <v>1939</v>
      </c>
      <c r="B2575" s="1" t="s">
        <v>2557</v>
      </c>
      <c r="C2575" s="1" t="s">
        <v>332</v>
      </c>
      <c r="D2575" s="1" t="s">
        <v>229</v>
      </c>
      <c r="E2575" s="1"/>
    </row>
    <row r="2576" spans="1:5" ht="16">
      <c r="A2576" s="1" t="s">
        <v>1939</v>
      </c>
      <c r="B2576" s="1" t="s">
        <v>2558</v>
      </c>
      <c r="C2576" s="1" t="s">
        <v>332</v>
      </c>
      <c r="D2576" s="1" t="s">
        <v>229</v>
      </c>
      <c r="E2576" s="1"/>
    </row>
    <row r="2577" spans="1:5" ht="16">
      <c r="A2577" s="1" t="s">
        <v>1939</v>
      </c>
      <c r="B2577" s="1" t="s">
        <v>2559</v>
      </c>
      <c r="C2577" s="1" t="s">
        <v>332</v>
      </c>
      <c r="D2577" s="1" t="s">
        <v>229</v>
      </c>
      <c r="E2577" s="1"/>
    </row>
    <row r="2578" spans="1:5" ht="16">
      <c r="A2578" s="1" t="s">
        <v>1939</v>
      </c>
      <c r="B2578" s="1" t="s">
        <v>2560</v>
      </c>
      <c r="C2578" s="1" t="s">
        <v>332</v>
      </c>
      <c r="D2578" s="1" t="s">
        <v>229</v>
      </c>
      <c r="E2578" s="1"/>
    </row>
    <row r="2579" spans="1:5" ht="16">
      <c r="A2579" s="1" t="s">
        <v>1939</v>
      </c>
      <c r="B2579" s="1" t="s">
        <v>2561</v>
      </c>
      <c r="C2579" s="1" t="s">
        <v>332</v>
      </c>
      <c r="D2579" s="1" t="s">
        <v>229</v>
      </c>
      <c r="E2579" s="1"/>
    </row>
    <row r="2580" spans="1:5" ht="16">
      <c r="A2580" s="1" t="s">
        <v>1939</v>
      </c>
      <c r="B2580" s="1" t="s">
        <v>2562</v>
      </c>
      <c r="C2580" s="1" t="s">
        <v>332</v>
      </c>
      <c r="D2580" s="1" t="s">
        <v>229</v>
      </c>
      <c r="E2580" s="1"/>
    </row>
    <row r="2581" spans="1:5" ht="16">
      <c r="A2581" s="1" t="s">
        <v>1939</v>
      </c>
      <c r="B2581" s="1" t="s">
        <v>2563</v>
      </c>
      <c r="C2581" s="1" t="s">
        <v>332</v>
      </c>
      <c r="D2581" s="1" t="s">
        <v>229</v>
      </c>
      <c r="E2581" s="1"/>
    </row>
    <row r="2582" spans="1:5" ht="16">
      <c r="A2582" s="1" t="s">
        <v>1939</v>
      </c>
      <c r="B2582" s="1" t="s">
        <v>2564</v>
      </c>
      <c r="C2582" s="1" t="s">
        <v>332</v>
      </c>
      <c r="D2582" s="1" t="s">
        <v>229</v>
      </c>
      <c r="E2582" s="1"/>
    </row>
    <row r="2583" spans="1:5" ht="16">
      <c r="A2583" s="1" t="s">
        <v>1939</v>
      </c>
      <c r="B2583" s="1" t="s">
        <v>2565</v>
      </c>
      <c r="C2583" s="1" t="s">
        <v>332</v>
      </c>
      <c r="D2583" s="1" t="s">
        <v>229</v>
      </c>
      <c r="E2583" s="1"/>
    </row>
    <row r="2584" spans="1:5" ht="16">
      <c r="A2584" s="1" t="s">
        <v>1939</v>
      </c>
      <c r="B2584" s="1" t="s">
        <v>2566</v>
      </c>
      <c r="C2584" s="1" t="s">
        <v>332</v>
      </c>
      <c r="D2584" s="1" t="s">
        <v>229</v>
      </c>
      <c r="E2584" s="1"/>
    </row>
    <row r="2585" spans="1:5" ht="16">
      <c r="A2585" s="1" t="s">
        <v>1939</v>
      </c>
      <c r="B2585" s="1" t="s">
        <v>2567</v>
      </c>
      <c r="C2585" s="1" t="s">
        <v>332</v>
      </c>
      <c r="D2585" s="1" t="s">
        <v>229</v>
      </c>
      <c r="E2585" s="1"/>
    </row>
    <row r="2586" spans="1:5" ht="16">
      <c r="A2586" s="1" t="s">
        <v>1939</v>
      </c>
      <c r="B2586" s="1" t="s">
        <v>2568</v>
      </c>
      <c r="C2586" s="1" t="s">
        <v>332</v>
      </c>
      <c r="D2586" s="1" t="s">
        <v>229</v>
      </c>
      <c r="E2586" s="1"/>
    </row>
    <row r="2587" spans="1:5" ht="16">
      <c r="A2587" s="1" t="s">
        <v>1939</v>
      </c>
      <c r="B2587" s="1" t="s">
        <v>2569</v>
      </c>
      <c r="C2587" s="1" t="s">
        <v>334</v>
      </c>
      <c r="D2587" s="1" t="s">
        <v>229</v>
      </c>
      <c r="E2587" s="1"/>
    </row>
    <row r="2588" spans="1:5" ht="16">
      <c r="A2588" s="1" t="s">
        <v>1939</v>
      </c>
      <c r="B2588" s="1" t="s">
        <v>2570</v>
      </c>
      <c r="C2588" s="1" t="s">
        <v>334</v>
      </c>
      <c r="D2588" s="1" t="s">
        <v>229</v>
      </c>
      <c r="E2588" s="1"/>
    </row>
    <row r="2589" spans="1:5" ht="16">
      <c r="A2589" s="1" t="s">
        <v>1939</v>
      </c>
      <c r="B2589" s="1" t="s">
        <v>2571</v>
      </c>
      <c r="C2589" s="1" t="s">
        <v>334</v>
      </c>
      <c r="D2589" s="1" t="s">
        <v>229</v>
      </c>
      <c r="E2589" s="1"/>
    </row>
    <row r="2590" spans="1:5" ht="16">
      <c r="A2590" s="1" t="s">
        <v>1939</v>
      </c>
      <c r="B2590" s="1" t="s">
        <v>2572</v>
      </c>
      <c r="C2590" s="1" t="s">
        <v>332</v>
      </c>
      <c r="D2590" s="1" t="s">
        <v>229</v>
      </c>
      <c r="E2590" s="1"/>
    </row>
    <row r="2591" spans="1:5" ht="16">
      <c r="A2591" s="1" t="s">
        <v>1939</v>
      </c>
      <c r="B2591" s="1" t="s">
        <v>2573</v>
      </c>
      <c r="C2591" s="1" t="s">
        <v>332</v>
      </c>
      <c r="D2591" s="1" t="s">
        <v>229</v>
      </c>
      <c r="E2591" s="1"/>
    </row>
    <row r="2592" spans="1:5" ht="16">
      <c r="A2592" s="1" t="s">
        <v>1939</v>
      </c>
      <c r="B2592" s="1" t="s">
        <v>2574</v>
      </c>
      <c r="C2592" s="1" t="s">
        <v>332</v>
      </c>
      <c r="D2592" s="1" t="s">
        <v>229</v>
      </c>
      <c r="E2592" s="1"/>
    </row>
    <row r="2593" spans="1:5" ht="16">
      <c r="A2593" s="1" t="s">
        <v>1939</v>
      </c>
      <c r="B2593" s="1" t="s">
        <v>2575</v>
      </c>
      <c r="C2593" s="1" t="s">
        <v>332</v>
      </c>
      <c r="D2593" s="1" t="s">
        <v>229</v>
      </c>
      <c r="E2593" s="1"/>
    </row>
    <row r="2594" spans="1:5" ht="16">
      <c r="A2594" s="1" t="s">
        <v>1939</v>
      </c>
      <c r="B2594" s="1" t="s">
        <v>2576</v>
      </c>
      <c r="C2594" s="1" t="s">
        <v>332</v>
      </c>
      <c r="D2594" s="1" t="s">
        <v>229</v>
      </c>
      <c r="E2594" s="1"/>
    </row>
    <row r="2595" spans="1:5" ht="16">
      <c r="A2595" s="1" t="s">
        <v>1939</v>
      </c>
      <c r="B2595" s="1" t="s">
        <v>2577</v>
      </c>
      <c r="C2595" s="1" t="s">
        <v>332</v>
      </c>
      <c r="D2595" s="1" t="s">
        <v>229</v>
      </c>
      <c r="E2595" s="1"/>
    </row>
    <row r="2596" spans="1:5" ht="16">
      <c r="A2596" s="1" t="s">
        <v>1939</v>
      </c>
      <c r="B2596" s="1" t="s">
        <v>2578</v>
      </c>
      <c r="C2596" s="1" t="s">
        <v>332</v>
      </c>
      <c r="D2596" s="1" t="s">
        <v>229</v>
      </c>
      <c r="E2596" s="1"/>
    </row>
    <row r="2597" spans="1:5" ht="16">
      <c r="A2597" s="1" t="s">
        <v>1939</v>
      </c>
      <c r="B2597" s="1" t="s">
        <v>2579</v>
      </c>
      <c r="C2597" s="1" t="s">
        <v>332</v>
      </c>
      <c r="D2597" s="1" t="s">
        <v>229</v>
      </c>
      <c r="E2597" s="1"/>
    </row>
    <row r="2598" spans="1:5" ht="16">
      <c r="A2598" s="1" t="s">
        <v>1939</v>
      </c>
      <c r="B2598" s="1" t="s">
        <v>2580</v>
      </c>
      <c r="C2598" s="1" t="s">
        <v>332</v>
      </c>
      <c r="D2598" s="1" t="s">
        <v>229</v>
      </c>
      <c r="E2598" s="1"/>
    </row>
    <row r="2599" spans="1:5" ht="16">
      <c r="A2599" s="1" t="s">
        <v>1939</v>
      </c>
      <c r="B2599" s="1" t="s">
        <v>2560</v>
      </c>
      <c r="C2599" s="1" t="s">
        <v>332</v>
      </c>
      <c r="D2599" s="1" t="s">
        <v>229</v>
      </c>
      <c r="E2599" s="1"/>
    </row>
    <row r="2600" spans="1:5" ht="16">
      <c r="A2600" s="1" t="s">
        <v>1939</v>
      </c>
      <c r="B2600" s="1" t="s">
        <v>2564</v>
      </c>
      <c r="C2600" s="1" t="s">
        <v>332</v>
      </c>
      <c r="D2600" s="1" t="s">
        <v>229</v>
      </c>
      <c r="E2600" s="1"/>
    </row>
    <row r="2601" spans="1:5" ht="16">
      <c r="A2601" s="1" t="s">
        <v>1939</v>
      </c>
      <c r="B2601" s="1" t="s">
        <v>2565</v>
      </c>
      <c r="C2601" s="1" t="s">
        <v>332</v>
      </c>
      <c r="D2601" s="1" t="s">
        <v>229</v>
      </c>
      <c r="E2601" s="1"/>
    </row>
    <row r="2602" spans="1:5" ht="16">
      <c r="A2602" s="1" t="s">
        <v>1939</v>
      </c>
      <c r="B2602" s="1" t="s">
        <v>2581</v>
      </c>
      <c r="C2602" s="1" t="s">
        <v>332</v>
      </c>
      <c r="D2602" s="1" t="s">
        <v>229</v>
      </c>
      <c r="E2602" s="1"/>
    </row>
    <row r="2603" spans="1:5" ht="16">
      <c r="A2603" s="1" t="s">
        <v>1939</v>
      </c>
      <c r="B2603" s="1" t="s">
        <v>2582</v>
      </c>
      <c r="C2603" s="1" t="s">
        <v>332</v>
      </c>
      <c r="D2603" s="1" t="s">
        <v>229</v>
      </c>
      <c r="E2603" s="1"/>
    </row>
    <row r="2604" spans="1:5" ht="16">
      <c r="A2604" s="1" t="s">
        <v>1939</v>
      </c>
      <c r="B2604" s="1" t="s">
        <v>2583</v>
      </c>
      <c r="C2604" s="1" t="s">
        <v>332</v>
      </c>
      <c r="D2604" s="1" t="s">
        <v>229</v>
      </c>
      <c r="E2604" s="1"/>
    </row>
    <row r="2605" spans="1:5" ht="16">
      <c r="A2605" s="1" t="s">
        <v>1939</v>
      </c>
      <c r="B2605" s="1" t="s">
        <v>2584</v>
      </c>
      <c r="C2605" s="1" t="s">
        <v>332</v>
      </c>
      <c r="D2605" s="1" t="s">
        <v>229</v>
      </c>
      <c r="E2605" s="1"/>
    </row>
    <row r="2606" spans="1:5" ht="16">
      <c r="A2606" s="1" t="s">
        <v>1939</v>
      </c>
      <c r="B2606" s="1" t="s">
        <v>2585</v>
      </c>
      <c r="C2606" s="1" t="s">
        <v>332</v>
      </c>
      <c r="D2606" s="1" t="s">
        <v>229</v>
      </c>
      <c r="E2606" s="1"/>
    </row>
    <row r="2607" spans="1:5" ht="16">
      <c r="A2607" s="1" t="s">
        <v>1939</v>
      </c>
      <c r="B2607" s="1" t="s">
        <v>2586</v>
      </c>
      <c r="C2607" s="1" t="s">
        <v>332</v>
      </c>
      <c r="D2607" s="1" t="s">
        <v>229</v>
      </c>
      <c r="E2607" s="1"/>
    </row>
    <row r="2608" spans="1:5" ht="16">
      <c r="A2608" s="1" t="s">
        <v>1939</v>
      </c>
      <c r="B2608" s="1" t="s">
        <v>2523</v>
      </c>
      <c r="C2608" s="1" t="s">
        <v>332</v>
      </c>
      <c r="D2608" s="1" t="s">
        <v>229</v>
      </c>
      <c r="E2608" s="1"/>
    </row>
    <row r="2609" spans="1:5" ht="16">
      <c r="A2609" s="1" t="s">
        <v>1939</v>
      </c>
      <c r="B2609" s="1" t="s">
        <v>2587</v>
      </c>
      <c r="C2609" s="1" t="s">
        <v>332</v>
      </c>
      <c r="D2609" s="1" t="s">
        <v>229</v>
      </c>
      <c r="E2609" s="1"/>
    </row>
    <row r="2610" spans="1:5" ht="16">
      <c r="A2610" s="1" t="s">
        <v>1939</v>
      </c>
      <c r="B2610" s="1" t="s">
        <v>2521</v>
      </c>
      <c r="C2610" s="1" t="s">
        <v>332</v>
      </c>
      <c r="D2610" s="1" t="s">
        <v>229</v>
      </c>
      <c r="E2610" s="1"/>
    </row>
    <row r="2611" spans="1:5" ht="16">
      <c r="A2611" s="1" t="s">
        <v>1939</v>
      </c>
      <c r="B2611" s="1" t="s">
        <v>2522</v>
      </c>
      <c r="C2611" s="1" t="s">
        <v>332</v>
      </c>
      <c r="D2611" s="1" t="s">
        <v>229</v>
      </c>
      <c r="E2611" s="1"/>
    </row>
    <row r="2612" spans="1:5" ht="16">
      <c r="A2612" s="1" t="s">
        <v>1939</v>
      </c>
      <c r="B2612" s="1" t="s">
        <v>2538</v>
      </c>
      <c r="C2612" s="1" t="s">
        <v>332</v>
      </c>
      <c r="D2612" s="1" t="s">
        <v>229</v>
      </c>
      <c r="E2612" s="1"/>
    </row>
    <row r="2613" spans="1:5" ht="16">
      <c r="A2613" s="1" t="s">
        <v>1939</v>
      </c>
      <c r="B2613" s="1" t="s">
        <v>2539</v>
      </c>
      <c r="C2613" s="1" t="s">
        <v>332</v>
      </c>
      <c r="D2613" s="1" t="s">
        <v>229</v>
      </c>
      <c r="E2613" s="1"/>
    </row>
    <row r="2614" spans="1:5" ht="16">
      <c r="A2614" s="1" t="s">
        <v>1939</v>
      </c>
      <c r="B2614" s="1" t="s">
        <v>2540</v>
      </c>
      <c r="C2614" s="1" t="s">
        <v>332</v>
      </c>
      <c r="D2614" s="1" t="s">
        <v>229</v>
      </c>
      <c r="E2614" s="1"/>
    </row>
    <row r="2615" spans="1:5" ht="16">
      <c r="A2615" s="1" t="s">
        <v>1939</v>
      </c>
      <c r="B2615" s="1" t="s">
        <v>2588</v>
      </c>
      <c r="C2615" s="1" t="s">
        <v>332</v>
      </c>
      <c r="D2615" s="1" t="s">
        <v>229</v>
      </c>
      <c r="E2615" s="1"/>
    </row>
    <row r="2616" spans="1:5" ht="16">
      <c r="A2616" s="1" t="s">
        <v>1939</v>
      </c>
      <c r="B2616" s="1" t="s">
        <v>2589</v>
      </c>
      <c r="C2616" s="1" t="s">
        <v>332</v>
      </c>
      <c r="D2616" s="1" t="s">
        <v>229</v>
      </c>
      <c r="E2616" s="1"/>
    </row>
    <row r="2617" spans="1:5" ht="16">
      <c r="A2617" s="1" t="s">
        <v>1939</v>
      </c>
      <c r="B2617" s="1" t="s">
        <v>2525</v>
      </c>
      <c r="C2617" s="1" t="s">
        <v>332</v>
      </c>
      <c r="D2617" s="1" t="s">
        <v>229</v>
      </c>
      <c r="E2617" s="1"/>
    </row>
    <row r="2618" spans="1:5" ht="16">
      <c r="A2618" s="1" t="s">
        <v>1939</v>
      </c>
      <c r="B2618" s="1" t="s">
        <v>2526</v>
      </c>
      <c r="C2618" s="1" t="s">
        <v>332</v>
      </c>
      <c r="D2618" s="1" t="s">
        <v>229</v>
      </c>
      <c r="E2618" s="1"/>
    </row>
    <row r="2619" spans="1:5" ht="16">
      <c r="A2619" s="1" t="s">
        <v>1939</v>
      </c>
      <c r="B2619" s="1" t="s">
        <v>2590</v>
      </c>
      <c r="C2619" s="1" t="s">
        <v>332</v>
      </c>
      <c r="D2619" s="1" t="s">
        <v>229</v>
      </c>
      <c r="E2619" s="1"/>
    </row>
    <row r="2620" spans="1:5" ht="16">
      <c r="A2620" s="1" t="s">
        <v>1939</v>
      </c>
      <c r="B2620" s="1" t="s">
        <v>2591</v>
      </c>
      <c r="C2620" s="1" t="s">
        <v>332</v>
      </c>
      <c r="D2620" s="1" t="s">
        <v>229</v>
      </c>
      <c r="E2620" s="1"/>
    </row>
    <row r="2621" spans="1:5" ht="16">
      <c r="A2621" s="1" t="s">
        <v>1939</v>
      </c>
      <c r="B2621" s="1" t="s">
        <v>2592</v>
      </c>
      <c r="C2621" s="1" t="s">
        <v>332</v>
      </c>
      <c r="D2621" s="1" t="s">
        <v>229</v>
      </c>
      <c r="E2621" s="1"/>
    </row>
    <row r="2622" spans="1:5" ht="16">
      <c r="A2622" s="1" t="s">
        <v>1939</v>
      </c>
      <c r="B2622" s="1" t="s">
        <v>2551</v>
      </c>
      <c r="C2622" s="1" t="s">
        <v>332</v>
      </c>
      <c r="D2622" s="1" t="s">
        <v>229</v>
      </c>
      <c r="E2622" s="1"/>
    </row>
    <row r="2623" spans="1:5" ht="16">
      <c r="A2623" s="1" t="s">
        <v>1939</v>
      </c>
      <c r="B2623" s="1" t="s">
        <v>2552</v>
      </c>
      <c r="C2623" s="1" t="s">
        <v>332</v>
      </c>
      <c r="D2623" s="1" t="s">
        <v>229</v>
      </c>
      <c r="E2623" s="1"/>
    </row>
    <row r="2624" spans="1:5" ht="16">
      <c r="A2624" s="1" t="s">
        <v>1939</v>
      </c>
      <c r="B2624" s="1" t="s">
        <v>2593</v>
      </c>
      <c r="C2624" s="1" t="s">
        <v>332</v>
      </c>
      <c r="D2624" s="1" t="s">
        <v>229</v>
      </c>
      <c r="E2624" s="1"/>
    </row>
    <row r="2625" spans="1:5" ht="16">
      <c r="A2625" s="1" t="s">
        <v>1939</v>
      </c>
      <c r="B2625" s="1" t="s">
        <v>2594</v>
      </c>
      <c r="C2625" s="1" t="s">
        <v>332</v>
      </c>
      <c r="D2625" s="1" t="s">
        <v>229</v>
      </c>
      <c r="E2625" s="1"/>
    </row>
    <row r="2626" spans="1:5" ht="16">
      <c r="A2626" s="1" t="s">
        <v>1939</v>
      </c>
      <c r="B2626" s="1" t="s">
        <v>2595</v>
      </c>
      <c r="C2626" s="1" t="s">
        <v>332</v>
      </c>
      <c r="D2626" s="1" t="s">
        <v>229</v>
      </c>
      <c r="E2626" s="1"/>
    </row>
    <row r="2627" spans="1:5" ht="16">
      <c r="A2627" s="1" t="s">
        <v>1939</v>
      </c>
      <c r="B2627" s="1" t="s">
        <v>2529</v>
      </c>
      <c r="C2627" s="1" t="s">
        <v>332</v>
      </c>
      <c r="D2627" s="1" t="s">
        <v>229</v>
      </c>
      <c r="E2627" s="1"/>
    </row>
    <row r="2628" spans="1:5" ht="16">
      <c r="A2628" s="1" t="s">
        <v>1939</v>
      </c>
      <c r="B2628" s="1" t="s">
        <v>2530</v>
      </c>
      <c r="C2628" s="1" t="s">
        <v>332</v>
      </c>
      <c r="D2628" s="1" t="s">
        <v>229</v>
      </c>
      <c r="E2628" s="1"/>
    </row>
    <row r="2629" spans="1:5" ht="16">
      <c r="A2629" s="1" t="s">
        <v>1939</v>
      </c>
      <c r="B2629" s="1" t="s">
        <v>2531</v>
      </c>
      <c r="C2629" s="1" t="s">
        <v>332</v>
      </c>
      <c r="D2629" s="1" t="s">
        <v>229</v>
      </c>
      <c r="E2629" s="1"/>
    </row>
    <row r="2630" spans="1:5" ht="16">
      <c r="A2630" s="1" t="s">
        <v>1939</v>
      </c>
      <c r="B2630" s="1" t="s">
        <v>2596</v>
      </c>
      <c r="C2630" s="1" t="s">
        <v>332</v>
      </c>
      <c r="D2630" s="1" t="s">
        <v>229</v>
      </c>
      <c r="E2630" s="1"/>
    </row>
    <row r="2631" spans="1:5" ht="16">
      <c r="A2631" s="1" t="s">
        <v>1939</v>
      </c>
      <c r="B2631" s="1" t="s">
        <v>2597</v>
      </c>
      <c r="C2631" s="1" t="s">
        <v>332</v>
      </c>
      <c r="D2631" s="1" t="s">
        <v>229</v>
      </c>
      <c r="E2631" s="1"/>
    </row>
    <row r="2632" spans="1:5" ht="16">
      <c r="A2632" s="1" t="s">
        <v>1939</v>
      </c>
      <c r="B2632" s="1" t="s">
        <v>2598</v>
      </c>
      <c r="C2632" s="1" t="s">
        <v>332</v>
      </c>
      <c r="D2632" s="1" t="s">
        <v>229</v>
      </c>
      <c r="E2632" s="1"/>
    </row>
    <row r="2633" spans="1:5" ht="16">
      <c r="A2633" s="1" t="s">
        <v>1939</v>
      </c>
      <c r="B2633" s="1" t="s">
        <v>2557</v>
      </c>
      <c r="C2633" s="1" t="s">
        <v>332</v>
      </c>
      <c r="D2633" s="1" t="s">
        <v>229</v>
      </c>
      <c r="E2633" s="1"/>
    </row>
    <row r="2634" spans="1:5" ht="16">
      <c r="A2634" s="1" t="s">
        <v>1939</v>
      </c>
      <c r="B2634" s="1" t="s">
        <v>2599</v>
      </c>
      <c r="C2634" s="1" t="s">
        <v>332</v>
      </c>
      <c r="D2634" s="1" t="s">
        <v>229</v>
      </c>
      <c r="E2634" s="1"/>
    </row>
    <row r="2635" spans="1:5" ht="16">
      <c r="A2635" s="1" t="s">
        <v>1939</v>
      </c>
      <c r="B2635" s="1" t="s">
        <v>2600</v>
      </c>
      <c r="C2635" s="1" t="s">
        <v>332</v>
      </c>
      <c r="D2635" s="1" t="s">
        <v>229</v>
      </c>
      <c r="E2635" s="1"/>
    </row>
    <row r="2636" spans="1:5" ht="16">
      <c r="A2636" s="1" t="s">
        <v>1939</v>
      </c>
      <c r="B2636" s="1" t="s">
        <v>2558</v>
      </c>
      <c r="C2636" s="1" t="s">
        <v>332</v>
      </c>
      <c r="D2636" s="1" t="s">
        <v>229</v>
      </c>
      <c r="E2636" s="1"/>
    </row>
    <row r="2637" spans="1:5" ht="16">
      <c r="A2637" s="1" t="s">
        <v>1939</v>
      </c>
      <c r="B2637" s="1" t="s">
        <v>2559</v>
      </c>
      <c r="C2637" s="1" t="s">
        <v>332</v>
      </c>
      <c r="D2637" s="1" t="s">
        <v>229</v>
      </c>
      <c r="E2637" s="1"/>
    </row>
    <row r="2638" spans="1:5" ht="16">
      <c r="A2638" s="1" t="s">
        <v>1939</v>
      </c>
      <c r="B2638" s="1" t="s">
        <v>2562</v>
      </c>
      <c r="C2638" s="1" t="s">
        <v>332</v>
      </c>
      <c r="D2638" s="1" t="s">
        <v>229</v>
      </c>
      <c r="E2638" s="1"/>
    </row>
    <row r="2639" spans="1:5" ht="16">
      <c r="A2639" s="1" t="s">
        <v>1939</v>
      </c>
      <c r="B2639" s="1" t="s">
        <v>2563</v>
      </c>
      <c r="C2639" s="1" t="s">
        <v>332</v>
      </c>
      <c r="D2639" s="1" t="s">
        <v>229</v>
      </c>
      <c r="E2639" s="1"/>
    </row>
    <row r="2640" spans="1:5" ht="16">
      <c r="A2640" s="1" t="s">
        <v>1939</v>
      </c>
      <c r="B2640" s="1" t="s">
        <v>2601</v>
      </c>
      <c r="C2640" s="1" t="s">
        <v>332</v>
      </c>
      <c r="D2640" s="1" t="s">
        <v>229</v>
      </c>
      <c r="E2640" s="1"/>
    </row>
    <row r="2641" spans="1:5" ht="16">
      <c r="A2641" s="1" t="s">
        <v>1939</v>
      </c>
      <c r="B2641" s="1" t="s">
        <v>2602</v>
      </c>
      <c r="C2641" s="1" t="s">
        <v>332</v>
      </c>
      <c r="D2641" s="1" t="s">
        <v>229</v>
      </c>
      <c r="E2641" s="1"/>
    </row>
    <row r="2642" spans="1:5" ht="16">
      <c r="A2642" s="1" t="s">
        <v>1939</v>
      </c>
      <c r="B2642" s="1" t="s">
        <v>2555</v>
      </c>
      <c r="C2642" s="1" t="s">
        <v>332</v>
      </c>
      <c r="D2642" s="1" t="s">
        <v>229</v>
      </c>
      <c r="E2642" s="1"/>
    </row>
    <row r="2643" spans="1:5" ht="16">
      <c r="A2643" s="1" t="s">
        <v>1939</v>
      </c>
      <c r="B2643" s="1" t="s">
        <v>2556</v>
      </c>
      <c r="C2643" s="1" t="s">
        <v>332</v>
      </c>
      <c r="D2643" s="1" t="s">
        <v>229</v>
      </c>
      <c r="E2643" s="1"/>
    </row>
    <row r="2644" spans="1:5" ht="16">
      <c r="A2644" s="1" t="s">
        <v>1939</v>
      </c>
      <c r="B2644" s="1" t="s">
        <v>2545</v>
      </c>
      <c r="C2644" s="1" t="s">
        <v>332</v>
      </c>
      <c r="D2644" s="1" t="s">
        <v>229</v>
      </c>
      <c r="E2644" s="1"/>
    </row>
    <row r="2645" spans="1:5" ht="16">
      <c r="A2645" s="1" t="s">
        <v>1939</v>
      </c>
      <c r="B2645" s="1" t="s">
        <v>2549</v>
      </c>
      <c r="C2645" s="1" t="s">
        <v>332</v>
      </c>
      <c r="D2645" s="1" t="s">
        <v>229</v>
      </c>
      <c r="E2645" s="1"/>
    </row>
    <row r="2646" spans="1:5" ht="16">
      <c r="A2646" s="1" t="s">
        <v>1939</v>
      </c>
      <c r="B2646" s="1" t="s">
        <v>2535</v>
      </c>
      <c r="C2646" s="1" t="s">
        <v>332</v>
      </c>
      <c r="D2646" s="1" t="s">
        <v>229</v>
      </c>
      <c r="E2646" s="1"/>
    </row>
    <row r="2647" spans="1:5" ht="16">
      <c r="A2647" s="1" t="s">
        <v>1939</v>
      </c>
      <c r="B2647" s="1" t="s">
        <v>2550</v>
      </c>
      <c r="C2647" s="1" t="s">
        <v>332</v>
      </c>
      <c r="D2647" s="1" t="s">
        <v>229</v>
      </c>
      <c r="E2647" s="1"/>
    </row>
    <row r="2648" spans="1:5" ht="16">
      <c r="A2648" s="1" t="s">
        <v>1939</v>
      </c>
      <c r="B2648" s="1" t="s">
        <v>2537</v>
      </c>
      <c r="C2648" s="1" t="s">
        <v>332</v>
      </c>
      <c r="D2648" s="1" t="s">
        <v>229</v>
      </c>
      <c r="E2648" s="1"/>
    </row>
    <row r="2649" spans="1:5" ht="16">
      <c r="A2649" s="1" t="s">
        <v>1939</v>
      </c>
      <c r="B2649" s="1" t="s">
        <v>2536</v>
      </c>
      <c r="C2649" s="1" t="s">
        <v>332</v>
      </c>
      <c r="D2649" s="1" t="s">
        <v>229</v>
      </c>
      <c r="E2649" s="1"/>
    </row>
    <row r="2650" spans="1:5" ht="16">
      <c r="A2650" s="1" t="s">
        <v>1939</v>
      </c>
      <c r="B2650" s="1" t="s">
        <v>2603</v>
      </c>
      <c r="C2650" s="1" t="s">
        <v>332</v>
      </c>
      <c r="D2650" s="1" t="s">
        <v>229</v>
      </c>
      <c r="E2650" s="1"/>
    </row>
    <row r="2651" spans="1:5" ht="16">
      <c r="A2651" s="1" t="s">
        <v>1939</v>
      </c>
      <c r="B2651" s="1" t="s">
        <v>2604</v>
      </c>
      <c r="C2651" s="1" t="s">
        <v>332</v>
      </c>
      <c r="D2651" s="1" t="s">
        <v>229</v>
      </c>
      <c r="E2651" s="1"/>
    </row>
    <row r="2652" spans="1:5" ht="16">
      <c r="A2652" s="1" t="s">
        <v>1939</v>
      </c>
      <c r="B2652" s="1" t="s">
        <v>2553</v>
      </c>
      <c r="C2652" s="1" t="s">
        <v>332</v>
      </c>
      <c r="D2652" s="1" t="s">
        <v>229</v>
      </c>
      <c r="E2652" s="1"/>
    </row>
    <row r="2653" spans="1:5" ht="16">
      <c r="A2653" s="1" t="s">
        <v>1939</v>
      </c>
      <c r="B2653" s="1" t="s">
        <v>2554</v>
      </c>
      <c r="C2653" s="1" t="s">
        <v>332</v>
      </c>
      <c r="D2653" s="1" t="s">
        <v>229</v>
      </c>
      <c r="E2653" s="1"/>
    </row>
    <row r="2654" spans="1:5" ht="16">
      <c r="A2654" s="1" t="s">
        <v>1939</v>
      </c>
      <c r="B2654" s="1" t="s">
        <v>2541</v>
      </c>
      <c r="C2654" s="1" t="s">
        <v>332</v>
      </c>
      <c r="D2654" s="1" t="s">
        <v>229</v>
      </c>
      <c r="E2654" s="1"/>
    </row>
    <row r="2655" spans="1:5" ht="16">
      <c r="A2655" s="1" t="s">
        <v>1939</v>
      </c>
      <c r="B2655" s="1" t="s">
        <v>2543</v>
      </c>
      <c r="C2655" s="1" t="s">
        <v>332</v>
      </c>
      <c r="D2655" s="1" t="s">
        <v>229</v>
      </c>
      <c r="E2655" s="1"/>
    </row>
    <row r="2656" spans="1:5" ht="16">
      <c r="A2656" s="1" t="s">
        <v>1939</v>
      </c>
      <c r="B2656" s="1" t="s">
        <v>2544</v>
      </c>
      <c r="C2656" s="1" t="s">
        <v>332</v>
      </c>
      <c r="D2656" s="1" t="s">
        <v>229</v>
      </c>
      <c r="E2656" s="1"/>
    </row>
    <row r="2657" spans="1:5" ht="16">
      <c r="A2657" s="1" t="s">
        <v>1939</v>
      </c>
      <c r="B2657" s="1" t="s">
        <v>2561</v>
      </c>
      <c r="C2657" s="1" t="s">
        <v>332</v>
      </c>
      <c r="D2657" s="1" t="s">
        <v>229</v>
      </c>
      <c r="E2657" s="1"/>
    </row>
    <row r="2658" spans="1:5" ht="16">
      <c r="A2658" s="1" t="s">
        <v>1939</v>
      </c>
      <c r="B2658" s="1" t="s">
        <v>2605</v>
      </c>
      <c r="C2658" s="1" t="s">
        <v>334</v>
      </c>
      <c r="D2658" s="1" t="s">
        <v>229</v>
      </c>
      <c r="E2658" s="1"/>
    </row>
    <row r="2659" spans="1:5" ht="16">
      <c r="A2659" s="1" t="s">
        <v>1939</v>
      </c>
      <c r="B2659" s="1" t="s">
        <v>2606</v>
      </c>
      <c r="C2659" s="1" t="s">
        <v>334</v>
      </c>
      <c r="D2659" s="1" t="s">
        <v>229</v>
      </c>
      <c r="E2659" s="1"/>
    </row>
    <row r="2660" spans="1:5" ht="16">
      <c r="A2660" s="1" t="s">
        <v>1939</v>
      </c>
      <c r="B2660" s="1" t="s">
        <v>2607</v>
      </c>
      <c r="C2660" s="1" t="s">
        <v>332</v>
      </c>
      <c r="D2660" s="1" t="s">
        <v>229</v>
      </c>
      <c r="E2660" s="1"/>
    </row>
    <row r="2661" spans="1:5" ht="16">
      <c r="A2661" s="1" t="s">
        <v>1939</v>
      </c>
      <c r="B2661" s="1" t="s">
        <v>2608</v>
      </c>
      <c r="C2661" s="1" t="s">
        <v>332</v>
      </c>
      <c r="D2661" s="1" t="s">
        <v>229</v>
      </c>
      <c r="E2661" s="1"/>
    </row>
    <row r="2662" spans="1:5" ht="16">
      <c r="A2662" s="1" t="s">
        <v>1939</v>
      </c>
      <c r="B2662" s="1" t="s">
        <v>2609</v>
      </c>
      <c r="C2662" s="1" t="s">
        <v>332</v>
      </c>
      <c r="D2662" s="1" t="s">
        <v>229</v>
      </c>
      <c r="E2662" s="1"/>
    </row>
    <row r="2663" spans="1:5" ht="16">
      <c r="A2663" s="1" t="s">
        <v>1939</v>
      </c>
      <c r="B2663" s="1" t="s">
        <v>2610</v>
      </c>
      <c r="C2663" s="1" t="s">
        <v>334</v>
      </c>
      <c r="D2663" s="1" t="s">
        <v>229</v>
      </c>
      <c r="E2663" s="1"/>
    </row>
    <row r="2664" spans="1:5" ht="16">
      <c r="A2664" s="1" t="s">
        <v>1939</v>
      </c>
      <c r="B2664" s="1" t="s">
        <v>2611</v>
      </c>
      <c r="C2664" s="1" t="s">
        <v>334</v>
      </c>
      <c r="D2664" s="1" t="s">
        <v>229</v>
      </c>
      <c r="E2664" s="1"/>
    </row>
    <row r="2665" spans="1:5" ht="16">
      <c r="A2665" s="1" t="s">
        <v>1939</v>
      </c>
      <c r="B2665" s="1" t="s">
        <v>2612</v>
      </c>
      <c r="C2665" s="1" t="s">
        <v>334</v>
      </c>
      <c r="D2665" s="1" t="s">
        <v>229</v>
      </c>
      <c r="E2665" s="1"/>
    </row>
    <row r="2666" spans="1:5" ht="16">
      <c r="A2666" s="1" t="s">
        <v>1939</v>
      </c>
      <c r="B2666" s="1" t="s">
        <v>2613</v>
      </c>
      <c r="C2666" s="1" t="s">
        <v>334</v>
      </c>
      <c r="D2666" s="1" t="s">
        <v>229</v>
      </c>
      <c r="E2666" s="1"/>
    </row>
    <row r="2667" spans="1:5" ht="16">
      <c r="A2667" s="1" t="s">
        <v>1939</v>
      </c>
      <c r="B2667" s="1" t="s">
        <v>2614</v>
      </c>
      <c r="C2667" s="1" t="s">
        <v>332</v>
      </c>
      <c r="D2667" s="1" t="s">
        <v>229</v>
      </c>
      <c r="E2667" s="1"/>
    </row>
    <row r="2668" spans="1:5" ht="16">
      <c r="A2668" s="1" t="s">
        <v>1939</v>
      </c>
      <c r="B2668" s="1" t="s">
        <v>2615</v>
      </c>
      <c r="C2668" s="1" t="s">
        <v>332</v>
      </c>
      <c r="D2668" s="1" t="s">
        <v>229</v>
      </c>
      <c r="E2668" s="1"/>
    </row>
    <row r="2669" spans="1:5" ht="16">
      <c r="A2669" s="1" t="s">
        <v>1939</v>
      </c>
      <c r="B2669" s="1" t="s">
        <v>2616</v>
      </c>
      <c r="C2669" s="1" t="s">
        <v>332</v>
      </c>
      <c r="D2669" s="1" t="s">
        <v>229</v>
      </c>
      <c r="E2669" s="1"/>
    </row>
    <row r="2670" spans="1:5" ht="16">
      <c r="A2670" s="1" t="s">
        <v>1939</v>
      </c>
      <c r="B2670" s="1" t="s">
        <v>2617</v>
      </c>
      <c r="C2670" s="1" t="s">
        <v>332</v>
      </c>
      <c r="D2670" s="1" t="s">
        <v>229</v>
      </c>
      <c r="E2670" s="1"/>
    </row>
    <row r="2671" spans="1:5" ht="16">
      <c r="A2671" s="1" t="s">
        <v>1939</v>
      </c>
      <c r="B2671" s="1" t="s">
        <v>2618</v>
      </c>
      <c r="C2671" s="1" t="s">
        <v>332</v>
      </c>
      <c r="D2671" s="1" t="s">
        <v>229</v>
      </c>
      <c r="E2671" s="1"/>
    </row>
    <row r="2672" spans="1:5" ht="16">
      <c r="A2672" s="1" t="s">
        <v>1939</v>
      </c>
      <c r="B2672" s="1" t="s">
        <v>2619</v>
      </c>
      <c r="C2672" s="1" t="s">
        <v>332</v>
      </c>
      <c r="D2672" s="1" t="s">
        <v>229</v>
      </c>
      <c r="E2672" s="1"/>
    </row>
    <row r="2673" spans="1:5" ht="16">
      <c r="A2673" s="1" t="s">
        <v>1939</v>
      </c>
      <c r="B2673" s="1" t="s">
        <v>2620</v>
      </c>
      <c r="C2673" s="1" t="s">
        <v>332</v>
      </c>
      <c r="D2673" s="1" t="s">
        <v>229</v>
      </c>
      <c r="E2673" s="1"/>
    </row>
    <row r="2674" spans="1:5" ht="16">
      <c r="A2674" s="1" t="s">
        <v>1939</v>
      </c>
      <c r="B2674" s="1" t="s">
        <v>2621</v>
      </c>
      <c r="C2674" s="1" t="s">
        <v>332</v>
      </c>
      <c r="D2674" s="1" t="s">
        <v>229</v>
      </c>
      <c r="E2674" s="1"/>
    </row>
    <row r="2675" spans="1:5" ht="16">
      <c r="A2675" s="1" t="s">
        <v>1939</v>
      </c>
      <c r="B2675" s="1" t="s">
        <v>2622</v>
      </c>
      <c r="C2675" s="1" t="s">
        <v>234</v>
      </c>
      <c r="D2675" s="1" t="s">
        <v>355</v>
      </c>
      <c r="E2675" s="1" t="s">
        <v>500</v>
      </c>
    </row>
    <row r="2676" spans="1:5" ht="16">
      <c r="A2676" s="1" t="s">
        <v>1939</v>
      </c>
      <c r="B2676" s="1" t="s">
        <v>2623</v>
      </c>
      <c r="C2676" s="1" t="s">
        <v>234</v>
      </c>
      <c r="D2676" s="1" t="s">
        <v>355</v>
      </c>
      <c r="E2676" s="1" t="s">
        <v>500</v>
      </c>
    </row>
    <row r="2677" spans="1:5" ht="16">
      <c r="A2677" s="1" t="s">
        <v>1939</v>
      </c>
      <c r="B2677" s="1" t="s">
        <v>2624</v>
      </c>
      <c r="C2677" s="1" t="s">
        <v>234</v>
      </c>
      <c r="D2677" s="1" t="s">
        <v>355</v>
      </c>
      <c r="E2677" s="1" t="s">
        <v>500</v>
      </c>
    </row>
    <row r="2678" spans="1:5" ht="16">
      <c r="A2678" s="1" t="s">
        <v>1939</v>
      </c>
      <c r="B2678" s="1" t="s">
        <v>2625</v>
      </c>
      <c r="C2678" s="1" t="s">
        <v>234</v>
      </c>
      <c r="D2678" s="1" t="s">
        <v>355</v>
      </c>
      <c r="E2678" s="1" t="s">
        <v>500</v>
      </c>
    </row>
    <row r="2679" spans="1:5" ht="16">
      <c r="A2679" s="1" t="s">
        <v>1939</v>
      </c>
      <c r="B2679" s="1" t="s">
        <v>2626</v>
      </c>
      <c r="C2679" s="1" t="s">
        <v>263</v>
      </c>
      <c r="D2679" s="1" t="s">
        <v>355</v>
      </c>
      <c r="E2679" s="1" t="s">
        <v>500</v>
      </c>
    </row>
    <row r="2680" spans="1:5" ht="16">
      <c r="A2680" s="1" t="s">
        <v>1939</v>
      </c>
      <c r="B2680" s="1" t="s">
        <v>2627</v>
      </c>
      <c r="C2680" s="1" t="s">
        <v>332</v>
      </c>
      <c r="D2680" s="1" t="s">
        <v>229</v>
      </c>
      <c r="E2680" s="1"/>
    </row>
    <row r="2681" spans="1:5" ht="16">
      <c r="A2681" s="1" t="s">
        <v>1939</v>
      </c>
      <c r="B2681" s="1" t="s">
        <v>2628</v>
      </c>
      <c r="C2681" s="1" t="s">
        <v>332</v>
      </c>
      <c r="D2681" s="1" t="s">
        <v>229</v>
      </c>
      <c r="E2681" s="1"/>
    </row>
    <row r="2682" spans="1:5" ht="16">
      <c r="A2682" s="1" t="s">
        <v>1939</v>
      </c>
      <c r="B2682" s="1" t="s">
        <v>2629</v>
      </c>
      <c r="C2682" s="1" t="s">
        <v>332</v>
      </c>
      <c r="D2682" s="1" t="s">
        <v>229</v>
      </c>
      <c r="E2682" s="1"/>
    </row>
    <row r="2683" spans="1:5" ht="16">
      <c r="A2683" s="1" t="s">
        <v>1939</v>
      </c>
      <c r="B2683" s="1" t="s">
        <v>2630</v>
      </c>
      <c r="C2683" s="1" t="s">
        <v>332</v>
      </c>
      <c r="D2683" s="1" t="s">
        <v>229</v>
      </c>
      <c r="E2683" s="1"/>
    </row>
    <row r="2684" spans="1:5" ht="16">
      <c r="A2684" s="1" t="s">
        <v>1939</v>
      </c>
      <c r="B2684" s="1" t="s">
        <v>2631</v>
      </c>
      <c r="C2684" s="1" t="s">
        <v>332</v>
      </c>
      <c r="D2684" s="1" t="s">
        <v>229</v>
      </c>
      <c r="E2684" s="1"/>
    </row>
    <row r="2685" spans="1:5" ht="16">
      <c r="A2685" s="1" t="s">
        <v>1939</v>
      </c>
      <c r="B2685" s="1" t="s">
        <v>2632</v>
      </c>
      <c r="C2685" s="1" t="s">
        <v>332</v>
      </c>
      <c r="D2685" s="1" t="s">
        <v>229</v>
      </c>
      <c r="E2685" s="1"/>
    </row>
    <row r="2686" spans="1:5" ht="16">
      <c r="A2686" s="1" t="s">
        <v>1939</v>
      </c>
      <c r="B2686" s="1" t="s">
        <v>2633</v>
      </c>
      <c r="C2686" s="1" t="s">
        <v>332</v>
      </c>
      <c r="D2686" s="1" t="s">
        <v>229</v>
      </c>
      <c r="E2686" s="1"/>
    </row>
    <row r="2687" spans="1:5" ht="16">
      <c r="A2687" s="1" t="s">
        <v>1939</v>
      </c>
      <c r="B2687" s="1" t="s">
        <v>2634</v>
      </c>
      <c r="C2687" s="1" t="s">
        <v>332</v>
      </c>
      <c r="D2687" s="1" t="s">
        <v>229</v>
      </c>
      <c r="E2687" s="1"/>
    </row>
    <row r="2688" spans="1:5" ht="16">
      <c r="A2688" s="1" t="s">
        <v>1939</v>
      </c>
      <c r="B2688" s="1" t="s">
        <v>2635</v>
      </c>
      <c r="C2688" s="1" t="s">
        <v>332</v>
      </c>
      <c r="D2688" s="1" t="s">
        <v>229</v>
      </c>
      <c r="E2688" s="1"/>
    </row>
    <row r="2689" spans="1:5" ht="16">
      <c r="A2689" s="1" t="s">
        <v>1939</v>
      </c>
      <c r="B2689" s="1" t="s">
        <v>2636</v>
      </c>
      <c r="C2689" s="1" t="s">
        <v>332</v>
      </c>
      <c r="D2689" s="1" t="s">
        <v>229</v>
      </c>
      <c r="E2689" s="1"/>
    </row>
    <row r="2690" spans="1:5" ht="16">
      <c r="A2690" s="1" t="s">
        <v>1939</v>
      </c>
      <c r="B2690" s="1" t="s">
        <v>2637</v>
      </c>
      <c r="C2690" s="1" t="s">
        <v>332</v>
      </c>
      <c r="D2690" s="1" t="s">
        <v>229</v>
      </c>
      <c r="E2690" s="1"/>
    </row>
    <row r="2691" spans="1:5" ht="16">
      <c r="A2691" s="1" t="s">
        <v>1939</v>
      </c>
      <c r="B2691" s="1" t="s">
        <v>2638</v>
      </c>
      <c r="C2691" s="1" t="s">
        <v>332</v>
      </c>
      <c r="D2691" s="1" t="s">
        <v>229</v>
      </c>
      <c r="E2691" s="1"/>
    </row>
    <row r="2692" spans="1:5" ht="16">
      <c r="A2692" s="1" t="s">
        <v>1939</v>
      </c>
      <c r="B2692" s="1" t="s">
        <v>2639</v>
      </c>
      <c r="C2692" s="1" t="s">
        <v>332</v>
      </c>
      <c r="D2692" s="1" t="s">
        <v>229</v>
      </c>
      <c r="E2692" s="1"/>
    </row>
    <row r="2693" spans="1:5" ht="16">
      <c r="A2693" s="1" t="s">
        <v>1939</v>
      </c>
      <c r="B2693" s="1" t="s">
        <v>2640</v>
      </c>
      <c r="C2693" s="1" t="s">
        <v>332</v>
      </c>
      <c r="D2693" s="1" t="s">
        <v>229</v>
      </c>
      <c r="E2693" s="1"/>
    </row>
    <row r="2694" spans="1:5" ht="16">
      <c r="A2694" s="1" t="s">
        <v>1939</v>
      </c>
      <c r="B2694" s="1" t="s">
        <v>2641</v>
      </c>
      <c r="C2694" s="1" t="s">
        <v>332</v>
      </c>
      <c r="D2694" s="1" t="s">
        <v>229</v>
      </c>
      <c r="E2694" s="1"/>
    </row>
    <row r="2695" spans="1:5" ht="16">
      <c r="A2695" s="1" t="s">
        <v>1939</v>
      </c>
      <c r="B2695" s="1" t="s">
        <v>2642</v>
      </c>
      <c r="C2695" s="1" t="s">
        <v>332</v>
      </c>
      <c r="D2695" s="1" t="s">
        <v>229</v>
      </c>
      <c r="E2695" s="1"/>
    </row>
    <row r="2696" spans="1:5" ht="16">
      <c r="A2696" s="1" t="s">
        <v>1939</v>
      </c>
      <c r="B2696" s="1" t="s">
        <v>2643</v>
      </c>
      <c r="C2696" s="1" t="s">
        <v>332</v>
      </c>
      <c r="D2696" s="1" t="s">
        <v>229</v>
      </c>
      <c r="E2696" s="1"/>
    </row>
    <row r="2697" spans="1:5" ht="16">
      <c r="A2697" s="1" t="s">
        <v>1939</v>
      </c>
      <c r="B2697" s="1" t="s">
        <v>2644</v>
      </c>
      <c r="C2697" s="1" t="s">
        <v>332</v>
      </c>
      <c r="D2697" s="1" t="s">
        <v>229</v>
      </c>
      <c r="E2697" s="1"/>
    </row>
    <row r="2698" spans="1:5" ht="16">
      <c r="A2698" s="1" t="s">
        <v>1939</v>
      </c>
      <c r="B2698" s="1" t="s">
        <v>2645</v>
      </c>
      <c r="C2698" s="1" t="s">
        <v>332</v>
      </c>
      <c r="D2698" s="1" t="s">
        <v>229</v>
      </c>
      <c r="E2698" s="1"/>
    </row>
    <row r="2699" spans="1:5" ht="16">
      <c r="A2699" s="1" t="s">
        <v>1939</v>
      </c>
      <c r="B2699" s="1" t="s">
        <v>2646</v>
      </c>
      <c r="C2699" s="1" t="s">
        <v>332</v>
      </c>
      <c r="D2699" s="1" t="s">
        <v>229</v>
      </c>
      <c r="E2699" s="1"/>
    </row>
    <row r="2700" spans="1:5" ht="16">
      <c r="A2700" s="1" t="s">
        <v>1939</v>
      </c>
      <c r="B2700" s="1" t="s">
        <v>2647</v>
      </c>
      <c r="C2700" s="1" t="s">
        <v>332</v>
      </c>
      <c r="D2700" s="1" t="s">
        <v>229</v>
      </c>
      <c r="E2700" s="1"/>
    </row>
    <row r="2701" spans="1:5" ht="16">
      <c r="A2701" s="1" t="s">
        <v>1939</v>
      </c>
      <c r="B2701" s="1" t="s">
        <v>2648</v>
      </c>
      <c r="C2701" s="1" t="s">
        <v>332</v>
      </c>
      <c r="D2701" s="1" t="s">
        <v>229</v>
      </c>
      <c r="E2701" s="1"/>
    </row>
    <row r="2702" spans="1:5" ht="16">
      <c r="A2702" s="1" t="s">
        <v>1939</v>
      </c>
      <c r="B2702" s="1" t="s">
        <v>2649</v>
      </c>
      <c r="C2702" s="1" t="s">
        <v>332</v>
      </c>
      <c r="D2702" s="1" t="s">
        <v>229</v>
      </c>
      <c r="E2702" s="1"/>
    </row>
    <row r="2703" spans="1:5" ht="16">
      <c r="A2703" s="1" t="s">
        <v>1939</v>
      </c>
      <c r="B2703" s="1" t="s">
        <v>2650</v>
      </c>
      <c r="C2703" s="1" t="s">
        <v>332</v>
      </c>
      <c r="D2703" s="1" t="s">
        <v>229</v>
      </c>
      <c r="E2703" s="1"/>
    </row>
    <row r="2704" spans="1:5" ht="16">
      <c r="A2704" s="1" t="s">
        <v>1939</v>
      </c>
      <c r="B2704" s="1" t="s">
        <v>2651</v>
      </c>
      <c r="C2704" s="1" t="s">
        <v>332</v>
      </c>
      <c r="D2704" s="1" t="s">
        <v>229</v>
      </c>
      <c r="E2704" s="1"/>
    </row>
    <row r="2705" spans="1:5" ht="16">
      <c r="A2705" s="1" t="s">
        <v>1939</v>
      </c>
      <c r="B2705" s="1" t="s">
        <v>2652</v>
      </c>
      <c r="C2705" s="1" t="s">
        <v>332</v>
      </c>
      <c r="D2705" s="1" t="s">
        <v>229</v>
      </c>
      <c r="E2705" s="1"/>
    </row>
    <row r="2706" spans="1:5" ht="16">
      <c r="A2706" s="1" t="s">
        <v>1939</v>
      </c>
      <c r="B2706" s="1" t="s">
        <v>2653</v>
      </c>
      <c r="C2706" s="1" t="s">
        <v>332</v>
      </c>
      <c r="D2706" s="1" t="s">
        <v>229</v>
      </c>
      <c r="E2706" s="1"/>
    </row>
    <row r="2707" spans="1:5" ht="16">
      <c r="A2707" s="1" t="s">
        <v>1939</v>
      </c>
      <c r="B2707" s="1" t="s">
        <v>2654</v>
      </c>
      <c r="C2707" s="1" t="s">
        <v>332</v>
      </c>
      <c r="D2707" s="1" t="s">
        <v>229</v>
      </c>
      <c r="E2707" s="1"/>
    </row>
    <row r="2708" spans="1:5" ht="16">
      <c r="A2708" s="1" t="s">
        <v>1939</v>
      </c>
      <c r="B2708" s="1" t="s">
        <v>2655</v>
      </c>
      <c r="C2708" s="1" t="s">
        <v>332</v>
      </c>
      <c r="D2708" s="1" t="s">
        <v>229</v>
      </c>
      <c r="E2708" s="1"/>
    </row>
    <row r="2709" spans="1:5" ht="16">
      <c r="A2709" s="1" t="s">
        <v>1939</v>
      </c>
      <c r="B2709" s="1" t="s">
        <v>2656</v>
      </c>
      <c r="C2709" s="1" t="s">
        <v>332</v>
      </c>
      <c r="D2709" s="1" t="s">
        <v>229</v>
      </c>
      <c r="E2709" s="1"/>
    </row>
    <row r="2710" spans="1:5" ht="16">
      <c r="A2710" s="1" t="s">
        <v>1939</v>
      </c>
      <c r="B2710" s="1" t="s">
        <v>2657</v>
      </c>
      <c r="C2710" s="1" t="s">
        <v>332</v>
      </c>
      <c r="D2710" s="1" t="s">
        <v>229</v>
      </c>
      <c r="E2710" s="1"/>
    </row>
    <row r="2711" spans="1:5" ht="16">
      <c r="A2711" s="1" t="s">
        <v>1939</v>
      </c>
      <c r="B2711" s="1" t="s">
        <v>2658</v>
      </c>
      <c r="C2711" s="1" t="s">
        <v>332</v>
      </c>
      <c r="D2711" s="1" t="s">
        <v>229</v>
      </c>
      <c r="E2711" s="1"/>
    </row>
    <row r="2712" spans="1:5" ht="16">
      <c r="A2712" s="1" t="s">
        <v>1939</v>
      </c>
      <c r="B2712" s="1" t="s">
        <v>2659</v>
      </c>
      <c r="C2712" s="1" t="s">
        <v>332</v>
      </c>
      <c r="D2712" s="1" t="s">
        <v>229</v>
      </c>
      <c r="E2712" s="1"/>
    </row>
    <row r="2713" spans="1:5" ht="16">
      <c r="A2713" s="1" t="s">
        <v>1939</v>
      </c>
      <c r="B2713" s="1" t="s">
        <v>2660</v>
      </c>
      <c r="C2713" s="1" t="s">
        <v>332</v>
      </c>
      <c r="D2713" s="1" t="s">
        <v>229</v>
      </c>
      <c r="E2713" s="1"/>
    </row>
    <row r="2714" spans="1:5" ht="16">
      <c r="A2714" s="1" t="s">
        <v>1939</v>
      </c>
      <c r="B2714" s="1" t="s">
        <v>2661</v>
      </c>
      <c r="C2714" s="1" t="s">
        <v>334</v>
      </c>
      <c r="D2714" s="1" t="s">
        <v>229</v>
      </c>
      <c r="E2714" s="1"/>
    </row>
    <row r="2715" spans="1:5" ht="16">
      <c r="A2715" s="1" t="s">
        <v>1939</v>
      </c>
      <c r="B2715" s="1" t="s">
        <v>2662</v>
      </c>
      <c r="C2715" s="1" t="s">
        <v>364</v>
      </c>
      <c r="D2715" s="1" t="s">
        <v>229</v>
      </c>
      <c r="E2715" s="1"/>
    </row>
    <row r="2716" spans="1:5" ht="16">
      <c r="A2716" s="1" t="s">
        <v>1939</v>
      </c>
      <c r="B2716" s="1" t="s">
        <v>2663</v>
      </c>
      <c r="C2716" s="1" t="s">
        <v>364</v>
      </c>
      <c r="D2716" s="1" t="s">
        <v>229</v>
      </c>
      <c r="E2716" s="1"/>
    </row>
    <row r="2717" spans="1:5" ht="16">
      <c r="A2717" s="1" t="s">
        <v>1939</v>
      </c>
      <c r="B2717" s="1" t="s">
        <v>2664</v>
      </c>
      <c r="C2717" s="1" t="s">
        <v>334</v>
      </c>
      <c r="D2717" s="1" t="s">
        <v>229</v>
      </c>
      <c r="E2717" s="1"/>
    </row>
    <row r="2718" spans="1:5" ht="16">
      <c r="A2718" s="1" t="s">
        <v>1939</v>
      </c>
      <c r="B2718" s="1" t="s">
        <v>2665</v>
      </c>
      <c r="C2718" s="1" t="s">
        <v>334</v>
      </c>
      <c r="D2718" s="1" t="s">
        <v>229</v>
      </c>
      <c r="E2718" s="1"/>
    </row>
    <row r="2719" spans="1:5" ht="16">
      <c r="A2719" s="1" t="s">
        <v>1939</v>
      </c>
      <c r="B2719" s="1" t="s">
        <v>2666</v>
      </c>
      <c r="C2719" s="1" t="s">
        <v>334</v>
      </c>
      <c r="D2719" s="1" t="s">
        <v>229</v>
      </c>
      <c r="E2719" s="1"/>
    </row>
    <row r="2720" spans="1:5" ht="16">
      <c r="A2720" s="1" t="s">
        <v>1939</v>
      </c>
      <c r="B2720" s="1" t="s">
        <v>2667</v>
      </c>
      <c r="C2720" s="1" t="s">
        <v>263</v>
      </c>
      <c r="D2720" s="1" t="s">
        <v>229</v>
      </c>
      <c r="E2720" s="1"/>
    </row>
    <row r="2721" spans="1:5" ht="16">
      <c r="A2721" s="1" t="s">
        <v>1939</v>
      </c>
      <c r="B2721" s="1" t="s">
        <v>2668</v>
      </c>
      <c r="C2721" s="1" t="s">
        <v>263</v>
      </c>
      <c r="D2721" s="1" t="s">
        <v>229</v>
      </c>
      <c r="E2721" s="1"/>
    </row>
    <row r="2722" spans="1:5" ht="16">
      <c r="A2722" s="1" t="s">
        <v>1939</v>
      </c>
      <c r="B2722" s="1" t="s">
        <v>2669</v>
      </c>
      <c r="C2722" s="1" t="s">
        <v>1411</v>
      </c>
      <c r="D2722" s="1" t="s">
        <v>229</v>
      </c>
      <c r="E2722" s="1"/>
    </row>
    <row r="2723" spans="1:5" ht="16">
      <c r="A2723" s="1" t="s">
        <v>1939</v>
      </c>
      <c r="B2723" s="1" t="s">
        <v>2670</v>
      </c>
      <c r="C2723" s="1" t="s">
        <v>334</v>
      </c>
      <c r="D2723" s="1" t="s">
        <v>229</v>
      </c>
      <c r="E2723" s="1"/>
    </row>
    <row r="2724" spans="1:5" ht="16">
      <c r="A2724" s="1" t="s">
        <v>1939</v>
      </c>
      <c r="B2724" s="1" t="s">
        <v>2671</v>
      </c>
      <c r="C2724" s="1" t="s">
        <v>334</v>
      </c>
      <c r="D2724" s="1" t="s">
        <v>229</v>
      </c>
      <c r="E2724" s="1"/>
    </row>
    <row r="2725" spans="1:5" ht="16">
      <c r="A2725" s="1" t="s">
        <v>1939</v>
      </c>
      <c r="B2725" s="1" t="s">
        <v>2672</v>
      </c>
      <c r="C2725" s="1" t="s">
        <v>332</v>
      </c>
      <c r="D2725" s="1" t="s">
        <v>229</v>
      </c>
      <c r="E2725" s="1"/>
    </row>
    <row r="2726" spans="1:5" ht="16">
      <c r="A2726" s="1" t="s">
        <v>1939</v>
      </c>
      <c r="B2726" s="1" t="s">
        <v>2673</v>
      </c>
      <c r="C2726" s="1" t="s">
        <v>332</v>
      </c>
      <c r="D2726" s="1" t="s">
        <v>229</v>
      </c>
      <c r="E2726" s="1"/>
    </row>
    <row r="2727" spans="1:5" ht="16">
      <c r="A2727" s="1" t="s">
        <v>1939</v>
      </c>
      <c r="B2727" s="1" t="s">
        <v>2674</v>
      </c>
      <c r="C2727" s="1" t="s">
        <v>332</v>
      </c>
      <c r="D2727" s="1" t="s">
        <v>229</v>
      </c>
      <c r="E2727" s="1"/>
    </row>
    <row r="2728" spans="1:5" ht="16">
      <c r="A2728" s="1" t="s">
        <v>1939</v>
      </c>
      <c r="B2728" s="1" t="s">
        <v>2675</v>
      </c>
      <c r="C2728" s="1" t="s">
        <v>265</v>
      </c>
      <c r="D2728" s="1" t="s">
        <v>229</v>
      </c>
      <c r="E2728" s="1"/>
    </row>
    <row r="2729" spans="1:5" ht="16">
      <c r="A2729" s="1" t="s">
        <v>1939</v>
      </c>
      <c r="B2729" s="1" t="s">
        <v>2676</v>
      </c>
      <c r="C2729" s="1" t="s">
        <v>265</v>
      </c>
      <c r="D2729" s="1" t="s">
        <v>229</v>
      </c>
      <c r="E2729" s="1"/>
    </row>
    <row r="2730" spans="1:5" ht="16">
      <c r="A2730" s="1" t="s">
        <v>1939</v>
      </c>
      <c r="B2730" s="1" t="s">
        <v>2677</v>
      </c>
      <c r="C2730" s="1" t="s">
        <v>265</v>
      </c>
      <c r="D2730" s="1" t="s">
        <v>229</v>
      </c>
      <c r="E2730" s="1"/>
    </row>
    <row r="2731" spans="1:5" ht="16">
      <c r="A2731" s="1" t="s">
        <v>1939</v>
      </c>
      <c r="B2731" s="1" t="s">
        <v>2678</v>
      </c>
      <c r="C2731" s="1" t="s">
        <v>265</v>
      </c>
      <c r="D2731" s="1" t="s">
        <v>229</v>
      </c>
      <c r="E2731" s="1"/>
    </row>
    <row r="2732" spans="1:5" ht="16">
      <c r="A2732" s="1" t="s">
        <v>1939</v>
      </c>
      <c r="B2732" s="1" t="s">
        <v>2679</v>
      </c>
      <c r="C2732" s="1" t="s">
        <v>265</v>
      </c>
      <c r="D2732" s="1" t="s">
        <v>229</v>
      </c>
      <c r="E2732" s="1"/>
    </row>
    <row r="2733" spans="1:5" ht="16">
      <c r="A2733" s="1" t="s">
        <v>1939</v>
      </c>
      <c r="B2733" s="1" t="s">
        <v>2680</v>
      </c>
      <c r="C2733" s="1" t="s">
        <v>364</v>
      </c>
      <c r="D2733" s="1" t="s">
        <v>229</v>
      </c>
      <c r="E2733" s="1"/>
    </row>
    <row r="2734" spans="1:5" ht="16">
      <c r="A2734" s="1" t="s">
        <v>1939</v>
      </c>
      <c r="B2734" s="1" t="s">
        <v>2681</v>
      </c>
      <c r="C2734" s="1" t="s">
        <v>364</v>
      </c>
      <c r="D2734" s="1" t="s">
        <v>229</v>
      </c>
      <c r="E2734" s="1"/>
    </row>
    <row r="2735" spans="1:5" ht="16">
      <c r="A2735" s="1" t="s">
        <v>1939</v>
      </c>
      <c r="B2735" s="1" t="s">
        <v>2682</v>
      </c>
      <c r="C2735" s="1" t="s">
        <v>332</v>
      </c>
      <c r="D2735" s="1" t="s">
        <v>229</v>
      </c>
      <c r="E2735" s="1"/>
    </row>
    <row r="2736" spans="1:5" ht="16">
      <c r="A2736" s="1" t="s">
        <v>1939</v>
      </c>
      <c r="B2736" s="1" t="s">
        <v>2683</v>
      </c>
      <c r="C2736" s="1" t="s">
        <v>332</v>
      </c>
      <c r="D2736" s="1" t="s">
        <v>229</v>
      </c>
      <c r="E2736" s="1"/>
    </row>
    <row r="2737" spans="1:5" ht="16">
      <c r="A2737" s="1" t="s">
        <v>1939</v>
      </c>
      <c r="B2737" s="1" t="s">
        <v>2684</v>
      </c>
      <c r="C2737" s="1" t="s">
        <v>332</v>
      </c>
      <c r="D2737" s="1" t="s">
        <v>229</v>
      </c>
      <c r="E2737" s="1"/>
    </row>
    <row r="2738" spans="1:5" ht="16">
      <c r="A2738" s="1" t="s">
        <v>1939</v>
      </c>
      <c r="B2738" s="1" t="s">
        <v>2685</v>
      </c>
      <c r="C2738" s="1" t="s">
        <v>334</v>
      </c>
      <c r="D2738" s="1" t="s">
        <v>229</v>
      </c>
      <c r="E2738" s="1"/>
    </row>
    <row r="2739" spans="1:5" ht="16">
      <c r="A2739" s="1" t="s">
        <v>1939</v>
      </c>
      <c r="B2739" s="1" t="s">
        <v>2686</v>
      </c>
      <c r="C2739" s="1" t="s">
        <v>334</v>
      </c>
      <c r="D2739" s="1" t="s">
        <v>229</v>
      </c>
      <c r="E2739" s="1"/>
    </row>
    <row r="2740" spans="1:5" ht="16">
      <c r="A2740" s="1" t="s">
        <v>1939</v>
      </c>
      <c r="B2740" s="1" t="s">
        <v>2687</v>
      </c>
      <c r="C2740" s="1" t="s">
        <v>332</v>
      </c>
      <c r="D2740" s="1" t="s">
        <v>229</v>
      </c>
      <c r="E2740" s="1"/>
    </row>
    <row r="2741" spans="1:5" ht="16">
      <c r="A2741" s="1" t="s">
        <v>1939</v>
      </c>
      <c r="B2741" s="1" t="s">
        <v>2688</v>
      </c>
      <c r="C2741" s="1" t="s">
        <v>332</v>
      </c>
      <c r="D2741" s="1" t="s">
        <v>229</v>
      </c>
      <c r="E2741" s="1"/>
    </row>
    <row r="2742" spans="1:5" ht="16">
      <c r="A2742" s="1" t="s">
        <v>1939</v>
      </c>
      <c r="B2742" s="1" t="s">
        <v>2689</v>
      </c>
      <c r="C2742" s="1" t="s">
        <v>332</v>
      </c>
      <c r="D2742" s="1" t="s">
        <v>229</v>
      </c>
      <c r="E2742" s="1"/>
    </row>
    <row r="2743" spans="1:5" ht="16">
      <c r="A2743" s="1" t="s">
        <v>1939</v>
      </c>
      <c r="B2743" s="1" t="s">
        <v>2690</v>
      </c>
      <c r="C2743" s="1" t="s">
        <v>332</v>
      </c>
      <c r="D2743" s="1" t="s">
        <v>229</v>
      </c>
      <c r="E2743" s="1"/>
    </row>
    <row r="2744" spans="1:5" ht="16">
      <c r="A2744" s="1" t="s">
        <v>1939</v>
      </c>
      <c r="B2744" s="1" t="s">
        <v>2691</v>
      </c>
      <c r="C2744" s="1" t="s">
        <v>332</v>
      </c>
      <c r="D2744" s="1" t="s">
        <v>229</v>
      </c>
      <c r="E2744" s="1"/>
    </row>
    <row r="2745" spans="1:5" ht="16">
      <c r="A2745" s="1" t="s">
        <v>1939</v>
      </c>
      <c r="B2745" s="1" t="s">
        <v>2692</v>
      </c>
      <c r="C2745" s="1" t="s">
        <v>332</v>
      </c>
      <c r="D2745" s="1" t="s">
        <v>229</v>
      </c>
      <c r="E2745" s="1"/>
    </row>
    <row r="2746" spans="1:5" ht="16">
      <c r="A2746" s="1" t="s">
        <v>1939</v>
      </c>
      <c r="B2746" s="1" t="s">
        <v>2693</v>
      </c>
      <c r="C2746" s="1" t="s">
        <v>332</v>
      </c>
      <c r="D2746" s="1" t="s">
        <v>229</v>
      </c>
      <c r="E2746" s="1"/>
    </row>
    <row r="2747" spans="1:5" ht="16">
      <c r="A2747" s="1" t="s">
        <v>1939</v>
      </c>
      <c r="B2747" s="1" t="s">
        <v>2694</v>
      </c>
      <c r="C2747" s="1" t="s">
        <v>332</v>
      </c>
      <c r="D2747" s="1" t="s">
        <v>229</v>
      </c>
      <c r="E2747" s="1"/>
    </row>
    <row r="2748" spans="1:5" ht="16">
      <c r="A2748" s="1" t="s">
        <v>1939</v>
      </c>
      <c r="B2748" s="1" t="s">
        <v>2695</v>
      </c>
      <c r="C2748" s="1" t="s">
        <v>332</v>
      </c>
      <c r="D2748" s="1" t="s">
        <v>229</v>
      </c>
      <c r="E2748" s="1"/>
    </row>
    <row r="2749" spans="1:5" ht="16">
      <c r="A2749" s="1" t="s">
        <v>1939</v>
      </c>
      <c r="B2749" s="1" t="s">
        <v>2696</v>
      </c>
      <c r="C2749" s="1" t="s">
        <v>332</v>
      </c>
      <c r="D2749" s="1" t="s">
        <v>229</v>
      </c>
      <c r="E2749" s="1"/>
    </row>
    <row r="2750" spans="1:5" ht="16">
      <c r="A2750" s="1" t="s">
        <v>1939</v>
      </c>
      <c r="B2750" s="1" t="s">
        <v>2697</v>
      </c>
      <c r="C2750" s="1" t="s">
        <v>332</v>
      </c>
      <c r="D2750" s="1" t="s">
        <v>229</v>
      </c>
      <c r="E2750" s="1"/>
    </row>
    <row r="2751" spans="1:5" ht="16">
      <c r="A2751" s="1" t="s">
        <v>1939</v>
      </c>
      <c r="B2751" s="1" t="s">
        <v>2698</v>
      </c>
      <c r="C2751" s="1" t="s">
        <v>332</v>
      </c>
      <c r="D2751" s="1" t="s">
        <v>229</v>
      </c>
      <c r="E2751" s="1"/>
    </row>
    <row r="2752" spans="1:5" ht="16">
      <c r="A2752" s="1" t="s">
        <v>1939</v>
      </c>
      <c r="B2752" s="1" t="s">
        <v>2699</v>
      </c>
      <c r="C2752" s="1" t="s">
        <v>332</v>
      </c>
      <c r="D2752" s="1" t="s">
        <v>229</v>
      </c>
      <c r="E2752" s="1"/>
    </row>
    <row r="2753" spans="1:5" ht="16">
      <c r="A2753" s="1" t="s">
        <v>1939</v>
      </c>
      <c r="B2753" s="1" t="s">
        <v>2700</v>
      </c>
      <c r="C2753" s="1" t="s">
        <v>332</v>
      </c>
      <c r="D2753" s="1" t="s">
        <v>229</v>
      </c>
      <c r="E2753" s="1"/>
    </row>
    <row r="2754" spans="1:5" ht="16">
      <c r="A2754" s="1" t="s">
        <v>1939</v>
      </c>
      <c r="B2754" s="1" t="s">
        <v>2701</v>
      </c>
      <c r="C2754" s="1" t="s">
        <v>332</v>
      </c>
      <c r="D2754" s="1" t="s">
        <v>229</v>
      </c>
      <c r="E2754" s="1"/>
    </row>
    <row r="2755" spans="1:5" ht="16">
      <c r="A2755" s="1" t="s">
        <v>1939</v>
      </c>
      <c r="B2755" s="1" t="s">
        <v>2702</v>
      </c>
      <c r="C2755" s="1" t="s">
        <v>332</v>
      </c>
      <c r="D2755" s="1" t="s">
        <v>229</v>
      </c>
      <c r="E2755" s="1"/>
    </row>
    <row r="2756" spans="1:5" ht="16">
      <c r="A2756" s="1" t="s">
        <v>1939</v>
      </c>
      <c r="B2756" s="1" t="s">
        <v>2703</v>
      </c>
      <c r="C2756" s="1" t="s">
        <v>332</v>
      </c>
      <c r="D2756" s="1" t="s">
        <v>229</v>
      </c>
      <c r="E2756" s="1"/>
    </row>
    <row r="2757" spans="1:5" ht="16">
      <c r="A2757" s="1" t="s">
        <v>1939</v>
      </c>
      <c r="B2757" s="1" t="s">
        <v>2704</v>
      </c>
      <c r="C2757" s="1" t="s">
        <v>332</v>
      </c>
      <c r="D2757" s="1" t="s">
        <v>229</v>
      </c>
      <c r="E2757" s="1"/>
    </row>
    <row r="2758" spans="1:5" ht="16">
      <c r="A2758" s="1" t="s">
        <v>1939</v>
      </c>
      <c r="B2758" s="1" t="s">
        <v>2705</v>
      </c>
      <c r="C2758" s="1" t="s">
        <v>332</v>
      </c>
      <c r="D2758" s="1" t="s">
        <v>229</v>
      </c>
      <c r="E2758" s="1"/>
    </row>
    <row r="2759" spans="1:5" ht="16">
      <c r="A2759" s="1" t="s">
        <v>1939</v>
      </c>
      <c r="B2759" s="1" t="s">
        <v>2706</v>
      </c>
      <c r="C2759" s="1" t="s">
        <v>332</v>
      </c>
      <c r="D2759" s="1" t="s">
        <v>229</v>
      </c>
      <c r="E2759" s="1"/>
    </row>
    <row r="2760" spans="1:5" ht="16">
      <c r="A2760" s="1" t="s">
        <v>1939</v>
      </c>
      <c r="B2760" s="1" t="s">
        <v>2707</v>
      </c>
      <c r="C2760" s="1" t="s">
        <v>334</v>
      </c>
      <c r="D2760" s="1" t="s">
        <v>229</v>
      </c>
      <c r="E2760" s="1"/>
    </row>
    <row r="2761" spans="1:5" ht="16">
      <c r="A2761" s="1" t="s">
        <v>1939</v>
      </c>
      <c r="B2761" s="1" t="s">
        <v>2708</v>
      </c>
      <c r="C2761" s="1" t="s">
        <v>334</v>
      </c>
      <c r="D2761" s="1" t="s">
        <v>229</v>
      </c>
      <c r="E2761" s="1"/>
    </row>
    <row r="2762" spans="1:5" ht="16">
      <c r="A2762" s="1" t="s">
        <v>1939</v>
      </c>
      <c r="B2762" s="1" t="s">
        <v>2709</v>
      </c>
      <c r="C2762" s="1" t="s">
        <v>334</v>
      </c>
      <c r="D2762" s="1" t="s">
        <v>229</v>
      </c>
      <c r="E2762" s="1"/>
    </row>
    <row r="2763" spans="1:5" ht="16">
      <c r="A2763" s="1" t="s">
        <v>1939</v>
      </c>
      <c r="B2763" s="1" t="s">
        <v>2710</v>
      </c>
      <c r="C2763" s="1" t="s">
        <v>332</v>
      </c>
      <c r="D2763" s="1" t="s">
        <v>229</v>
      </c>
      <c r="E2763" s="1"/>
    </row>
    <row r="2764" spans="1:5" ht="16">
      <c r="A2764" s="1" t="s">
        <v>1939</v>
      </c>
      <c r="B2764" s="1" t="s">
        <v>2711</v>
      </c>
      <c r="C2764" s="1" t="s">
        <v>332</v>
      </c>
      <c r="D2764" s="1" t="s">
        <v>229</v>
      </c>
      <c r="E2764" s="1"/>
    </row>
    <row r="2765" spans="1:5" ht="16">
      <c r="A2765" s="1" t="s">
        <v>1939</v>
      </c>
      <c r="B2765" s="1" t="s">
        <v>2712</v>
      </c>
      <c r="C2765" s="1" t="s">
        <v>332</v>
      </c>
      <c r="D2765" s="1" t="s">
        <v>229</v>
      </c>
      <c r="E2765" s="1"/>
    </row>
    <row r="2766" spans="1:5" ht="16">
      <c r="A2766" s="1" t="s">
        <v>1939</v>
      </c>
      <c r="B2766" s="1" t="s">
        <v>2713</v>
      </c>
      <c r="C2766" s="1" t="s">
        <v>332</v>
      </c>
      <c r="D2766" s="1" t="s">
        <v>229</v>
      </c>
      <c r="E2766" s="1"/>
    </row>
    <row r="2767" spans="1:5" ht="16">
      <c r="A2767" s="1" t="s">
        <v>1939</v>
      </c>
      <c r="B2767" s="1" t="s">
        <v>2714</v>
      </c>
      <c r="C2767" s="1" t="s">
        <v>332</v>
      </c>
      <c r="D2767" s="1" t="s">
        <v>229</v>
      </c>
      <c r="E2767" s="1"/>
    </row>
    <row r="2768" spans="1:5" ht="16">
      <c r="A2768" s="1" t="s">
        <v>1939</v>
      </c>
      <c r="B2768" s="1" t="s">
        <v>2715</v>
      </c>
      <c r="C2768" s="1" t="s">
        <v>332</v>
      </c>
      <c r="D2768" s="1" t="s">
        <v>229</v>
      </c>
      <c r="E2768" s="1"/>
    </row>
    <row r="2769" spans="1:5" ht="16">
      <c r="A2769" s="1" t="s">
        <v>1939</v>
      </c>
      <c r="B2769" s="1" t="s">
        <v>2716</v>
      </c>
      <c r="C2769" s="1" t="s">
        <v>332</v>
      </c>
      <c r="D2769" s="1" t="s">
        <v>229</v>
      </c>
      <c r="E2769" s="1"/>
    </row>
    <row r="2770" spans="1:5" ht="16">
      <c r="A2770" s="1" t="s">
        <v>1939</v>
      </c>
      <c r="B2770" s="1" t="s">
        <v>2717</v>
      </c>
      <c r="C2770" s="1" t="s">
        <v>332</v>
      </c>
      <c r="D2770" s="1" t="s">
        <v>229</v>
      </c>
      <c r="E2770" s="1"/>
    </row>
    <row r="2771" spans="1:5" ht="16">
      <c r="A2771" s="1" t="s">
        <v>1939</v>
      </c>
      <c r="B2771" s="1" t="s">
        <v>2718</v>
      </c>
      <c r="C2771" s="1" t="s">
        <v>332</v>
      </c>
      <c r="D2771" s="1" t="s">
        <v>229</v>
      </c>
      <c r="E2771" s="1"/>
    </row>
    <row r="2772" spans="1:5" ht="16">
      <c r="A2772" s="1" t="s">
        <v>1939</v>
      </c>
      <c r="B2772" s="1" t="s">
        <v>2719</v>
      </c>
      <c r="C2772" s="1" t="s">
        <v>332</v>
      </c>
      <c r="D2772" s="1" t="s">
        <v>229</v>
      </c>
      <c r="E2772" s="1"/>
    </row>
    <row r="2773" spans="1:5" ht="16">
      <c r="A2773" s="1" t="s">
        <v>1939</v>
      </c>
      <c r="B2773" s="1" t="s">
        <v>2720</v>
      </c>
      <c r="C2773" s="1" t="s">
        <v>332</v>
      </c>
      <c r="D2773" s="1" t="s">
        <v>229</v>
      </c>
      <c r="E2773" s="1"/>
    </row>
    <row r="2774" spans="1:5" ht="16">
      <c r="A2774" s="1" t="s">
        <v>1939</v>
      </c>
      <c r="B2774" s="1" t="s">
        <v>2721</v>
      </c>
      <c r="C2774" s="1" t="s">
        <v>332</v>
      </c>
      <c r="D2774" s="1" t="s">
        <v>229</v>
      </c>
      <c r="E2774" s="1"/>
    </row>
    <row r="2775" spans="1:5" ht="16">
      <c r="A2775" s="1" t="s">
        <v>1939</v>
      </c>
      <c r="B2775" s="1" t="s">
        <v>2722</v>
      </c>
      <c r="C2775" s="1" t="s">
        <v>332</v>
      </c>
      <c r="D2775" s="1" t="s">
        <v>229</v>
      </c>
      <c r="E2775" s="1"/>
    </row>
    <row r="2776" spans="1:5" ht="16">
      <c r="A2776" s="1" t="s">
        <v>1939</v>
      </c>
      <c r="B2776" s="1" t="s">
        <v>2723</v>
      </c>
      <c r="C2776" s="1" t="s">
        <v>332</v>
      </c>
      <c r="D2776" s="1" t="s">
        <v>229</v>
      </c>
      <c r="E2776" s="1"/>
    </row>
    <row r="2777" spans="1:5" ht="16">
      <c r="A2777" s="1" t="s">
        <v>1939</v>
      </c>
      <c r="B2777" s="1" t="s">
        <v>2724</v>
      </c>
      <c r="C2777" s="1" t="s">
        <v>332</v>
      </c>
      <c r="D2777" s="1" t="s">
        <v>229</v>
      </c>
      <c r="E2777" s="1"/>
    </row>
    <row r="2778" spans="1:5" ht="16">
      <c r="A2778" s="1" t="s">
        <v>1939</v>
      </c>
      <c r="B2778" s="1" t="s">
        <v>2725</v>
      </c>
      <c r="C2778" s="1" t="s">
        <v>332</v>
      </c>
      <c r="D2778" s="1" t="s">
        <v>229</v>
      </c>
      <c r="E2778" s="1"/>
    </row>
    <row r="2779" spans="1:5" ht="16">
      <c r="A2779" s="1" t="s">
        <v>1939</v>
      </c>
      <c r="B2779" s="1" t="s">
        <v>2726</v>
      </c>
      <c r="C2779" s="1" t="s">
        <v>332</v>
      </c>
      <c r="D2779" s="1" t="s">
        <v>229</v>
      </c>
      <c r="E2779" s="1"/>
    </row>
    <row r="2780" spans="1:5" ht="16">
      <c r="A2780" s="1" t="s">
        <v>1939</v>
      </c>
      <c r="B2780" s="1" t="s">
        <v>2727</v>
      </c>
      <c r="C2780" s="1" t="s">
        <v>332</v>
      </c>
      <c r="D2780" s="1" t="s">
        <v>229</v>
      </c>
      <c r="E2780" s="1"/>
    </row>
    <row r="2781" spans="1:5" ht="16">
      <c r="A2781" s="1" t="s">
        <v>1939</v>
      </c>
      <c r="B2781" s="1" t="s">
        <v>2728</v>
      </c>
      <c r="C2781" s="1" t="s">
        <v>332</v>
      </c>
      <c r="D2781" s="1" t="s">
        <v>229</v>
      </c>
      <c r="E2781" s="1"/>
    </row>
    <row r="2782" spans="1:5" ht="16">
      <c r="A2782" s="1" t="s">
        <v>1939</v>
      </c>
      <c r="B2782" s="1" t="s">
        <v>2729</v>
      </c>
      <c r="C2782" s="1" t="s">
        <v>332</v>
      </c>
      <c r="D2782" s="1" t="s">
        <v>229</v>
      </c>
      <c r="E2782" s="1"/>
    </row>
    <row r="2783" spans="1:5" ht="16">
      <c r="A2783" s="1" t="s">
        <v>1939</v>
      </c>
      <c r="B2783" s="1" t="s">
        <v>2730</v>
      </c>
      <c r="C2783" s="1" t="s">
        <v>332</v>
      </c>
      <c r="D2783" s="1" t="s">
        <v>229</v>
      </c>
      <c r="E2783" s="1"/>
    </row>
    <row r="2784" spans="1:5" ht="16">
      <c r="A2784" s="1" t="s">
        <v>1939</v>
      </c>
      <c r="B2784" s="1" t="s">
        <v>2731</v>
      </c>
      <c r="C2784" s="1" t="s">
        <v>332</v>
      </c>
      <c r="D2784" s="1" t="s">
        <v>229</v>
      </c>
      <c r="E2784" s="1"/>
    </row>
    <row r="2785" spans="1:5" ht="16">
      <c r="A2785" s="1" t="s">
        <v>1939</v>
      </c>
      <c r="B2785" s="1" t="s">
        <v>2732</v>
      </c>
      <c r="C2785" s="1" t="s">
        <v>332</v>
      </c>
      <c r="D2785" s="1" t="s">
        <v>229</v>
      </c>
      <c r="E2785" s="1"/>
    </row>
    <row r="2786" spans="1:5" ht="16">
      <c r="A2786" s="1" t="s">
        <v>1939</v>
      </c>
      <c r="B2786" s="1" t="s">
        <v>2733</v>
      </c>
      <c r="C2786" s="1" t="s">
        <v>332</v>
      </c>
      <c r="D2786" s="1" t="s">
        <v>229</v>
      </c>
      <c r="E2786" s="1"/>
    </row>
    <row r="2787" spans="1:5" ht="16">
      <c r="A2787" s="1" t="s">
        <v>1939</v>
      </c>
      <c r="B2787" s="1" t="s">
        <v>2734</v>
      </c>
      <c r="C2787" s="1" t="s">
        <v>332</v>
      </c>
      <c r="D2787" s="1" t="s">
        <v>229</v>
      </c>
      <c r="E2787" s="1"/>
    </row>
    <row r="2788" spans="1:5" ht="16">
      <c r="A2788" s="1" t="s">
        <v>1939</v>
      </c>
      <c r="B2788" s="1" t="s">
        <v>2735</v>
      </c>
      <c r="C2788" s="1" t="s">
        <v>332</v>
      </c>
      <c r="D2788" s="1" t="s">
        <v>229</v>
      </c>
      <c r="E2788" s="1"/>
    </row>
    <row r="2789" spans="1:5" ht="16">
      <c r="A2789" s="1" t="s">
        <v>1939</v>
      </c>
      <c r="B2789" s="1" t="s">
        <v>2736</v>
      </c>
      <c r="C2789" s="1" t="s">
        <v>332</v>
      </c>
      <c r="D2789" s="1" t="s">
        <v>229</v>
      </c>
      <c r="E2789" s="1"/>
    </row>
    <row r="2790" spans="1:5" ht="16">
      <c r="A2790" s="1" t="s">
        <v>1939</v>
      </c>
      <c r="B2790" s="1" t="s">
        <v>2737</v>
      </c>
      <c r="C2790" s="1" t="s">
        <v>332</v>
      </c>
      <c r="D2790" s="1" t="s">
        <v>229</v>
      </c>
      <c r="E2790" s="1"/>
    </row>
    <row r="2791" spans="1:5" ht="16">
      <c r="A2791" s="1" t="s">
        <v>1939</v>
      </c>
      <c r="B2791" s="1" t="s">
        <v>2738</v>
      </c>
      <c r="C2791" s="1" t="s">
        <v>332</v>
      </c>
      <c r="D2791" s="1" t="s">
        <v>229</v>
      </c>
      <c r="E2791" s="1"/>
    </row>
    <row r="2792" spans="1:5" ht="16">
      <c r="A2792" s="1" t="s">
        <v>1939</v>
      </c>
      <c r="B2792" s="1" t="s">
        <v>2739</v>
      </c>
      <c r="C2792" s="1" t="s">
        <v>332</v>
      </c>
      <c r="D2792" s="1" t="s">
        <v>229</v>
      </c>
      <c r="E2792" s="1"/>
    </row>
    <row r="2793" spans="1:5" ht="16">
      <c r="A2793" s="1" t="s">
        <v>1939</v>
      </c>
      <c r="B2793" s="1" t="s">
        <v>2740</v>
      </c>
      <c r="C2793" s="1" t="s">
        <v>332</v>
      </c>
      <c r="D2793" s="1" t="s">
        <v>229</v>
      </c>
      <c r="E2793" s="1"/>
    </row>
    <row r="2794" spans="1:5" ht="16">
      <c r="A2794" s="1" t="s">
        <v>1939</v>
      </c>
      <c r="B2794" s="1" t="s">
        <v>2741</v>
      </c>
      <c r="C2794" s="1" t="s">
        <v>332</v>
      </c>
      <c r="D2794" s="1" t="s">
        <v>229</v>
      </c>
      <c r="E2794" s="1"/>
    </row>
    <row r="2795" spans="1:5" ht="16">
      <c r="A2795" s="1" t="s">
        <v>1939</v>
      </c>
      <c r="B2795" s="1" t="s">
        <v>2742</v>
      </c>
      <c r="C2795" s="1" t="s">
        <v>332</v>
      </c>
      <c r="D2795" s="1" t="s">
        <v>229</v>
      </c>
      <c r="E2795" s="1"/>
    </row>
    <row r="2796" spans="1:5" ht="16">
      <c r="A2796" s="1" t="s">
        <v>1939</v>
      </c>
      <c r="B2796" s="1" t="s">
        <v>2743</v>
      </c>
      <c r="C2796" s="1" t="s">
        <v>332</v>
      </c>
      <c r="D2796" s="1" t="s">
        <v>229</v>
      </c>
      <c r="E2796" s="1"/>
    </row>
    <row r="2797" spans="1:5" ht="16">
      <c r="A2797" s="1" t="s">
        <v>1939</v>
      </c>
      <c r="B2797" s="1" t="s">
        <v>2744</v>
      </c>
      <c r="C2797" s="1" t="s">
        <v>332</v>
      </c>
      <c r="D2797" s="1" t="s">
        <v>229</v>
      </c>
      <c r="E2797" s="1"/>
    </row>
    <row r="2798" spans="1:5" ht="16">
      <c r="A2798" s="1" t="s">
        <v>1939</v>
      </c>
      <c r="B2798" s="1" t="s">
        <v>2745</v>
      </c>
      <c r="C2798" s="1" t="s">
        <v>332</v>
      </c>
      <c r="D2798" s="1" t="s">
        <v>229</v>
      </c>
      <c r="E2798" s="1"/>
    </row>
    <row r="2799" spans="1:5" ht="16">
      <c r="A2799" s="1" t="s">
        <v>1939</v>
      </c>
      <c r="B2799" s="1" t="s">
        <v>2746</v>
      </c>
      <c r="C2799" s="1" t="s">
        <v>332</v>
      </c>
      <c r="D2799" s="1" t="s">
        <v>229</v>
      </c>
      <c r="E2799" s="1"/>
    </row>
    <row r="2800" spans="1:5" ht="16">
      <c r="A2800" s="1" t="s">
        <v>1939</v>
      </c>
      <c r="B2800" s="1" t="s">
        <v>2747</v>
      </c>
      <c r="C2800" s="1" t="s">
        <v>332</v>
      </c>
      <c r="D2800" s="1" t="s">
        <v>229</v>
      </c>
      <c r="E2800" s="1"/>
    </row>
    <row r="2801" spans="1:5" ht="16">
      <c r="A2801" s="1" t="s">
        <v>1939</v>
      </c>
      <c r="B2801" s="1" t="s">
        <v>2748</v>
      </c>
      <c r="C2801" s="1" t="s">
        <v>332</v>
      </c>
      <c r="D2801" s="1" t="s">
        <v>229</v>
      </c>
      <c r="E2801" s="1"/>
    </row>
    <row r="2802" spans="1:5" ht="16">
      <c r="A2802" s="1" t="s">
        <v>1939</v>
      </c>
      <c r="B2802" s="1" t="s">
        <v>2749</v>
      </c>
      <c r="C2802" s="1" t="s">
        <v>332</v>
      </c>
      <c r="D2802" s="1" t="s">
        <v>229</v>
      </c>
      <c r="E2802" s="1"/>
    </row>
    <row r="2803" spans="1:5" ht="16">
      <c r="A2803" s="1" t="s">
        <v>1939</v>
      </c>
      <c r="B2803" s="1" t="s">
        <v>2750</v>
      </c>
      <c r="C2803" s="1" t="s">
        <v>332</v>
      </c>
      <c r="D2803" s="1" t="s">
        <v>229</v>
      </c>
      <c r="E2803" s="1"/>
    </row>
    <row r="2804" spans="1:5" ht="16">
      <c r="A2804" s="1" t="s">
        <v>1939</v>
      </c>
      <c r="B2804" s="1" t="s">
        <v>2751</v>
      </c>
      <c r="C2804" s="1" t="s">
        <v>332</v>
      </c>
      <c r="D2804" s="1" t="s">
        <v>229</v>
      </c>
      <c r="E2804" s="1"/>
    </row>
    <row r="2805" spans="1:5" ht="16">
      <c r="A2805" s="1" t="s">
        <v>1939</v>
      </c>
      <c r="B2805" s="1" t="s">
        <v>2752</v>
      </c>
      <c r="C2805" s="1" t="s">
        <v>332</v>
      </c>
      <c r="D2805" s="1" t="s">
        <v>229</v>
      </c>
      <c r="E2805" s="1"/>
    </row>
    <row r="2806" spans="1:5" ht="16">
      <c r="A2806" s="1" t="s">
        <v>1939</v>
      </c>
      <c r="B2806" s="1" t="s">
        <v>2753</v>
      </c>
      <c r="C2806" s="1" t="s">
        <v>332</v>
      </c>
      <c r="D2806" s="1" t="s">
        <v>229</v>
      </c>
      <c r="E2806" s="1"/>
    </row>
    <row r="2807" spans="1:5" ht="16">
      <c r="A2807" s="1" t="s">
        <v>1939</v>
      </c>
      <c r="B2807" s="1" t="s">
        <v>2754</v>
      </c>
      <c r="C2807" s="1" t="s">
        <v>332</v>
      </c>
      <c r="D2807" s="1" t="s">
        <v>229</v>
      </c>
      <c r="E2807" s="1"/>
    </row>
    <row r="2808" spans="1:5" ht="16">
      <c r="A2808" s="1" t="s">
        <v>1939</v>
      </c>
      <c r="B2808" s="1" t="s">
        <v>2755</v>
      </c>
      <c r="C2808" s="1" t="s">
        <v>332</v>
      </c>
      <c r="D2808" s="1" t="s">
        <v>229</v>
      </c>
      <c r="E2808" s="1"/>
    </row>
    <row r="2809" spans="1:5" ht="16">
      <c r="A2809" s="1" t="s">
        <v>1939</v>
      </c>
      <c r="B2809" s="1" t="s">
        <v>2756</v>
      </c>
      <c r="C2809" s="1" t="s">
        <v>332</v>
      </c>
      <c r="D2809" s="1" t="s">
        <v>229</v>
      </c>
      <c r="E2809" s="1"/>
    </row>
    <row r="2810" spans="1:5" ht="16">
      <c r="A2810" s="1" t="s">
        <v>1939</v>
      </c>
      <c r="B2810" s="1" t="s">
        <v>2757</v>
      </c>
      <c r="C2810" s="1" t="s">
        <v>332</v>
      </c>
      <c r="D2810" s="1" t="s">
        <v>229</v>
      </c>
      <c r="E2810" s="1"/>
    </row>
    <row r="2811" spans="1:5" ht="16">
      <c r="A2811" s="1" t="s">
        <v>1939</v>
      </c>
      <c r="B2811" s="1" t="s">
        <v>2758</v>
      </c>
      <c r="C2811" s="1" t="s">
        <v>332</v>
      </c>
      <c r="D2811" s="1" t="s">
        <v>229</v>
      </c>
      <c r="E2811" s="1"/>
    </row>
    <row r="2812" spans="1:5" ht="16">
      <c r="A2812" s="1" t="s">
        <v>1939</v>
      </c>
      <c r="B2812" s="1" t="s">
        <v>2759</v>
      </c>
      <c r="C2812" s="1" t="s">
        <v>332</v>
      </c>
      <c r="D2812" s="1" t="s">
        <v>229</v>
      </c>
      <c r="E2812" s="1"/>
    </row>
    <row r="2813" spans="1:5" ht="16">
      <c r="A2813" s="1" t="s">
        <v>1939</v>
      </c>
      <c r="B2813" s="1" t="s">
        <v>2760</v>
      </c>
      <c r="C2813" s="1" t="s">
        <v>332</v>
      </c>
      <c r="D2813" s="1" t="s">
        <v>229</v>
      </c>
      <c r="E2813" s="1"/>
    </row>
    <row r="2814" spans="1:5" ht="16">
      <c r="A2814" s="1" t="s">
        <v>1939</v>
      </c>
      <c r="B2814" s="1" t="s">
        <v>2761</v>
      </c>
      <c r="C2814" s="1" t="s">
        <v>332</v>
      </c>
      <c r="D2814" s="1" t="s">
        <v>229</v>
      </c>
      <c r="E2814" s="1"/>
    </row>
    <row r="2815" spans="1:5" ht="16">
      <c r="A2815" s="1" t="s">
        <v>1939</v>
      </c>
      <c r="B2815" s="1" t="s">
        <v>2762</v>
      </c>
      <c r="C2815" s="1" t="s">
        <v>332</v>
      </c>
      <c r="D2815" s="1" t="s">
        <v>229</v>
      </c>
      <c r="E2815" s="1"/>
    </row>
    <row r="2816" spans="1:5" ht="16">
      <c r="A2816" s="1" t="s">
        <v>1939</v>
      </c>
      <c r="B2816" s="1" t="s">
        <v>2763</v>
      </c>
      <c r="C2816" s="1" t="s">
        <v>332</v>
      </c>
      <c r="D2816" s="1" t="s">
        <v>229</v>
      </c>
      <c r="E2816" s="1"/>
    </row>
    <row r="2817" spans="1:5" ht="16">
      <c r="A2817" s="1" t="s">
        <v>1939</v>
      </c>
      <c r="B2817" s="1" t="s">
        <v>2764</v>
      </c>
      <c r="C2817" s="1" t="s">
        <v>332</v>
      </c>
      <c r="D2817" s="1" t="s">
        <v>229</v>
      </c>
      <c r="E2817" s="1"/>
    </row>
    <row r="2818" spans="1:5" ht="16">
      <c r="A2818" s="1" t="s">
        <v>1939</v>
      </c>
      <c r="B2818" s="1" t="s">
        <v>2765</v>
      </c>
      <c r="C2818" s="1" t="s">
        <v>332</v>
      </c>
      <c r="D2818" s="1" t="s">
        <v>229</v>
      </c>
      <c r="E2818" s="1"/>
    </row>
    <row r="2819" spans="1:5" ht="16">
      <c r="A2819" s="1" t="s">
        <v>1939</v>
      </c>
      <c r="B2819" s="1" t="s">
        <v>2766</v>
      </c>
      <c r="C2819" s="1" t="s">
        <v>332</v>
      </c>
      <c r="D2819" s="1" t="s">
        <v>229</v>
      </c>
      <c r="E2819" s="1"/>
    </row>
    <row r="2820" spans="1:5" ht="16">
      <c r="A2820" s="1" t="s">
        <v>1939</v>
      </c>
      <c r="B2820" s="1" t="s">
        <v>2767</v>
      </c>
      <c r="C2820" s="1" t="s">
        <v>332</v>
      </c>
      <c r="D2820" s="1" t="s">
        <v>229</v>
      </c>
      <c r="E2820" s="1"/>
    </row>
    <row r="2821" spans="1:5" ht="16">
      <c r="A2821" s="1" t="s">
        <v>1939</v>
      </c>
      <c r="B2821" s="1" t="s">
        <v>2768</v>
      </c>
      <c r="C2821" s="1" t="s">
        <v>332</v>
      </c>
      <c r="D2821" s="1" t="s">
        <v>229</v>
      </c>
      <c r="E2821" s="1"/>
    </row>
    <row r="2822" spans="1:5" ht="16">
      <c r="A2822" s="1" t="s">
        <v>1939</v>
      </c>
      <c r="B2822" s="1" t="s">
        <v>2769</v>
      </c>
      <c r="C2822" s="1" t="s">
        <v>332</v>
      </c>
      <c r="D2822" s="1" t="s">
        <v>229</v>
      </c>
      <c r="E2822" s="1"/>
    </row>
    <row r="2823" spans="1:5" ht="16">
      <c r="A2823" s="1" t="s">
        <v>1939</v>
      </c>
      <c r="B2823" s="1" t="s">
        <v>2770</v>
      </c>
      <c r="C2823" s="1" t="s">
        <v>332</v>
      </c>
      <c r="D2823" s="1" t="s">
        <v>229</v>
      </c>
      <c r="E2823" s="1"/>
    </row>
    <row r="2824" spans="1:5" ht="16">
      <c r="A2824" s="1" t="s">
        <v>1939</v>
      </c>
      <c r="B2824" s="1" t="s">
        <v>2771</v>
      </c>
      <c r="C2824" s="1" t="s">
        <v>332</v>
      </c>
      <c r="D2824" s="1" t="s">
        <v>229</v>
      </c>
      <c r="E2824" s="1"/>
    </row>
    <row r="2825" spans="1:5" ht="16">
      <c r="A2825" s="1" t="s">
        <v>1939</v>
      </c>
      <c r="B2825" s="1" t="s">
        <v>2772</v>
      </c>
      <c r="C2825" s="1" t="s">
        <v>332</v>
      </c>
      <c r="D2825" s="1" t="s">
        <v>229</v>
      </c>
      <c r="E2825" s="1"/>
    </row>
    <row r="2826" spans="1:5" ht="16">
      <c r="A2826" s="1" t="s">
        <v>1939</v>
      </c>
      <c r="B2826" s="1" t="s">
        <v>2773</v>
      </c>
      <c r="C2826" s="1" t="s">
        <v>334</v>
      </c>
      <c r="D2826" s="1" t="s">
        <v>229</v>
      </c>
      <c r="E2826" s="1"/>
    </row>
    <row r="2827" spans="1:5" ht="16">
      <c r="A2827" s="1" t="s">
        <v>1939</v>
      </c>
      <c r="B2827" s="1" t="s">
        <v>2774</v>
      </c>
      <c r="C2827" s="1" t="s">
        <v>334</v>
      </c>
      <c r="D2827" s="1" t="s">
        <v>229</v>
      </c>
      <c r="E2827" s="1"/>
    </row>
    <row r="2828" spans="1:5" ht="16">
      <c r="A2828" s="1" t="s">
        <v>1939</v>
      </c>
      <c r="B2828" s="1" t="s">
        <v>2775</v>
      </c>
      <c r="C2828" s="1" t="s">
        <v>332</v>
      </c>
      <c r="D2828" s="1" t="s">
        <v>229</v>
      </c>
      <c r="E2828" s="1"/>
    </row>
    <row r="2829" spans="1:5" ht="16">
      <c r="A2829" s="1" t="s">
        <v>1939</v>
      </c>
      <c r="B2829" s="1" t="s">
        <v>2776</v>
      </c>
      <c r="C2829" s="1" t="s">
        <v>332</v>
      </c>
      <c r="D2829" s="1" t="s">
        <v>229</v>
      </c>
      <c r="E2829" s="1"/>
    </row>
    <row r="2830" spans="1:5" ht="16">
      <c r="A2830" s="1" t="s">
        <v>1939</v>
      </c>
      <c r="B2830" s="1" t="s">
        <v>2777</v>
      </c>
      <c r="C2830" s="1" t="s">
        <v>332</v>
      </c>
      <c r="D2830" s="1" t="s">
        <v>229</v>
      </c>
      <c r="E2830" s="1"/>
    </row>
    <row r="2831" spans="1:5" ht="16">
      <c r="A2831" s="1" t="s">
        <v>1939</v>
      </c>
      <c r="B2831" s="1" t="s">
        <v>2778</v>
      </c>
      <c r="C2831" s="1" t="s">
        <v>332</v>
      </c>
      <c r="D2831" s="1" t="s">
        <v>229</v>
      </c>
      <c r="E2831" s="1"/>
    </row>
    <row r="2832" spans="1:5" ht="16">
      <c r="A2832" s="1" t="s">
        <v>1939</v>
      </c>
      <c r="B2832" s="1" t="s">
        <v>2779</v>
      </c>
      <c r="C2832" s="1" t="s">
        <v>332</v>
      </c>
      <c r="D2832" s="1" t="s">
        <v>229</v>
      </c>
      <c r="E2832" s="1"/>
    </row>
    <row r="2833" spans="1:5" ht="16">
      <c r="A2833" s="1" t="s">
        <v>1939</v>
      </c>
      <c r="B2833" s="1" t="s">
        <v>2780</v>
      </c>
      <c r="C2833" s="1" t="s">
        <v>332</v>
      </c>
      <c r="D2833" s="1" t="s">
        <v>229</v>
      </c>
      <c r="E2833" s="1"/>
    </row>
    <row r="2834" spans="1:5" ht="16">
      <c r="A2834" s="1" t="s">
        <v>1939</v>
      </c>
      <c r="B2834" s="1" t="s">
        <v>2781</v>
      </c>
      <c r="C2834" s="1" t="s">
        <v>332</v>
      </c>
      <c r="D2834" s="1" t="s">
        <v>229</v>
      </c>
      <c r="E2834" s="1"/>
    </row>
    <row r="2835" spans="1:5" ht="16">
      <c r="A2835" s="1" t="s">
        <v>1939</v>
      </c>
      <c r="B2835" s="1" t="s">
        <v>2782</v>
      </c>
      <c r="C2835" s="1" t="s">
        <v>332</v>
      </c>
      <c r="D2835" s="1" t="s">
        <v>229</v>
      </c>
      <c r="E2835" s="1"/>
    </row>
    <row r="2836" spans="1:5" ht="16">
      <c r="A2836" s="1" t="s">
        <v>1939</v>
      </c>
      <c r="B2836" s="1" t="s">
        <v>2783</v>
      </c>
      <c r="C2836" s="1" t="s">
        <v>332</v>
      </c>
      <c r="D2836" s="1" t="s">
        <v>229</v>
      </c>
      <c r="E2836" s="1"/>
    </row>
    <row r="2837" spans="1:5" ht="16">
      <c r="A2837" s="1" t="s">
        <v>1939</v>
      </c>
      <c r="B2837" s="1" t="s">
        <v>2784</v>
      </c>
      <c r="C2837" s="1" t="s">
        <v>332</v>
      </c>
      <c r="D2837" s="1" t="s">
        <v>229</v>
      </c>
      <c r="E2837" s="1"/>
    </row>
    <row r="2838" spans="1:5" ht="16">
      <c r="A2838" s="1" t="s">
        <v>1939</v>
      </c>
      <c r="B2838" s="1" t="s">
        <v>2785</v>
      </c>
      <c r="C2838" s="1" t="s">
        <v>332</v>
      </c>
      <c r="D2838" s="1" t="s">
        <v>229</v>
      </c>
      <c r="E2838" s="1"/>
    </row>
    <row r="2839" spans="1:5" ht="16">
      <c r="A2839" s="1" t="s">
        <v>1939</v>
      </c>
      <c r="B2839" s="1" t="s">
        <v>2786</v>
      </c>
      <c r="C2839" s="1" t="s">
        <v>332</v>
      </c>
      <c r="D2839" s="1" t="s">
        <v>229</v>
      </c>
      <c r="E2839" s="1"/>
    </row>
    <row r="2840" spans="1:5" ht="16">
      <c r="A2840" s="1" t="s">
        <v>1939</v>
      </c>
      <c r="B2840" s="1" t="s">
        <v>2647</v>
      </c>
      <c r="C2840" s="1" t="s">
        <v>332</v>
      </c>
      <c r="D2840" s="1" t="s">
        <v>229</v>
      </c>
      <c r="E2840" s="1"/>
    </row>
    <row r="2841" spans="1:5" ht="16">
      <c r="A2841" s="1" t="s">
        <v>1939</v>
      </c>
      <c r="B2841" s="1" t="s">
        <v>2787</v>
      </c>
      <c r="C2841" s="1" t="s">
        <v>332</v>
      </c>
      <c r="D2841" s="1" t="s">
        <v>229</v>
      </c>
      <c r="E2841" s="1"/>
    </row>
    <row r="2842" spans="1:5" ht="16">
      <c r="A2842" s="1" t="s">
        <v>1939</v>
      </c>
      <c r="B2842" s="1" t="s">
        <v>2788</v>
      </c>
      <c r="C2842" s="1" t="s">
        <v>332</v>
      </c>
      <c r="D2842" s="1" t="s">
        <v>229</v>
      </c>
      <c r="E2842" s="1"/>
    </row>
    <row r="2843" spans="1:5" ht="16">
      <c r="A2843" s="1" t="s">
        <v>1939</v>
      </c>
      <c r="B2843" s="1" t="s">
        <v>2789</v>
      </c>
      <c r="C2843" s="1" t="s">
        <v>332</v>
      </c>
      <c r="D2843" s="1" t="s">
        <v>229</v>
      </c>
      <c r="E2843" s="1"/>
    </row>
    <row r="2844" spans="1:5" ht="16">
      <c r="A2844" s="1" t="s">
        <v>1939</v>
      </c>
      <c r="B2844" s="1" t="s">
        <v>2790</v>
      </c>
      <c r="C2844" s="1" t="s">
        <v>332</v>
      </c>
      <c r="D2844" s="1" t="s">
        <v>229</v>
      </c>
      <c r="E2844" s="1"/>
    </row>
    <row r="2845" spans="1:5" ht="16">
      <c r="A2845" s="1" t="s">
        <v>1939</v>
      </c>
      <c r="B2845" s="1" t="s">
        <v>2791</v>
      </c>
      <c r="C2845" s="1" t="s">
        <v>332</v>
      </c>
      <c r="D2845" s="1" t="s">
        <v>229</v>
      </c>
      <c r="E2845" s="1"/>
    </row>
    <row r="2846" spans="1:5" ht="16">
      <c r="A2846" s="1" t="s">
        <v>1939</v>
      </c>
      <c r="B2846" s="1" t="s">
        <v>2792</v>
      </c>
      <c r="C2846" s="1" t="s">
        <v>332</v>
      </c>
      <c r="D2846" s="1" t="s">
        <v>229</v>
      </c>
      <c r="E2846" s="1"/>
    </row>
    <row r="2847" spans="1:5" ht="16">
      <c r="A2847" s="1" t="s">
        <v>1939</v>
      </c>
      <c r="B2847" s="1" t="s">
        <v>2793</v>
      </c>
      <c r="C2847" s="1" t="s">
        <v>332</v>
      </c>
      <c r="D2847" s="1" t="s">
        <v>229</v>
      </c>
      <c r="E2847" s="1"/>
    </row>
    <row r="2848" spans="1:5" ht="16">
      <c r="A2848" s="1" t="s">
        <v>1939</v>
      </c>
      <c r="B2848" s="1" t="s">
        <v>2794</v>
      </c>
      <c r="C2848" s="1" t="s">
        <v>332</v>
      </c>
      <c r="D2848" s="1" t="s">
        <v>229</v>
      </c>
      <c r="E2848" s="1"/>
    </row>
    <row r="2849" spans="1:5" ht="16">
      <c r="A2849" s="1" t="s">
        <v>1939</v>
      </c>
      <c r="B2849" s="1" t="s">
        <v>2795</v>
      </c>
      <c r="C2849" s="1" t="s">
        <v>332</v>
      </c>
      <c r="D2849" s="1" t="s">
        <v>229</v>
      </c>
      <c r="E2849" s="1"/>
    </row>
    <row r="2850" spans="1:5" ht="16">
      <c r="A2850" s="1" t="s">
        <v>1939</v>
      </c>
      <c r="B2850" s="1" t="s">
        <v>2796</v>
      </c>
      <c r="C2850" s="1" t="s">
        <v>332</v>
      </c>
      <c r="D2850" s="1" t="s">
        <v>229</v>
      </c>
      <c r="E2850" s="1"/>
    </row>
    <row r="2851" spans="1:5" ht="16">
      <c r="A2851" s="1" t="s">
        <v>1939</v>
      </c>
      <c r="B2851" s="1" t="s">
        <v>2797</v>
      </c>
      <c r="C2851" s="1" t="s">
        <v>332</v>
      </c>
      <c r="D2851" s="1" t="s">
        <v>229</v>
      </c>
      <c r="E2851" s="1"/>
    </row>
    <row r="2852" spans="1:5" ht="16">
      <c r="A2852" s="1" t="s">
        <v>1939</v>
      </c>
      <c r="B2852" s="1" t="s">
        <v>2798</v>
      </c>
      <c r="C2852" s="1" t="s">
        <v>364</v>
      </c>
      <c r="D2852" s="1" t="s">
        <v>229</v>
      </c>
      <c r="E2852" s="1"/>
    </row>
    <row r="2853" spans="1:5" ht="16">
      <c r="A2853" s="1" t="s">
        <v>1939</v>
      </c>
      <c r="B2853" s="1" t="s">
        <v>2799</v>
      </c>
      <c r="C2853" s="1" t="s">
        <v>364</v>
      </c>
      <c r="D2853" s="1" t="s">
        <v>229</v>
      </c>
      <c r="E2853" s="1"/>
    </row>
    <row r="2854" spans="1:5" ht="16">
      <c r="A2854" s="1" t="s">
        <v>1939</v>
      </c>
      <c r="B2854" s="1" t="s">
        <v>2800</v>
      </c>
      <c r="C2854" s="1" t="s">
        <v>334</v>
      </c>
      <c r="D2854" s="1" t="s">
        <v>229</v>
      </c>
      <c r="E2854" s="1"/>
    </row>
    <row r="2855" spans="1:5" ht="16">
      <c r="A2855" s="1" t="s">
        <v>1939</v>
      </c>
      <c r="B2855" s="1" t="s">
        <v>2801</v>
      </c>
      <c r="C2855" s="1" t="s">
        <v>332</v>
      </c>
      <c r="D2855" s="1" t="s">
        <v>229</v>
      </c>
      <c r="E2855" s="1"/>
    </row>
    <row r="2856" spans="1:5" ht="16">
      <c r="A2856" s="1" t="s">
        <v>1939</v>
      </c>
      <c r="B2856" s="1" t="s">
        <v>2802</v>
      </c>
      <c r="C2856" s="1" t="s">
        <v>332</v>
      </c>
      <c r="D2856" s="1" t="s">
        <v>229</v>
      </c>
      <c r="E2856" s="1"/>
    </row>
    <row r="2857" spans="1:5" ht="16">
      <c r="A2857" s="1" t="s">
        <v>1939</v>
      </c>
      <c r="B2857" s="1" t="s">
        <v>2803</v>
      </c>
      <c r="C2857" s="1" t="s">
        <v>332</v>
      </c>
      <c r="D2857" s="1" t="s">
        <v>229</v>
      </c>
      <c r="E2857" s="1"/>
    </row>
    <row r="2858" spans="1:5" ht="16">
      <c r="A2858" s="1" t="s">
        <v>1939</v>
      </c>
      <c r="B2858" s="1" t="s">
        <v>2804</v>
      </c>
      <c r="C2858" s="1" t="s">
        <v>332</v>
      </c>
      <c r="D2858" s="1" t="s">
        <v>229</v>
      </c>
      <c r="E2858" s="1"/>
    </row>
    <row r="2859" spans="1:5" ht="16">
      <c r="A2859" s="1" t="s">
        <v>1939</v>
      </c>
      <c r="B2859" s="1" t="s">
        <v>2805</v>
      </c>
      <c r="C2859" s="1" t="s">
        <v>332</v>
      </c>
      <c r="D2859" s="1" t="s">
        <v>229</v>
      </c>
      <c r="E2859" s="1"/>
    </row>
    <row r="2860" spans="1:5" ht="16">
      <c r="A2860" s="1" t="s">
        <v>1939</v>
      </c>
      <c r="B2860" s="1" t="s">
        <v>2806</v>
      </c>
      <c r="C2860" s="1" t="s">
        <v>332</v>
      </c>
      <c r="D2860" s="1" t="s">
        <v>229</v>
      </c>
      <c r="E2860" s="1"/>
    </row>
    <row r="2861" spans="1:5" ht="16">
      <c r="A2861" s="1" t="s">
        <v>1939</v>
      </c>
      <c r="B2861" s="1" t="s">
        <v>2807</v>
      </c>
      <c r="C2861" s="1" t="s">
        <v>332</v>
      </c>
      <c r="D2861" s="1" t="s">
        <v>229</v>
      </c>
      <c r="E2861" s="1"/>
    </row>
    <row r="2862" spans="1:5" ht="16">
      <c r="A2862" s="1" t="s">
        <v>1939</v>
      </c>
      <c r="B2862" s="1" t="s">
        <v>2808</v>
      </c>
      <c r="C2862" s="1" t="s">
        <v>332</v>
      </c>
      <c r="D2862" s="1" t="s">
        <v>229</v>
      </c>
      <c r="E2862" s="1"/>
    </row>
    <row r="2863" spans="1:5" ht="16">
      <c r="A2863" s="1" t="s">
        <v>1939</v>
      </c>
      <c r="B2863" s="1" t="s">
        <v>2809</v>
      </c>
      <c r="C2863" s="1" t="s">
        <v>334</v>
      </c>
      <c r="D2863" s="1" t="s">
        <v>229</v>
      </c>
      <c r="E2863" s="1"/>
    </row>
    <row r="2864" spans="1:5" ht="16">
      <c r="A2864" s="1" t="s">
        <v>1939</v>
      </c>
      <c r="B2864" s="1" t="s">
        <v>2810</v>
      </c>
      <c r="C2864" s="1" t="s">
        <v>332</v>
      </c>
      <c r="D2864" s="1" t="s">
        <v>229</v>
      </c>
      <c r="E2864" s="1"/>
    </row>
    <row r="2865" spans="1:5" ht="16">
      <c r="A2865" s="1" t="s">
        <v>1939</v>
      </c>
      <c r="B2865" s="1" t="s">
        <v>2811</v>
      </c>
      <c r="C2865" s="1" t="s">
        <v>332</v>
      </c>
      <c r="D2865" s="1" t="s">
        <v>229</v>
      </c>
      <c r="E2865" s="1"/>
    </row>
    <row r="2866" spans="1:5" ht="16">
      <c r="A2866" s="1" t="s">
        <v>1939</v>
      </c>
      <c r="B2866" s="1" t="s">
        <v>2812</v>
      </c>
      <c r="C2866" s="1" t="s">
        <v>332</v>
      </c>
      <c r="D2866" s="1" t="s">
        <v>229</v>
      </c>
      <c r="E2866" s="1"/>
    </row>
    <row r="2867" spans="1:5" ht="16">
      <c r="A2867" s="1" t="s">
        <v>1939</v>
      </c>
      <c r="B2867" s="1" t="s">
        <v>2813</v>
      </c>
      <c r="C2867" s="1" t="s">
        <v>364</v>
      </c>
      <c r="D2867" s="1" t="s">
        <v>229</v>
      </c>
      <c r="E2867" s="1"/>
    </row>
    <row r="2868" spans="1:5" ht="16">
      <c r="A2868" s="1" t="s">
        <v>1939</v>
      </c>
      <c r="B2868" s="1" t="s">
        <v>2814</v>
      </c>
      <c r="C2868" s="1" t="s">
        <v>265</v>
      </c>
      <c r="D2868" s="1" t="s">
        <v>229</v>
      </c>
      <c r="E2868" s="1"/>
    </row>
    <row r="2869" spans="1:5" ht="16">
      <c r="A2869" s="1" t="s">
        <v>1939</v>
      </c>
      <c r="B2869" s="1" t="s">
        <v>2815</v>
      </c>
      <c r="C2869" s="1" t="s">
        <v>334</v>
      </c>
      <c r="D2869" s="1" t="s">
        <v>355</v>
      </c>
      <c r="E2869" s="1"/>
    </row>
    <row r="2870" spans="1:5" ht="16">
      <c r="A2870" s="1" t="s">
        <v>1939</v>
      </c>
      <c r="B2870" s="1" t="s">
        <v>2816</v>
      </c>
      <c r="C2870" s="1" t="s">
        <v>332</v>
      </c>
      <c r="D2870" s="1" t="s">
        <v>229</v>
      </c>
      <c r="E2870" s="1"/>
    </row>
    <row r="2871" spans="1:5" ht="16">
      <c r="A2871" s="1" t="s">
        <v>1939</v>
      </c>
      <c r="B2871" s="1" t="s">
        <v>2817</v>
      </c>
      <c r="C2871" s="1" t="s">
        <v>334</v>
      </c>
      <c r="D2871" s="1" t="s">
        <v>355</v>
      </c>
      <c r="E2871" s="1"/>
    </row>
    <row r="2872" spans="1:5" ht="16">
      <c r="A2872" s="1" t="s">
        <v>1939</v>
      </c>
      <c r="B2872" s="1" t="s">
        <v>2818</v>
      </c>
      <c r="C2872" s="1" t="s">
        <v>334</v>
      </c>
      <c r="D2872" s="1" t="s">
        <v>355</v>
      </c>
      <c r="E2872" s="1"/>
    </row>
    <row r="2873" spans="1:5" ht="16">
      <c r="A2873" s="1" t="s">
        <v>1939</v>
      </c>
      <c r="B2873" s="1" t="s">
        <v>2819</v>
      </c>
      <c r="C2873" s="1" t="s">
        <v>332</v>
      </c>
      <c r="D2873" s="1" t="s">
        <v>229</v>
      </c>
      <c r="E2873" s="1"/>
    </row>
    <row r="2874" spans="1:5" ht="16">
      <c r="A2874" s="1" t="s">
        <v>1939</v>
      </c>
      <c r="B2874" s="1" t="s">
        <v>2820</v>
      </c>
      <c r="C2874" s="1" t="s">
        <v>332</v>
      </c>
      <c r="D2874" s="1" t="s">
        <v>229</v>
      </c>
      <c r="E2874" s="1"/>
    </row>
    <row r="2875" spans="1:5" ht="16">
      <c r="A2875" s="1" t="s">
        <v>1939</v>
      </c>
      <c r="B2875" s="1" t="s">
        <v>2821</v>
      </c>
      <c r="C2875" s="1" t="s">
        <v>332</v>
      </c>
      <c r="D2875" s="1" t="s">
        <v>229</v>
      </c>
      <c r="E2875" s="1"/>
    </row>
    <row r="2876" spans="1:5" ht="16">
      <c r="A2876" s="1" t="s">
        <v>1939</v>
      </c>
      <c r="B2876" s="1" t="s">
        <v>2822</v>
      </c>
      <c r="C2876" s="1" t="s">
        <v>332</v>
      </c>
      <c r="D2876" s="1" t="s">
        <v>229</v>
      </c>
      <c r="E2876" s="1"/>
    </row>
    <row r="2877" spans="1:5" ht="16">
      <c r="A2877" s="1" t="s">
        <v>1939</v>
      </c>
      <c r="B2877" s="1" t="s">
        <v>2823</v>
      </c>
      <c r="C2877" s="1" t="s">
        <v>332</v>
      </c>
      <c r="D2877" s="1" t="s">
        <v>229</v>
      </c>
      <c r="E2877" s="1"/>
    </row>
    <row r="2878" spans="1:5" ht="16">
      <c r="A2878" s="1" t="s">
        <v>1939</v>
      </c>
      <c r="B2878" s="1" t="s">
        <v>2824</v>
      </c>
      <c r="C2878" s="1" t="s">
        <v>332</v>
      </c>
      <c r="D2878" s="1" t="s">
        <v>229</v>
      </c>
      <c r="E2878" s="1"/>
    </row>
    <row r="2879" spans="1:5" ht="16">
      <c r="A2879" s="1" t="s">
        <v>1939</v>
      </c>
      <c r="B2879" s="1" t="s">
        <v>2825</v>
      </c>
      <c r="C2879" s="1" t="s">
        <v>334</v>
      </c>
      <c r="D2879" s="1" t="s">
        <v>229</v>
      </c>
      <c r="E2879" s="1"/>
    </row>
    <row r="2880" spans="1:5" ht="16">
      <c r="A2880" s="1" t="s">
        <v>1939</v>
      </c>
      <c r="B2880" s="1" t="s">
        <v>2826</v>
      </c>
      <c r="C2880" s="1" t="s">
        <v>263</v>
      </c>
      <c r="D2880" s="1" t="s">
        <v>229</v>
      </c>
      <c r="E2880" s="1"/>
    </row>
    <row r="2881" spans="1:5" ht="16">
      <c r="A2881" s="1" t="s">
        <v>1939</v>
      </c>
      <c r="B2881" s="1" t="s">
        <v>2827</v>
      </c>
      <c r="C2881" s="1" t="s">
        <v>332</v>
      </c>
      <c r="D2881" s="1" t="s">
        <v>229</v>
      </c>
      <c r="E2881" s="1"/>
    </row>
    <row r="2882" spans="1:5" ht="16">
      <c r="A2882" s="1" t="s">
        <v>1939</v>
      </c>
      <c r="B2882" s="1" t="s">
        <v>2828</v>
      </c>
      <c r="C2882" s="1" t="s">
        <v>332</v>
      </c>
      <c r="D2882" s="1" t="s">
        <v>229</v>
      </c>
      <c r="E2882" s="1"/>
    </row>
    <row r="2883" spans="1:5" ht="16">
      <c r="A2883" s="1" t="s">
        <v>1939</v>
      </c>
      <c r="B2883" s="1" t="s">
        <v>2829</v>
      </c>
      <c r="C2883" s="1" t="s">
        <v>332</v>
      </c>
      <c r="D2883" s="1" t="s">
        <v>229</v>
      </c>
      <c r="E2883" s="1"/>
    </row>
    <row r="2884" spans="1:5" ht="16">
      <c r="A2884" s="1" t="s">
        <v>1939</v>
      </c>
      <c r="B2884" s="1" t="s">
        <v>2830</v>
      </c>
      <c r="C2884" s="1" t="s">
        <v>332</v>
      </c>
      <c r="D2884" s="1" t="s">
        <v>229</v>
      </c>
      <c r="E2884" s="1"/>
    </row>
    <row r="2885" spans="1:5" ht="16">
      <c r="A2885" s="1" t="s">
        <v>1939</v>
      </c>
      <c r="B2885" s="1" t="s">
        <v>2831</v>
      </c>
      <c r="C2885" s="1" t="s">
        <v>332</v>
      </c>
      <c r="D2885" s="1" t="s">
        <v>229</v>
      </c>
      <c r="E2885" s="1"/>
    </row>
    <row r="2886" spans="1:5" ht="16">
      <c r="A2886" s="1" t="s">
        <v>1939</v>
      </c>
      <c r="B2886" s="1" t="s">
        <v>2832</v>
      </c>
      <c r="C2886" s="1" t="s">
        <v>332</v>
      </c>
      <c r="D2886" s="1" t="s">
        <v>229</v>
      </c>
      <c r="E2886" s="1"/>
    </row>
    <row r="2887" spans="1:5" ht="16">
      <c r="A2887" s="1" t="s">
        <v>1939</v>
      </c>
      <c r="B2887" s="1" t="s">
        <v>2833</v>
      </c>
      <c r="C2887" s="1" t="s">
        <v>332</v>
      </c>
      <c r="D2887" s="1" t="s">
        <v>229</v>
      </c>
      <c r="E2887" s="1"/>
    </row>
    <row r="2888" spans="1:5" ht="16">
      <c r="A2888" s="1" t="s">
        <v>1939</v>
      </c>
      <c r="B2888" s="1" t="s">
        <v>2834</v>
      </c>
      <c r="C2888" s="1" t="s">
        <v>332</v>
      </c>
      <c r="D2888" s="1" t="s">
        <v>229</v>
      </c>
      <c r="E2888" s="1"/>
    </row>
    <row r="2889" spans="1:5" ht="16">
      <c r="A2889" s="1" t="s">
        <v>1939</v>
      </c>
      <c r="B2889" s="1" t="s">
        <v>2835</v>
      </c>
      <c r="C2889" s="1" t="s">
        <v>364</v>
      </c>
      <c r="D2889" s="1" t="s">
        <v>229</v>
      </c>
      <c r="E2889" s="1"/>
    </row>
    <row r="2890" spans="1:5" ht="16">
      <c r="A2890" s="1" t="s">
        <v>1939</v>
      </c>
      <c r="B2890" s="1" t="s">
        <v>2836</v>
      </c>
      <c r="C2890" s="1" t="s">
        <v>332</v>
      </c>
      <c r="D2890" s="1" t="s">
        <v>229</v>
      </c>
      <c r="E2890" s="1"/>
    </row>
    <row r="2891" spans="1:5" ht="16">
      <c r="A2891" s="1" t="s">
        <v>1939</v>
      </c>
      <c r="B2891" s="1" t="s">
        <v>2837</v>
      </c>
      <c r="C2891" s="1" t="s">
        <v>332</v>
      </c>
      <c r="D2891" s="1" t="s">
        <v>355</v>
      </c>
      <c r="E2891" s="1"/>
    </row>
    <row r="2892" spans="1:5" ht="16">
      <c r="A2892" s="1" t="s">
        <v>1939</v>
      </c>
      <c r="B2892" s="1" t="s">
        <v>2838</v>
      </c>
      <c r="C2892" s="1" t="s">
        <v>334</v>
      </c>
      <c r="D2892" s="1" t="s">
        <v>229</v>
      </c>
      <c r="E2892" s="1"/>
    </row>
    <row r="2893" spans="1:5" ht="16">
      <c r="A2893" s="1" t="s">
        <v>1939</v>
      </c>
      <c r="B2893" s="1" t="s">
        <v>2839</v>
      </c>
      <c r="C2893" s="1" t="s">
        <v>332</v>
      </c>
      <c r="D2893" s="1" t="s">
        <v>229</v>
      </c>
      <c r="E2893" s="1"/>
    </row>
    <row r="2894" spans="1:5" ht="16">
      <c r="A2894" s="1" t="s">
        <v>1939</v>
      </c>
      <c r="B2894" s="1" t="s">
        <v>2840</v>
      </c>
      <c r="C2894" s="1" t="s">
        <v>332</v>
      </c>
      <c r="D2894" s="1" t="s">
        <v>229</v>
      </c>
      <c r="E2894" s="1"/>
    </row>
    <row r="2895" spans="1:5" ht="16">
      <c r="A2895" s="1" t="s">
        <v>1939</v>
      </c>
      <c r="B2895" s="1" t="s">
        <v>2841</v>
      </c>
      <c r="C2895" s="1" t="s">
        <v>332</v>
      </c>
      <c r="D2895" s="1" t="s">
        <v>229</v>
      </c>
      <c r="E2895" s="1"/>
    </row>
    <row r="2896" spans="1:5" ht="16">
      <c r="A2896" s="1" t="s">
        <v>1939</v>
      </c>
      <c r="B2896" s="1" t="s">
        <v>2842</v>
      </c>
      <c r="C2896" s="1" t="s">
        <v>332</v>
      </c>
      <c r="D2896" s="1" t="s">
        <v>229</v>
      </c>
      <c r="E2896" s="1"/>
    </row>
    <row r="2897" spans="1:5" ht="16">
      <c r="A2897" s="1" t="s">
        <v>1939</v>
      </c>
      <c r="B2897" s="1" t="s">
        <v>2843</v>
      </c>
      <c r="C2897" s="1" t="s">
        <v>332</v>
      </c>
      <c r="D2897" s="1" t="s">
        <v>229</v>
      </c>
      <c r="E2897" s="1"/>
    </row>
    <row r="2898" spans="1:5" ht="16">
      <c r="A2898" s="1" t="s">
        <v>1939</v>
      </c>
      <c r="B2898" s="1" t="s">
        <v>2844</v>
      </c>
      <c r="C2898" s="1" t="s">
        <v>332</v>
      </c>
      <c r="D2898" s="1" t="s">
        <v>229</v>
      </c>
      <c r="E2898" s="1"/>
    </row>
    <row r="2899" spans="1:5" ht="16">
      <c r="A2899" s="1" t="s">
        <v>1939</v>
      </c>
      <c r="B2899" s="1" t="s">
        <v>2845</v>
      </c>
      <c r="C2899" s="1" t="s">
        <v>332</v>
      </c>
      <c r="D2899" s="1" t="s">
        <v>229</v>
      </c>
      <c r="E2899" s="1"/>
    </row>
    <row r="2900" spans="1:5" ht="16">
      <c r="A2900" s="1" t="s">
        <v>1939</v>
      </c>
      <c r="B2900" s="1" t="s">
        <v>2846</v>
      </c>
      <c r="C2900" s="1" t="s">
        <v>332</v>
      </c>
      <c r="D2900" s="1" t="s">
        <v>229</v>
      </c>
      <c r="E2900" s="1"/>
    </row>
    <row r="2901" spans="1:5" ht="16">
      <c r="A2901" s="1" t="s">
        <v>1939</v>
      </c>
      <c r="B2901" s="1" t="s">
        <v>2847</v>
      </c>
      <c r="C2901" s="1" t="s">
        <v>332</v>
      </c>
      <c r="D2901" s="1" t="s">
        <v>229</v>
      </c>
      <c r="E2901" s="1"/>
    </row>
    <row r="2902" spans="1:5" ht="16">
      <c r="A2902" s="1" t="s">
        <v>1939</v>
      </c>
      <c r="B2902" s="1" t="s">
        <v>2848</v>
      </c>
      <c r="C2902" s="1" t="s">
        <v>332</v>
      </c>
      <c r="D2902" s="1" t="s">
        <v>229</v>
      </c>
      <c r="E2902" s="1"/>
    </row>
    <row r="2903" spans="1:5" ht="16">
      <c r="A2903" s="1" t="s">
        <v>1939</v>
      </c>
      <c r="B2903" s="1" t="s">
        <v>2849</v>
      </c>
      <c r="C2903" s="1" t="s">
        <v>334</v>
      </c>
      <c r="D2903" s="1" t="s">
        <v>229</v>
      </c>
      <c r="E2903" s="1"/>
    </row>
    <row r="2904" spans="1:5" ht="16">
      <c r="A2904" s="1" t="s">
        <v>1939</v>
      </c>
      <c r="B2904" s="1" t="s">
        <v>2850</v>
      </c>
      <c r="C2904" s="1" t="s">
        <v>332</v>
      </c>
      <c r="D2904" s="1" t="s">
        <v>229</v>
      </c>
      <c r="E2904" s="1"/>
    </row>
    <row r="2905" spans="1:5" ht="16">
      <c r="A2905" s="1" t="s">
        <v>1939</v>
      </c>
      <c r="B2905" s="1" t="s">
        <v>2851</v>
      </c>
      <c r="C2905" s="1" t="s">
        <v>332</v>
      </c>
      <c r="D2905" s="1" t="s">
        <v>229</v>
      </c>
      <c r="E2905" s="1"/>
    </row>
    <row r="2906" spans="1:5" ht="16">
      <c r="A2906" s="1" t="s">
        <v>1939</v>
      </c>
      <c r="B2906" s="1" t="s">
        <v>2852</v>
      </c>
      <c r="C2906" s="1" t="s">
        <v>332</v>
      </c>
      <c r="D2906" s="1" t="s">
        <v>229</v>
      </c>
      <c r="E2906" s="1"/>
    </row>
    <row r="2907" spans="1:5" ht="16">
      <c r="A2907" s="1" t="s">
        <v>1939</v>
      </c>
      <c r="B2907" s="1" t="s">
        <v>2853</v>
      </c>
      <c r="C2907" s="1" t="s">
        <v>332</v>
      </c>
      <c r="D2907" s="1" t="s">
        <v>229</v>
      </c>
      <c r="E2907" s="1"/>
    </row>
    <row r="2908" spans="1:5" ht="16">
      <c r="A2908" s="1" t="s">
        <v>1939</v>
      </c>
      <c r="B2908" s="1" t="s">
        <v>2854</v>
      </c>
      <c r="C2908" s="1" t="s">
        <v>332</v>
      </c>
      <c r="D2908" s="1" t="s">
        <v>355</v>
      </c>
      <c r="E2908" s="1"/>
    </row>
    <row r="2909" spans="1:5" ht="16">
      <c r="A2909" s="1" t="s">
        <v>1939</v>
      </c>
      <c r="B2909" s="1" t="s">
        <v>2855</v>
      </c>
      <c r="C2909" s="1" t="s">
        <v>332</v>
      </c>
      <c r="D2909" s="1" t="s">
        <v>355</v>
      </c>
      <c r="E2909" s="1"/>
    </row>
    <row r="2910" spans="1:5" ht="16">
      <c r="A2910" s="1" t="s">
        <v>1939</v>
      </c>
      <c r="B2910" s="1" t="s">
        <v>2856</v>
      </c>
      <c r="C2910" s="1" t="s">
        <v>332</v>
      </c>
      <c r="D2910" s="1" t="s">
        <v>355</v>
      </c>
      <c r="E2910" s="1"/>
    </row>
    <row r="2911" spans="1:5" ht="16">
      <c r="A2911" s="1" t="s">
        <v>1939</v>
      </c>
      <c r="B2911" s="1" t="s">
        <v>2857</v>
      </c>
      <c r="C2911" s="1" t="s">
        <v>332</v>
      </c>
      <c r="D2911" s="1" t="s">
        <v>355</v>
      </c>
      <c r="E2911" s="1"/>
    </row>
    <row r="2912" spans="1:5" ht="16">
      <c r="A2912" s="1" t="s">
        <v>1939</v>
      </c>
      <c r="B2912" s="1" t="s">
        <v>2858</v>
      </c>
      <c r="C2912" s="1" t="s">
        <v>332</v>
      </c>
      <c r="D2912" s="1" t="s">
        <v>355</v>
      </c>
      <c r="E2912" s="1"/>
    </row>
    <row r="2913" spans="1:5" ht="16">
      <c r="A2913" s="1" t="s">
        <v>1939</v>
      </c>
      <c r="B2913" s="1" t="s">
        <v>2859</v>
      </c>
      <c r="C2913" s="1" t="s">
        <v>332</v>
      </c>
      <c r="D2913" s="1" t="s">
        <v>355</v>
      </c>
      <c r="E2913" s="1"/>
    </row>
    <row r="2914" spans="1:5" ht="16">
      <c r="A2914" s="1" t="s">
        <v>1939</v>
      </c>
      <c r="B2914" s="1" t="s">
        <v>2860</v>
      </c>
      <c r="C2914" s="1" t="s">
        <v>332</v>
      </c>
      <c r="D2914" s="1" t="s">
        <v>229</v>
      </c>
      <c r="E2914" s="1"/>
    </row>
    <row r="2915" spans="1:5" ht="16">
      <c r="A2915" s="1" t="s">
        <v>1939</v>
      </c>
      <c r="B2915" s="1" t="s">
        <v>2861</v>
      </c>
      <c r="C2915" s="1" t="s">
        <v>332</v>
      </c>
      <c r="D2915" s="1" t="s">
        <v>229</v>
      </c>
      <c r="E2915" s="1"/>
    </row>
    <row r="2916" spans="1:5" ht="16">
      <c r="A2916" s="1" t="s">
        <v>1939</v>
      </c>
      <c r="B2916" s="1" t="s">
        <v>2862</v>
      </c>
      <c r="C2916" s="1" t="s">
        <v>332</v>
      </c>
      <c r="D2916" s="1" t="s">
        <v>229</v>
      </c>
      <c r="E2916" s="1"/>
    </row>
    <row r="2917" spans="1:5" ht="16">
      <c r="A2917" s="1" t="s">
        <v>1939</v>
      </c>
      <c r="B2917" s="1" t="s">
        <v>2863</v>
      </c>
      <c r="C2917" s="1" t="s">
        <v>332</v>
      </c>
      <c r="D2917" s="1" t="s">
        <v>229</v>
      </c>
      <c r="E2917" s="1"/>
    </row>
    <row r="2918" spans="1:5" ht="16">
      <c r="A2918" s="1" t="s">
        <v>1939</v>
      </c>
      <c r="B2918" s="1" t="s">
        <v>2864</v>
      </c>
      <c r="C2918" s="1" t="s">
        <v>332</v>
      </c>
      <c r="D2918" s="1" t="s">
        <v>229</v>
      </c>
      <c r="E2918" s="1"/>
    </row>
    <row r="2919" spans="1:5" ht="16">
      <c r="A2919" s="1" t="s">
        <v>1939</v>
      </c>
      <c r="B2919" s="1" t="s">
        <v>2865</v>
      </c>
      <c r="C2919" s="1" t="s">
        <v>332</v>
      </c>
      <c r="D2919" s="1" t="s">
        <v>229</v>
      </c>
      <c r="E2919" s="1"/>
    </row>
    <row r="2920" spans="1:5" ht="16">
      <c r="A2920" s="1" t="s">
        <v>1939</v>
      </c>
      <c r="B2920" s="1" t="s">
        <v>2866</v>
      </c>
      <c r="C2920" s="1" t="s">
        <v>332</v>
      </c>
      <c r="D2920" s="1" t="s">
        <v>229</v>
      </c>
      <c r="E2920" s="1"/>
    </row>
    <row r="2921" spans="1:5" ht="16">
      <c r="A2921" s="1" t="s">
        <v>1939</v>
      </c>
      <c r="B2921" s="1" t="s">
        <v>2867</v>
      </c>
      <c r="C2921" s="1" t="s">
        <v>332</v>
      </c>
      <c r="D2921" s="1" t="s">
        <v>229</v>
      </c>
      <c r="E2921" s="1"/>
    </row>
    <row r="2922" spans="1:5" ht="16">
      <c r="A2922" s="1" t="s">
        <v>1939</v>
      </c>
      <c r="B2922" s="1" t="s">
        <v>2868</v>
      </c>
      <c r="C2922" s="1" t="s">
        <v>332</v>
      </c>
      <c r="D2922" s="1" t="s">
        <v>229</v>
      </c>
      <c r="E2922" s="1"/>
    </row>
    <row r="2923" spans="1:5" ht="16">
      <c r="A2923" s="1" t="s">
        <v>1939</v>
      </c>
      <c r="B2923" s="1" t="s">
        <v>2869</v>
      </c>
      <c r="C2923" s="1" t="s">
        <v>332</v>
      </c>
      <c r="D2923" s="1" t="s">
        <v>229</v>
      </c>
      <c r="E2923" s="1"/>
    </row>
    <row r="2924" spans="1:5" ht="16">
      <c r="A2924" s="1" t="s">
        <v>1939</v>
      </c>
      <c r="B2924" s="1" t="s">
        <v>2870</v>
      </c>
      <c r="C2924" s="1" t="s">
        <v>332</v>
      </c>
      <c r="D2924" s="1" t="s">
        <v>229</v>
      </c>
      <c r="E2924" s="1"/>
    </row>
    <row r="2925" spans="1:5" ht="16">
      <c r="A2925" s="1" t="s">
        <v>1939</v>
      </c>
      <c r="B2925" s="1" t="s">
        <v>2871</v>
      </c>
      <c r="C2925" s="1" t="s">
        <v>332</v>
      </c>
      <c r="D2925" s="1" t="s">
        <v>229</v>
      </c>
      <c r="E2925" s="1"/>
    </row>
    <row r="2926" spans="1:5" ht="16">
      <c r="A2926" s="1" t="s">
        <v>1939</v>
      </c>
      <c r="B2926" s="1" t="s">
        <v>2872</v>
      </c>
      <c r="C2926" s="1" t="s">
        <v>332</v>
      </c>
      <c r="D2926" s="1" t="s">
        <v>229</v>
      </c>
      <c r="E2926" s="1"/>
    </row>
    <row r="2927" spans="1:5" ht="16">
      <c r="A2927" s="1" t="s">
        <v>1939</v>
      </c>
      <c r="B2927" s="1" t="s">
        <v>2873</v>
      </c>
      <c r="C2927" s="1" t="s">
        <v>332</v>
      </c>
      <c r="D2927" s="1" t="s">
        <v>229</v>
      </c>
      <c r="E2927" s="1"/>
    </row>
    <row r="2928" spans="1:5" ht="16">
      <c r="A2928" s="1" t="s">
        <v>1939</v>
      </c>
      <c r="B2928" s="1" t="s">
        <v>2874</v>
      </c>
      <c r="C2928" s="1" t="s">
        <v>332</v>
      </c>
      <c r="D2928" s="1" t="s">
        <v>229</v>
      </c>
      <c r="E2928" s="1"/>
    </row>
    <row r="2929" spans="1:5" ht="16">
      <c r="A2929" s="1" t="s">
        <v>1939</v>
      </c>
      <c r="B2929" s="1" t="s">
        <v>2875</v>
      </c>
      <c r="C2929" s="1" t="s">
        <v>332</v>
      </c>
      <c r="D2929" s="1" t="s">
        <v>229</v>
      </c>
      <c r="E2929" s="1"/>
    </row>
    <row r="2930" spans="1:5" ht="16">
      <c r="A2930" s="1" t="s">
        <v>1939</v>
      </c>
      <c r="B2930" s="1" t="s">
        <v>2876</v>
      </c>
      <c r="C2930" s="1" t="s">
        <v>332</v>
      </c>
      <c r="D2930" s="1" t="s">
        <v>229</v>
      </c>
      <c r="E2930" s="1"/>
    </row>
    <row r="2931" spans="1:5" ht="16">
      <c r="A2931" s="1" t="s">
        <v>1939</v>
      </c>
      <c r="B2931" s="1" t="s">
        <v>2877</v>
      </c>
      <c r="C2931" s="1" t="s">
        <v>332</v>
      </c>
      <c r="D2931" s="1" t="s">
        <v>229</v>
      </c>
      <c r="E2931" s="1"/>
    </row>
    <row r="2932" spans="1:5" ht="16">
      <c r="A2932" s="1" t="s">
        <v>1939</v>
      </c>
      <c r="B2932" s="1" t="s">
        <v>2878</v>
      </c>
      <c r="C2932" s="1" t="s">
        <v>332</v>
      </c>
      <c r="D2932" s="1" t="s">
        <v>229</v>
      </c>
      <c r="E2932" s="1"/>
    </row>
    <row r="2933" spans="1:5" ht="16">
      <c r="A2933" s="1" t="s">
        <v>1939</v>
      </c>
      <c r="B2933" s="1" t="s">
        <v>2879</v>
      </c>
      <c r="C2933" s="1" t="s">
        <v>332</v>
      </c>
      <c r="D2933" s="1" t="s">
        <v>229</v>
      </c>
      <c r="E2933" s="1"/>
    </row>
    <row r="2934" spans="1:5" ht="16">
      <c r="A2934" s="1" t="s">
        <v>1939</v>
      </c>
      <c r="B2934" s="1" t="s">
        <v>2880</v>
      </c>
      <c r="C2934" s="1" t="s">
        <v>332</v>
      </c>
      <c r="D2934" s="1" t="s">
        <v>229</v>
      </c>
      <c r="E2934" s="1"/>
    </row>
    <row r="2935" spans="1:5" ht="16">
      <c r="A2935" s="1" t="s">
        <v>1939</v>
      </c>
      <c r="B2935" s="1" t="s">
        <v>2881</v>
      </c>
      <c r="C2935" s="1" t="s">
        <v>332</v>
      </c>
      <c r="D2935" s="1" t="s">
        <v>229</v>
      </c>
      <c r="E2935" s="1"/>
    </row>
    <row r="2936" spans="1:5" ht="16">
      <c r="A2936" s="1" t="s">
        <v>1939</v>
      </c>
      <c r="B2936" s="1" t="s">
        <v>2882</v>
      </c>
      <c r="C2936" s="1" t="s">
        <v>332</v>
      </c>
      <c r="D2936" s="1" t="s">
        <v>229</v>
      </c>
      <c r="E2936" s="1"/>
    </row>
    <row r="2937" spans="1:5" ht="16">
      <c r="A2937" s="1" t="s">
        <v>1939</v>
      </c>
      <c r="B2937" s="1" t="s">
        <v>2883</v>
      </c>
      <c r="C2937" s="1" t="s">
        <v>332</v>
      </c>
      <c r="D2937" s="1" t="s">
        <v>229</v>
      </c>
      <c r="E2937" s="1"/>
    </row>
    <row r="2938" spans="1:5" ht="16">
      <c r="A2938" s="1" t="s">
        <v>1939</v>
      </c>
      <c r="B2938" s="1" t="s">
        <v>2884</v>
      </c>
      <c r="C2938" s="1" t="s">
        <v>332</v>
      </c>
      <c r="D2938" s="1" t="s">
        <v>229</v>
      </c>
      <c r="E2938" s="1"/>
    </row>
    <row r="2939" spans="1:5" ht="16">
      <c r="A2939" s="1" t="s">
        <v>1939</v>
      </c>
      <c r="B2939" s="1" t="s">
        <v>2885</v>
      </c>
      <c r="C2939" s="1" t="s">
        <v>332</v>
      </c>
      <c r="D2939" s="1" t="s">
        <v>229</v>
      </c>
      <c r="E2939" s="1"/>
    </row>
    <row r="2940" spans="1:5" ht="16">
      <c r="A2940" s="1" t="s">
        <v>1939</v>
      </c>
      <c r="B2940" s="1" t="s">
        <v>2886</v>
      </c>
      <c r="C2940" s="1" t="s">
        <v>332</v>
      </c>
      <c r="D2940" s="1" t="s">
        <v>229</v>
      </c>
      <c r="E2940" s="1"/>
    </row>
    <row r="2941" spans="1:5" ht="16">
      <c r="A2941" s="1" t="s">
        <v>1939</v>
      </c>
      <c r="B2941" s="1" t="s">
        <v>2887</v>
      </c>
      <c r="C2941" s="1" t="s">
        <v>332</v>
      </c>
      <c r="D2941" s="1" t="s">
        <v>229</v>
      </c>
      <c r="E2941" s="1"/>
    </row>
    <row r="2942" spans="1:5" ht="16">
      <c r="A2942" s="1" t="s">
        <v>1939</v>
      </c>
      <c r="B2942" s="1" t="s">
        <v>2888</v>
      </c>
      <c r="C2942" s="1" t="s">
        <v>332</v>
      </c>
      <c r="D2942" s="1" t="s">
        <v>229</v>
      </c>
      <c r="E2942" s="1"/>
    </row>
    <row r="2943" spans="1:5" ht="16">
      <c r="A2943" s="1" t="s">
        <v>1939</v>
      </c>
      <c r="B2943" s="1" t="s">
        <v>2889</v>
      </c>
      <c r="C2943" s="1" t="s">
        <v>332</v>
      </c>
      <c r="D2943" s="1" t="s">
        <v>229</v>
      </c>
      <c r="E2943" s="1"/>
    </row>
    <row r="2944" spans="1:5" ht="16">
      <c r="A2944" s="1" t="s">
        <v>1939</v>
      </c>
      <c r="B2944" s="1" t="s">
        <v>2890</v>
      </c>
      <c r="C2944" s="1" t="s">
        <v>332</v>
      </c>
      <c r="D2944" s="1" t="s">
        <v>229</v>
      </c>
      <c r="E2944" s="1"/>
    </row>
    <row r="2945" spans="1:5" ht="16">
      <c r="A2945" s="1" t="s">
        <v>2891</v>
      </c>
      <c r="B2945" s="1" t="s">
        <v>2892</v>
      </c>
      <c r="C2945" s="1" t="s">
        <v>332</v>
      </c>
      <c r="D2945" s="1" t="s">
        <v>229</v>
      </c>
      <c r="E2945" s="1"/>
    </row>
    <row r="2946" spans="1:5" ht="16">
      <c r="A2946" s="1" t="s">
        <v>2891</v>
      </c>
      <c r="B2946" s="1" t="s">
        <v>2893</v>
      </c>
      <c r="C2946" s="1" t="s">
        <v>332</v>
      </c>
      <c r="D2946" s="1" t="s">
        <v>229</v>
      </c>
      <c r="E2946" s="1"/>
    </row>
    <row r="2947" spans="1:5" ht="16">
      <c r="A2947" s="1" t="s">
        <v>2891</v>
      </c>
      <c r="B2947" s="1" t="s">
        <v>2894</v>
      </c>
      <c r="C2947" s="1" t="s">
        <v>332</v>
      </c>
      <c r="D2947" s="1" t="s">
        <v>229</v>
      </c>
      <c r="E2947" s="1"/>
    </row>
    <row r="2948" spans="1:5" ht="16">
      <c r="A2948" s="1" t="s">
        <v>2891</v>
      </c>
      <c r="B2948" s="1" t="s">
        <v>2895</v>
      </c>
      <c r="C2948" s="1" t="s">
        <v>332</v>
      </c>
      <c r="D2948" s="1" t="s">
        <v>229</v>
      </c>
      <c r="E2948" s="1"/>
    </row>
    <row r="2949" spans="1:5" ht="16">
      <c r="A2949" s="1" t="s">
        <v>2891</v>
      </c>
      <c r="B2949" s="1" t="s">
        <v>2896</v>
      </c>
      <c r="C2949" s="1" t="s">
        <v>332</v>
      </c>
      <c r="D2949" s="1" t="s">
        <v>229</v>
      </c>
      <c r="E2949" s="1"/>
    </row>
    <row r="2950" spans="1:5" ht="16">
      <c r="A2950" s="1" t="s">
        <v>2891</v>
      </c>
      <c r="B2950" s="1" t="s">
        <v>2897</v>
      </c>
      <c r="C2950" s="1" t="s">
        <v>332</v>
      </c>
      <c r="D2950" s="1" t="s">
        <v>229</v>
      </c>
      <c r="E2950" s="1"/>
    </row>
    <row r="2951" spans="1:5" ht="16">
      <c r="A2951" s="1" t="s">
        <v>2891</v>
      </c>
      <c r="B2951" s="1" t="s">
        <v>2898</v>
      </c>
      <c r="C2951" s="1" t="s">
        <v>332</v>
      </c>
      <c r="D2951" s="1" t="s">
        <v>229</v>
      </c>
      <c r="E2951" s="1"/>
    </row>
    <row r="2952" spans="1:5" ht="16">
      <c r="A2952" s="1" t="s">
        <v>2891</v>
      </c>
      <c r="B2952" s="1" t="s">
        <v>2899</v>
      </c>
      <c r="C2952" s="1" t="s">
        <v>332</v>
      </c>
      <c r="D2952" s="1" t="s">
        <v>229</v>
      </c>
      <c r="E2952" s="1"/>
    </row>
    <row r="2953" spans="1:5" ht="16">
      <c r="A2953" s="1" t="s">
        <v>2891</v>
      </c>
      <c r="B2953" s="1" t="s">
        <v>2900</v>
      </c>
      <c r="C2953" s="1" t="s">
        <v>332</v>
      </c>
      <c r="D2953" s="1" t="s">
        <v>229</v>
      </c>
      <c r="E2953" s="1"/>
    </row>
    <row r="2954" spans="1:5" ht="16">
      <c r="A2954" s="1" t="s">
        <v>2891</v>
      </c>
      <c r="B2954" s="1" t="s">
        <v>2901</v>
      </c>
      <c r="C2954" s="1" t="s">
        <v>332</v>
      </c>
      <c r="D2954" s="1" t="s">
        <v>229</v>
      </c>
      <c r="E2954" s="1"/>
    </row>
    <row r="2955" spans="1:5" ht="16">
      <c r="A2955" s="1" t="s">
        <v>2891</v>
      </c>
      <c r="B2955" s="1" t="s">
        <v>2902</v>
      </c>
      <c r="C2955" s="1" t="s">
        <v>332</v>
      </c>
      <c r="D2955" s="1" t="s">
        <v>229</v>
      </c>
      <c r="E2955" s="1"/>
    </row>
    <row r="2956" spans="1:5" ht="16">
      <c r="A2956" s="1" t="s">
        <v>2891</v>
      </c>
      <c r="B2956" s="1" t="s">
        <v>2903</v>
      </c>
      <c r="C2956" s="1" t="s">
        <v>332</v>
      </c>
      <c r="D2956" s="1" t="s">
        <v>229</v>
      </c>
      <c r="E2956" s="1"/>
    </row>
    <row r="2957" spans="1:5" ht="16">
      <c r="A2957" s="1" t="s">
        <v>2891</v>
      </c>
      <c r="B2957" s="1" t="s">
        <v>2904</v>
      </c>
      <c r="C2957" s="1" t="s">
        <v>332</v>
      </c>
      <c r="D2957" s="1" t="s">
        <v>229</v>
      </c>
      <c r="E2957" s="1"/>
    </row>
    <row r="2958" spans="1:5" ht="16">
      <c r="A2958" s="1" t="s">
        <v>2891</v>
      </c>
      <c r="B2958" s="1" t="s">
        <v>2905</v>
      </c>
      <c r="C2958" s="1" t="s">
        <v>332</v>
      </c>
      <c r="D2958" s="1" t="s">
        <v>229</v>
      </c>
      <c r="E2958" s="1"/>
    </row>
    <row r="2959" spans="1:5" ht="16">
      <c r="A2959" s="1" t="s">
        <v>2906</v>
      </c>
      <c r="B2959" s="1" t="s">
        <v>2129</v>
      </c>
      <c r="C2959" s="1" t="s">
        <v>334</v>
      </c>
      <c r="D2959" s="1" t="s">
        <v>229</v>
      </c>
      <c r="E2959" s="1"/>
    </row>
    <row r="2960" spans="1:5" ht="16">
      <c r="A2960" s="1" t="s">
        <v>2906</v>
      </c>
      <c r="B2960" s="1" t="s">
        <v>2907</v>
      </c>
      <c r="C2960" s="1" t="s">
        <v>334</v>
      </c>
      <c r="D2960" s="1" t="s">
        <v>229</v>
      </c>
      <c r="E2960" s="1"/>
    </row>
    <row r="2961" spans="1:5" ht="16">
      <c r="A2961" s="1" t="s">
        <v>2906</v>
      </c>
      <c r="B2961" s="1" t="s">
        <v>2908</v>
      </c>
      <c r="C2961" s="1" t="s">
        <v>334</v>
      </c>
      <c r="D2961" s="1" t="s">
        <v>229</v>
      </c>
      <c r="E2961" s="1"/>
    </row>
    <row r="2962" spans="1:5" ht="16">
      <c r="A2962" s="1" t="s">
        <v>2906</v>
      </c>
      <c r="B2962" s="1" t="s">
        <v>2909</v>
      </c>
      <c r="C2962" s="1" t="s">
        <v>334</v>
      </c>
      <c r="D2962" s="1" t="s">
        <v>229</v>
      </c>
      <c r="E2962" s="1"/>
    </row>
    <row r="2963" spans="1:5" ht="16">
      <c r="A2963" s="1" t="s">
        <v>2910</v>
      </c>
      <c r="B2963" s="1" t="s">
        <v>2911</v>
      </c>
      <c r="C2963" s="1" t="s">
        <v>334</v>
      </c>
      <c r="D2963" s="1" t="s">
        <v>229</v>
      </c>
      <c r="E2963" s="1" t="s">
        <v>500</v>
      </c>
    </row>
    <row r="2964" spans="1:5" ht="16">
      <c r="A2964" s="1" t="s">
        <v>2910</v>
      </c>
      <c r="B2964" s="1" t="s">
        <v>2911</v>
      </c>
      <c r="C2964" s="1" t="s">
        <v>334</v>
      </c>
      <c r="D2964" s="1" t="s">
        <v>229</v>
      </c>
      <c r="E2964" s="1" t="s">
        <v>500</v>
      </c>
    </row>
    <row r="2965" spans="1:5" ht="16">
      <c r="A2965" s="1" t="s">
        <v>2910</v>
      </c>
      <c r="B2965" s="1" t="s">
        <v>2911</v>
      </c>
      <c r="C2965" s="1" t="s">
        <v>334</v>
      </c>
      <c r="D2965" s="1" t="s">
        <v>229</v>
      </c>
      <c r="E2965" s="1" t="s">
        <v>500</v>
      </c>
    </row>
    <row r="2966" spans="1:5" ht="16">
      <c r="A2966" s="1" t="s">
        <v>2910</v>
      </c>
      <c r="B2966" s="1" t="s">
        <v>2912</v>
      </c>
      <c r="C2966" s="1" t="s">
        <v>334</v>
      </c>
      <c r="D2966" s="1" t="s">
        <v>229</v>
      </c>
      <c r="E2966" s="1"/>
    </row>
    <row r="2967" spans="1:5" ht="16">
      <c r="A2967" s="1" t="s">
        <v>2910</v>
      </c>
      <c r="B2967" s="1" t="s">
        <v>2913</v>
      </c>
      <c r="C2967" s="1" t="s">
        <v>334</v>
      </c>
      <c r="D2967" s="1" t="s">
        <v>229</v>
      </c>
      <c r="E2967" s="1"/>
    </row>
    <row r="2968" spans="1:5" ht="16">
      <c r="A2968" s="1" t="s">
        <v>2910</v>
      </c>
      <c r="B2968" s="1" t="s">
        <v>2914</v>
      </c>
      <c r="C2968" s="1" t="s">
        <v>234</v>
      </c>
      <c r="D2968" s="1" t="s">
        <v>229</v>
      </c>
      <c r="E2968" s="1"/>
    </row>
    <row r="2969" spans="1:5" ht="16">
      <c r="A2969" s="1" t="s">
        <v>2910</v>
      </c>
      <c r="B2969" s="1" t="s">
        <v>2915</v>
      </c>
      <c r="C2969" s="1" t="s">
        <v>334</v>
      </c>
      <c r="D2969" s="1" t="s">
        <v>229</v>
      </c>
      <c r="E2969" s="1"/>
    </row>
    <row r="2970" spans="1:5" ht="16">
      <c r="A2970" s="1" t="s">
        <v>2910</v>
      </c>
      <c r="B2970" s="1" t="s">
        <v>2916</v>
      </c>
      <c r="C2970" s="1" t="s">
        <v>234</v>
      </c>
      <c r="D2970" s="1" t="s">
        <v>229</v>
      </c>
      <c r="E2970" s="1"/>
    </row>
    <row r="2971" spans="1:5" ht="16">
      <c r="A2971" s="1" t="s">
        <v>2910</v>
      </c>
      <c r="B2971" s="1" t="s">
        <v>2917</v>
      </c>
      <c r="C2971" s="1" t="s">
        <v>234</v>
      </c>
      <c r="D2971" s="1" t="s">
        <v>229</v>
      </c>
      <c r="E2971" s="1"/>
    </row>
    <row r="2972" spans="1:5" ht="16">
      <c r="A2972" s="1" t="s">
        <v>2910</v>
      </c>
      <c r="B2972" s="1" t="s">
        <v>2918</v>
      </c>
      <c r="C2972" s="1" t="s">
        <v>234</v>
      </c>
      <c r="D2972" s="1" t="s">
        <v>229</v>
      </c>
      <c r="E2972" s="1"/>
    </row>
    <row r="2973" spans="1:5" ht="16">
      <c r="A2973" s="1" t="s">
        <v>2910</v>
      </c>
      <c r="B2973" s="1" t="s">
        <v>2919</v>
      </c>
      <c r="C2973" s="1" t="s">
        <v>234</v>
      </c>
      <c r="D2973" s="1" t="s">
        <v>229</v>
      </c>
      <c r="E2973" s="1"/>
    </row>
    <row r="2974" spans="1:5" ht="16">
      <c r="A2974" s="1" t="s">
        <v>2910</v>
      </c>
      <c r="B2974" s="1" t="s">
        <v>2920</v>
      </c>
      <c r="C2974" s="1" t="s">
        <v>334</v>
      </c>
      <c r="D2974" s="1" t="s">
        <v>229</v>
      </c>
      <c r="E2974" s="1"/>
    </row>
    <row r="2975" spans="1:5" ht="16">
      <c r="A2975" s="1" t="s">
        <v>2910</v>
      </c>
      <c r="B2975" s="1" t="s">
        <v>2921</v>
      </c>
      <c r="C2975" s="1" t="s">
        <v>234</v>
      </c>
      <c r="D2975" s="1" t="s">
        <v>229</v>
      </c>
      <c r="E2975" s="1"/>
    </row>
    <row r="2976" spans="1:5" ht="16">
      <c r="A2976" s="1" t="s">
        <v>2910</v>
      </c>
      <c r="B2976" s="1" t="s">
        <v>2922</v>
      </c>
      <c r="C2976" s="1" t="s">
        <v>332</v>
      </c>
      <c r="D2976" s="1" t="s">
        <v>229</v>
      </c>
      <c r="E2976" s="1" t="s">
        <v>500</v>
      </c>
    </row>
    <row r="2977" spans="1:5" ht="16">
      <c r="A2977" s="1" t="s">
        <v>2910</v>
      </c>
      <c r="B2977" s="1" t="s">
        <v>2923</v>
      </c>
      <c r="C2977" s="1" t="s">
        <v>332</v>
      </c>
      <c r="D2977" s="1" t="s">
        <v>229</v>
      </c>
      <c r="E2977" s="1"/>
    </row>
    <row r="2978" spans="1:5" ht="16">
      <c r="A2978" s="1" t="s">
        <v>2910</v>
      </c>
      <c r="B2978" s="1" t="s">
        <v>2924</v>
      </c>
      <c r="C2978" s="1" t="s">
        <v>332</v>
      </c>
      <c r="D2978" s="1" t="s">
        <v>229</v>
      </c>
      <c r="E2978" s="1"/>
    </row>
    <row r="2979" spans="1:5" ht="16">
      <c r="A2979" s="1" t="s">
        <v>2910</v>
      </c>
      <c r="B2979" s="1" t="s">
        <v>2925</v>
      </c>
      <c r="C2979" s="1" t="s">
        <v>332</v>
      </c>
      <c r="D2979" s="1" t="s">
        <v>229</v>
      </c>
      <c r="E2979" s="1"/>
    </row>
    <row r="2980" spans="1:5" ht="16">
      <c r="A2980" s="1" t="s">
        <v>2910</v>
      </c>
      <c r="B2980" s="1" t="s">
        <v>2926</v>
      </c>
      <c r="C2980" s="1" t="s">
        <v>332</v>
      </c>
      <c r="D2980" s="1" t="s">
        <v>229</v>
      </c>
      <c r="E2980" s="1"/>
    </row>
    <row r="2981" spans="1:5" ht="16">
      <c r="A2981" s="1" t="s">
        <v>2910</v>
      </c>
      <c r="B2981" s="1" t="s">
        <v>2927</v>
      </c>
      <c r="C2981" s="1" t="s">
        <v>332</v>
      </c>
      <c r="D2981" s="1" t="s">
        <v>229</v>
      </c>
      <c r="E2981" s="1"/>
    </row>
    <row r="2982" spans="1:5" ht="16">
      <c r="A2982" s="1" t="s">
        <v>2910</v>
      </c>
      <c r="B2982" s="1" t="s">
        <v>2928</v>
      </c>
      <c r="C2982" s="1" t="s">
        <v>332</v>
      </c>
      <c r="D2982" s="1" t="s">
        <v>229</v>
      </c>
      <c r="E2982" s="1"/>
    </row>
    <row r="2983" spans="1:5" ht="16">
      <c r="A2983" s="1" t="s">
        <v>2910</v>
      </c>
      <c r="B2983" s="1" t="s">
        <v>2929</v>
      </c>
      <c r="C2983" s="1" t="s">
        <v>332</v>
      </c>
      <c r="D2983" s="1" t="s">
        <v>229</v>
      </c>
      <c r="E2983" s="1"/>
    </row>
    <row r="2984" spans="1:5" ht="16">
      <c r="A2984" s="1" t="s">
        <v>2910</v>
      </c>
      <c r="B2984" s="1" t="s">
        <v>2930</v>
      </c>
      <c r="C2984" s="1" t="s">
        <v>332</v>
      </c>
      <c r="D2984" s="1" t="s">
        <v>229</v>
      </c>
      <c r="E2984" s="1" t="s">
        <v>500</v>
      </c>
    </row>
    <row r="2985" spans="1:5" ht="16">
      <c r="A2985" s="1" t="s">
        <v>2910</v>
      </c>
      <c r="B2985" s="1" t="s">
        <v>2931</v>
      </c>
      <c r="C2985" s="1" t="s">
        <v>332</v>
      </c>
      <c r="D2985" s="1" t="s">
        <v>229</v>
      </c>
      <c r="E2985" s="1"/>
    </row>
    <row r="2986" spans="1:5" ht="16">
      <c r="A2986" s="1" t="s">
        <v>2910</v>
      </c>
      <c r="B2986" s="1" t="s">
        <v>2932</v>
      </c>
      <c r="C2986" s="1" t="s">
        <v>334</v>
      </c>
      <c r="D2986" s="1" t="s">
        <v>229</v>
      </c>
      <c r="E2986" s="1"/>
    </row>
    <row r="2987" spans="1:5" ht="16">
      <c r="A2987" s="1" t="s">
        <v>2910</v>
      </c>
      <c r="B2987" s="1" t="s">
        <v>2933</v>
      </c>
      <c r="C2987" s="1" t="s">
        <v>334</v>
      </c>
      <c r="D2987" s="1" t="s">
        <v>229</v>
      </c>
      <c r="E2987" s="1"/>
    </row>
    <row r="2988" spans="1:5" ht="16">
      <c r="A2988" s="1" t="s">
        <v>2910</v>
      </c>
      <c r="B2988" s="1" t="s">
        <v>2934</v>
      </c>
      <c r="C2988" s="1" t="s">
        <v>334</v>
      </c>
      <c r="D2988" s="1" t="s">
        <v>229</v>
      </c>
      <c r="E2988" s="1"/>
    </row>
    <row r="2989" spans="1:5" ht="16">
      <c r="A2989" s="1" t="s">
        <v>2910</v>
      </c>
      <c r="B2989" s="1" t="s">
        <v>2935</v>
      </c>
      <c r="C2989" s="1" t="s">
        <v>334</v>
      </c>
      <c r="D2989" s="1" t="s">
        <v>229</v>
      </c>
      <c r="E2989" s="1"/>
    </row>
    <row r="2990" spans="1:5" ht="16">
      <c r="A2990" s="1" t="s">
        <v>2910</v>
      </c>
      <c r="B2990" s="1" t="s">
        <v>2936</v>
      </c>
      <c r="C2990" s="1" t="s">
        <v>334</v>
      </c>
      <c r="D2990" s="1" t="s">
        <v>229</v>
      </c>
      <c r="E2990" s="1"/>
    </row>
    <row r="2991" spans="1:5" ht="16">
      <c r="A2991" s="1" t="s">
        <v>2910</v>
      </c>
      <c r="B2991" s="1" t="s">
        <v>2937</v>
      </c>
      <c r="C2991" s="1" t="s">
        <v>263</v>
      </c>
      <c r="D2991" s="1" t="s">
        <v>229</v>
      </c>
      <c r="E2991" s="1"/>
    </row>
    <row r="2992" spans="1:5" ht="16">
      <c r="A2992" s="1" t="s">
        <v>2910</v>
      </c>
      <c r="B2992" s="1" t="s">
        <v>2272</v>
      </c>
      <c r="C2992" s="1" t="s">
        <v>263</v>
      </c>
      <c r="D2992" s="1" t="s">
        <v>229</v>
      </c>
      <c r="E2992" s="1"/>
    </row>
    <row r="2993" spans="1:5" ht="16">
      <c r="A2993" s="1" t="s">
        <v>2910</v>
      </c>
      <c r="B2993" s="1" t="s">
        <v>2938</v>
      </c>
      <c r="C2993" s="1" t="s">
        <v>265</v>
      </c>
      <c r="D2993" s="1" t="s">
        <v>229</v>
      </c>
      <c r="E2993" s="1"/>
    </row>
    <row r="2994" spans="1:5" ht="16">
      <c r="A2994" s="1" t="s">
        <v>2910</v>
      </c>
      <c r="B2994" s="1" t="s">
        <v>2939</v>
      </c>
      <c r="C2994" s="1" t="s">
        <v>265</v>
      </c>
      <c r="D2994" s="1" t="s">
        <v>229</v>
      </c>
      <c r="E2994" s="1"/>
    </row>
    <row r="2995" spans="1:5" ht="16">
      <c r="A2995" s="1" t="s">
        <v>2910</v>
      </c>
      <c r="B2995" s="1" t="s">
        <v>2940</v>
      </c>
      <c r="C2995" s="1" t="s">
        <v>265</v>
      </c>
      <c r="D2995" s="1" t="s">
        <v>229</v>
      </c>
      <c r="E2995" s="1"/>
    </row>
    <row r="2996" spans="1:5" ht="16">
      <c r="A2996" s="1" t="s">
        <v>2910</v>
      </c>
      <c r="B2996" s="1" t="s">
        <v>2941</v>
      </c>
      <c r="C2996" s="1" t="s">
        <v>265</v>
      </c>
      <c r="D2996" s="1" t="s">
        <v>229</v>
      </c>
      <c r="E2996" s="1"/>
    </row>
    <row r="2997" spans="1:5" ht="16">
      <c r="A2997" s="1" t="s">
        <v>2910</v>
      </c>
      <c r="B2997" s="1" t="s">
        <v>2942</v>
      </c>
      <c r="C2997" s="1" t="s">
        <v>332</v>
      </c>
      <c r="D2997" s="1" t="s">
        <v>229</v>
      </c>
      <c r="E2997" s="1"/>
    </row>
    <row r="2998" spans="1:5" ht="16">
      <c r="A2998" s="1" t="s">
        <v>2910</v>
      </c>
      <c r="B2998" s="1" t="s">
        <v>2943</v>
      </c>
      <c r="C2998" s="1" t="s">
        <v>332</v>
      </c>
      <c r="D2998" s="1" t="s">
        <v>229</v>
      </c>
      <c r="E2998" s="1"/>
    </row>
    <row r="2999" spans="1:5" ht="16">
      <c r="A2999" s="1" t="s">
        <v>2910</v>
      </c>
      <c r="B2999" s="1" t="s">
        <v>2944</v>
      </c>
      <c r="C2999" s="1" t="s">
        <v>332</v>
      </c>
      <c r="D2999" s="1" t="s">
        <v>229</v>
      </c>
      <c r="E2999" s="1"/>
    </row>
    <row r="3000" spans="1:5" ht="16">
      <c r="A3000" s="1" t="s">
        <v>2910</v>
      </c>
      <c r="B3000" s="1" t="s">
        <v>2945</v>
      </c>
      <c r="C3000" s="1" t="s">
        <v>332</v>
      </c>
      <c r="D3000" s="1" t="s">
        <v>229</v>
      </c>
      <c r="E3000" s="1"/>
    </row>
    <row r="3001" spans="1:5" ht="16">
      <c r="A3001" s="1" t="s">
        <v>2910</v>
      </c>
      <c r="B3001" s="1" t="s">
        <v>2946</v>
      </c>
      <c r="C3001" s="1" t="s">
        <v>332</v>
      </c>
      <c r="D3001" s="1" t="s">
        <v>229</v>
      </c>
      <c r="E3001" s="1"/>
    </row>
    <row r="3002" spans="1:5" ht="16">
      <c r="A3002" s="1" t="s">
        <v>2910</v>
      </c>
      <c r="B3002" s="1" t="s">
        <v>2947</v>
      </c>
      <c r="C3002" s="1" t="s">
        <v>332</v>
      </c>
      <c r="D3002" s="1" t="s">
        <v>229</v>
      </c>
      <c r="E3002" s="1"/>
    </row>
    <row r="3003" spans="1:5" ht="16">
      <c r="A3003" s="1" t="s">
        <v>2910</v>
      </c>
      <c r="B3003" s="1" t="s">
        <v>2948</v>
      </c>
      <c r="C3003" s="1" t="s">
        <v>332</v>
      </c>
      <c r="D3003" s="1" t="s">
        <v>229</v>
      </c>
      <c r="E3003" s="1"/>
    </row>
    <row r="3004" spans="1:5" ht="16">
      <c r="A3004" s="1" t="s">
        <v>2910</v>
      </c>
      <c r="B3004" s="1" t="s">
        <v>2949</v>
      </c>
      <c r="C3004" s="1" t="s">
        <v>332</v>
      </c>
      <c r="D3004" s="1" t="s">
        <v>229</v>
      </c>
      <c r="E3004" s="1"/>
    </row>
    <row r="3005" spans="1:5" ht="16">
      <c r="A3005" s="1" t="s">
        <v>2910</v>
      </c>
      <c r="B3005" s="1" t="s">
        <v>2950</v>
      </c>
      <c r="C3005" s="1" t="s">
        <v>332</v>
      </c>
      <c r="D3005" s="1" t="s">
        <v>229</v>
      </c>
      <c r="E3005" s="1"/>
    </row>
    <row r="3006" spans="1:5" ht="16">
      <c r="A3006" s="1" t="s">
        <v>2910</v>
      </c>
      <c r="B3006" s="1" t="s">
        <v>2951</v>
      </c>
      <c r="C3006" s="1" t="s">
        <v>332</v>
      </c>
      <c r="D3006" s="1" t="s">
        <v>229</v>
      </c>
      <c r="E3006" s="1"/>
    </row>
    <row r="3007" spans="1:5" ht="16">
      <c r="A3007" s="1" t="s">
        <v>2910</v>
      </c>
      <c r="B3007" s="1" t="s">
        <v>2952</v>
      </c>
      <c r="C3007" s="1" t="s">
        <v>332</v>
      </c>
      <c r="D3007" s="1" t="s">
        <v>229</v>
      </c>
      <c r="E3007" s="1"/>
    </row>
    <row r="3008" spans="1:5" ht="16">
      <c r="A3008" s="1" t="s">
        <v>2910</v>
      </c>
      <c r="B3008" s="1" t="s">
        <v>2945</v>
      </c>
      <c r="C3008" s="1" t="s">
        <v>332</v>
      </c>
      <c r="D3008" s="1" t="s">
        <v>229</v>
      </c>
      <c r="E3008" s="1"/>
    </row>
    <row r="3009" spans="1:5" ht="16">
      <c r="A3009" s="1" t="s">
        <v>2910</v>
      </c>
      <c r="B3009" s="1" t="s">
        <v>2944</v>
      </c>
      <c r="C3009" s="1" t="s">
        <v>332</v>
      </c>
      <c r="D3009" s="1" t="s">
        <v>229</v>
      </c>
      <c r="E3009" s="1"/>
    </row>
    <row r="3010" spans="1:5" ht="16">
      <c r="A3010" s="1" t="s">
        <v>2910</v>
      </c>
      <c r="B3010" s="1" t="s">
        <v>2943</v>
      </c>
      <c r="C3010" s="1" t="s">
        <v>332</v>
      </c>
      <c r="D3010" s="1" t="s">
        <v>229</v>
      </c>
      <c r="E3010" s="1"/>
    </row>
    <row r="3011" spans="1:5" ht="16">
      <c r="A3011" s="1" t="s">
        <v>2910</v>
      </c>
      <c r="B3011" s="1" t="s">
        <v>2942</v>
      </c>
      <c r="C3011" s="1" t="s">
        <v>332</v>
      </c>
      <c r="D3011" s="1" t="s">
        <v>229</v>
      </c>
      <c r="E3011" s="1"/>
    </row>
    <row r="3012" spans="1:5" ht="16">
      <c r="A3012" s="1" t="s">
        <v>2910</v>
      </c>
      <c r="B3012" s="1" t="s">
        <v>2953</v>
      </c>
      <c r="C3012" s="1" t="s">
        <v>332</v>
      </c>
      <c r="D3012" s="1" t="s">
        <v>229</v>
      </c>
      <c r="E3012" s="1"/>
    </row>
    <row r="3013" spans="1:5" ht="16">
      <c r="A3013" s="1" t="s">
        <v>2910</v>
      </c>
      <c r="B3013" s="1" t="s">
        <v>2954</v>
      </c>
      <c r="C3013" s="1" t="s">
        <v>332</v>
      </c>
      <c r="D3013" s="1" t="s">
        <v>229</v>
      </c>
      <c r="E3013" s="1"/>
    </row>
    <row r="3014" spans="1:5" ht="16">
      <c r="A3014" s="1" t="s">
        <v>2910</v>
      </c>
      <c r="B3014" s="1" t="s">
        <v>2955</v>
      </c>
      <c r="C3014" s="1" t="s">
        <v>332</v>
      </c>
      <c r="D3014" s="1" t="s">
        <v>229</v>
      </c>
      <c r="E3014" s="1"/>
    </row>
    <row r="3015" spans="1:5" ht="16">
      <c r="A3015" s="1" t="s">
        <v>2910</v>
      </c>
      <c r="B3015" s="1" t="s">
        <v>2956</v>
      </c>
      <c r="C3015" s="1" t="s">
        <v>332</v>
      </c>
      <c r="D3015" s="1" t="s">
        <v>229</v>
      </c>
      <c r="E3015" s="1"/>
    </row>
    <row r="3016" spans="1:5" ht="16">
      <c r="A3016" s="1" t="s">
        <v>2910</v>
      </c>
      <c r="B3016" s="1" t="s">
        <v>2952</v>
      </c>
      <c r="C3016" s="1" t="s">
        <v>332</v>
      </c>
      <c r="D3016" s="1" t="s">
        <v>229</v>
      </c>
      <c r="E3016" s="1"/>
    </row>
    <row r="3017" spans="1:5" ht="16">
      <c r="A3017" s="1" t="s">
        <v>2910</v>
      </c>
      <c r="B3017" s="1" t="s">
        <v>2951</v>
      </c>
      <c r="C3017" s="1" t="s">
        <v>332</v>
      </c>
      <c r="D3017" s="1" t="s">
        <v>229</v>
      </c>
      <c r="E3017" s="1"/>
    </row>
    <row r="3018" spans="1:5" ht="16">
      <c r="A3018" s="1" t="s">
        <v>2910</v>
      </c>
      <c r="B3018" s="1" t="s">
        <v>2950</v>
      </c>
      <c r="C3018" s="1" t="s">
        <v>332</v>
      </c>
      <c r="D3018" s="1" t="s">
        <v>229</v>
      </c>
      <c r="E3018" s="1"/>
    </row>
    <row r="3019" spans="1:5" ht="16">
      <c r="A3019" s="1" t="s">
        <v>2910</v>
      </c>
      <c r="B3019" s="1" t="s">
        <v>2948</v>
      </c>
      <c r="C3019" s="1" t="s">
        <v>332</v>
      </c>
      <c r="D3019" s="1" t="s">
        <v>229</v>
      </c>
      <c r="E3019" s="1"/>
    </row>
    <row r="3020" spans="1:5" ht="16">
      <c r="A3020" s="1" t="s">
        <v>2910</v>
      </c>
      <c r="B3020" s="1" t="s">
        <v>2949</v>
      </c>
      <c r="C3020" s="1" t="s">
        <v>332</v>
      </c>
      <c r="D3020" s="1" t="s">
        <v>229</v>
      </c>
      <c r="E3020" s="1"/>
    </row>
    <row r="3021" spans="1:5" ht="16">
      <c r="A3021" s="1" t="s">
        <v>2910</v>
      </c>
      <c r="B3021" s="1" t="s">
        <v>2947</v>
      </c>
      <c r="C3021" s="1" t="s">
        <v>332</v>
      </c>
      <c r="D3021" s="1" t="s">
        <v>229</v>
      </c>
      <c r="E3021" s="1"/>
    </row>
    <row r="3022" spans="1:5" ht="16">
      <c r="A3022" s="1" t="s">
        <v>2910</v>
      </c>
      <c r="B3022" s="1" t="s">
        <v>2957</v>
      </c>
      <c r="C3022" s="1" t="s">
        <v>334</v>
      </c>
      <c r="D3022" s="1" t="s">
        <v>229</v>
      </c>
      <c r="E3022" s="1"/>
    </row>
    <row r="3023" spans="1:5" ht="16">
      <c r="A3023" s="1" t="s">
        <v>2910</v>
      </c>
      <c r="B3023" s="1" t="s">
        <v>2958</v>
      </c>
      <c r="C3023" s="1" t="s">
        <v>334</v>
      </c>
      <c r="D3023" s="1" t="s">
        <v>229</v>
      </c>
      <c r="E3023" s="1"/>
    </row>
    <row r="3024" spans="1:5" ht="16">
      <c r="A3024" s="1" t="s">
        <v>2910</v>
      </c>
      <c r="B3024" s="1" t="s">
        <v>2959</v>
      </c>
      <c r="C3024" s="1" t="s">
        <v>334</v>
      </c>
      <c r="D3024" s="1" t="s">
        <v>229</v>
      </c>
      <c r="E3024" s="1"/>
    </row>
    <row r="3025" spans="1:5" ht="16">
      <c r="A3025" s="1" t="s">
        <v>2910</v>
      </c>
      <c r="B3025" s="1" t="s">
        <v>2960</v>
      </c>
      <c r="C3025" s="1" t="s">
        <v>334</v>
      </c>
      <c r="D3025" s="1" t="s">
        <v>229</v>
      </c>
      <c r="E3025" s="1"/>
    </row>
    <row r="3026" spans="1:5" ht="16">
      <c r="A3026" s="1" t="s">
        <v>2910</v>
      </c>
      <c r="B3026" s="1" t="s">
        <v>2961</v>
      </c>
      <c r="C3026" s="1" t="s">
        <v>334</v>
      </c>
      <c r="D3026" s="1" t="s">
        <v>229</v>
      </c>
      <c r="E3026" s="1"/>
    </row>
    <row r="3027" spans="1:5" ht="16">
      <c r="A3027" s="1" t="s">
        <v>2910</v>
      </c>
      <c r="B3027" s="1" t="s">
        <v>2962</v>
      </c>
      <c r="C3027" s="1" t="s">
        <v>334</v>
      </c>
      <c r="D3027" s="1" t="s">
        <v>229</v>
      </c>
      <c r="E3027" s="1"/>
    </row>
    <row r="3028" spans="1:5" ht="16">
      <c r="A3028" s="1" t="s">
        <v>2910</v>
      </c>
      <c r="B3028" s="1" t="s">
        <v>2963</v>
      </c>
      <c r="C3028" s="1" t="s">
        <v>334</v>
      </c>
      <c r="D3028" s="1" t="s">
        <v>229</v>
      </c>
      <c r="E3028" s="1"/>
    </row>
    <row r="3029" spans="1:5" ht="16">
      <c r="A3029" s="1" t="s">
        <v>2910</v>
      </c>
      <c r="B3029" s="1" t="s">
        <v>2964</v>
      </c>
      <c r="C3029" s="1" t="s">
        <v>334</v>
      </c>
      <c r="D3029" s="1" t="s">
        <v>229</v>
      </c>
      <c r="E3029" s="1"/>
    </row>
    <row r="3030" spans="1:5" ht="16">
      <c r="A3030" s="1" t="s">
        <v>2910</v>
      </c>
      <c r="B3030" s="1" t="s">
        <v>2922</v>
      </c>
      <c r="C3030" s="1" t="s">
        <v>332</v>
      </c>
      <c r="D3030" s="1" t="s">
        <v>229</v>
      </c>
      <c r="E3030" s="1" t="s">
        <v>500</v>
      </c>
    </row>
    <row r="3031" spans="1:5" ht="16">
      <c r="A3031" s="1" t="s">
        <v>2910</v>
      </c>
      <c r="B3031" s="1" t="s">
        <v>2965</v>
      </c>
      <c r="C3031" s="1" t="s">
        <v>332</v>
      </c>
      <c r="D3031" s="1" t="s">
        <v>229</v>
      </c>
      <c r="E3031" s="1"/>
    </row>
    <row r="3032" spans="1:5" ht="16">
      <c r="A3032" s="1" t="s">
        <v>2910</v>
      </c>
      <c r="B3032" s="1" t="s">
        <v>2966</v>
      </c>
      <c r="C3032" s="1" t="s">
        <v>332</v>
      </c>
      <c r="D3032" s="1" t="s">
        <v>229</v>
      </c>
      <c r="E3032" s="1"/>
    </row>
    <row r="3033" spans="1:5" ht="16">
      <c r="A3033" s="1" t="s">
        <v>2910</v>
      </c>
      <c r="B3033" s="1" t="s">
        <v>2967</v>
      </c>
      <c r="C3033" s="1" t="s">
        <v>332</v>
      </c>
      <c r="D3033" s="1" t="s">
        <v>229</v>
      </c>
      <c r="E3033" s="1"/>
    </row>
    <row r="3034" spans="1:5" ht="16">
      <c r="A3034" s="1" t="s">
        <v>2910</v>
      </c>
      <c r="B3034" s="1" t="s">
        <v>2968</v>
      </c>
      <c r="C3034" s="1" t="s">
        <v>332</v>
      </c>
      <c r="D3034" s="1" t="s">
        <v>229</v>
      </c>
      <c r="E3034" s="1"/>
    </row>
    <row r="3035" spans="1:5" ht="16">
      <c r="A3035" s="1" t="s">
        <v>2910</v>
      </c>
      <c r="B3035" s="1" t="s">
        <v>2969</v>
      </c>
      <c r="C3035" s="1" t="s">
        <v>265</v>
      </c>
      <c r="D3035" s="1" t="s">
        <v>229</v>
      </c>
      <c r="E3035" s="1"/>
    </row>
    <row r="3036" spans="1:5" ht="16">
      <c r="A3036" s="1" t="s">
        <v>2910</v>
      </c>
      <c r="B3036" s="1" t="s">
        <v>2970</v>
      </c>
      <c r="C3036" s="1" t="s">
        <v>265</v>
      </c>
      <c r="D3036" s="1" t="s">
        <v>229</v>
      </c>
      <c r="E3036" s="1"/>
    </row>
    <row r="3037" spans="1:5" ht="16">
      <c r="A3037" s="1" t="s">
        <v>2910</v>
      </c>
      <c r="B3037" s="1" t="s">
        <v>2971</v>
      </c>
      <c r="C3037" s="1" t="s">
        <v>265</v>
      </c>
      <c r="D3037" s="1" t="s">
        <v>229</v>
      </c>
      <c r="E3037" s="1"/>
    </row>
    <row r="3038" spans="1:5" ht="16">
      <c r="A3038" s="1" t="s">
        <v>2910</v>
      </c>
      <c r="B3038" s="1" t="s">
        <v>2972</v>
      </c>
      <c r="C3038" s="1" t="s">
        <v>265</v>
      </c>
      <c r="D3038" s="1" t="s">
        <v>229</v>
      </c>
      <c r="E3038" s="1"/>
    </row>
    <row r="3039" spans="1:5" ht="16">
      <c r="A3039" s="1" t="s">
        <v>2910</v>
      </c>
      <c r="B3039" s="1" t="s">
        <v>2973</v>
      </c>
      <c r="C3039" s="1" t="s">
        <v>265</v>
      </c>
      <c r="D3039" s="1" t="s">
        <v>229</v>
      </c>
      <c r="E3039" s="1"/>
    </row>
    <row r="3040" spans="1:5" ht="16">
      <c r="A3040" s="1" t="s">
        <v>2910</v>
      </c>
      <c r="B3040" s="1" t="s">
        <v>2974</v>
      </c>
      <c r="C3040" s="1" t="s">
        <v>334</v>
      </c>
      <c r="D3040" s="1" t="s">
        <v>229</v>
      </c>
      <c r="E3040" s="1"/>
    </row>
    <row r="3041" spans="1:5" ht="16">
      <c r="A3041" s="1" t="s">
        <v>2910</v>
      </c>
      <c r="B3041" s="1" t="s">
        <v>2975</v>
      </c>
      <c r="C3041" s="1" t="s">
        <v>334</v>
      </c>
      <c r="D3041" s="1" t="s">
        <v>229</v>
      </c>
      <c r="E3041" s="1"/>
    </row>
    <row r="3042" spans="1:5" ht="16">
      <c r="A3042" s="1" t="s">
        <v>2910</v>
      </c>
      <c r="B3042" s="1" t="s">
        <v>2976</v>
      </c>
      <c r="C3042" s="1" t="s">
        <v>332</v>
      </c>
      <c r="D3042" s="1" t="s">
        <v>229</v>
      </c>
      <c r="E3042" s="1"/>
    </row>
    <row r="3043" spans="1:5" ht="16">
      <c r="A3043" s="1" t="s">
        <v>2910</v>
      </c>
      <c r="B3043" s="1" t="s">
        <v>2977</v>
      </c>
      <c r="C3043" s="1" t="s">
        <v>332</v>
      </c>
      <c r="D3043" s="1" t="s">
        <v>229</v>
      </c>
      <c r="E3043" s="1"/>
    </row>
    <row r="3044" spans="1:5" ht="16">
      <c r="A3044" s="1" t="s">
        <v>2910</v>
      </c>
      <c r="B3044" s="1" t="s">
        <v>2978</v>
      </c>
      <c r="C3044" s="1" t="s">
        <v>332</v>
      </c>
      <c r="D3044" s="1" t="s">
        <v>229</v>
      </c>
      <c r="E3044" s="1"/>
    </row>
    <row r="3045" spans="1:5" ht="16">
      <c r="A3045" s="1" t="s">
        <v>2910</v>
      </c>
      <c r="B3045" s="1" t="s">
        <v>2979</v>
      </c>
      <c r="C3045" s="1" t="s">
        <v>332</v>
      </c>
      <c r="D3045" s="1" t="s">
        <v>229</v>
      </c>
      <c r="E3045" s="1"/>
    </row>
    <row r="3046" spans="1:5" ht="16">
      <c r="A3046" s="1" t="s">
        <v>2910</v>
      </c>
      <c r="B3046" s="1" t="s">
        <v>2980</v>
      </c>
      <c r="C3046" s="1" t="s">
        <v>332</v>
      </c>
      <c r="D3046" s="1" t="s">
        <v>229</v>
      </c>
      <c r="E3046" s="1"/>
    </row>
    <row r="3047" spans="1:5" ht="16">
      <c r="A3047" s="1" t="s">
        <v>2910</v>
      </c>
      <c r="B3047" s="1" t="s">
        <v>2981</v>
      </c>
      <c r="C3047" s="1" t="s">
        <v>263</v>
      </c>
      <c r="D3047" s="1" t="s">
        <v>229</v>
      </c>
      <c r="E3047" s="1"/>
    </row>
    <row r="3048" spans="1:5" ht="16">
      <c r="A3048" s="1" t="s">
        <v>2910</v>
      </c>
      <c r="B3048" s="1" t="s">
        <v>2618</v>
      </c>
      <c r="C3048" s="1" t="s">
        <v>332</v>
      </c>
      <c r="D3048" s="1" t="s">
        <v>229</v>
      </c>
      <c r="E3048" s="1"/>
    </row>
    <row r="3049" spans="1:5" ht="16">
      <c r="A3049" s="1" t="s">
        <v>2910</v>
      </c>
      <c r="B3049" s="1" t="s">
        <v>2615</v>
      </c>
      <c r="C3049" s="1" t="s">
        <v>332</v>
      </c>
      <c r="D3049" s="1" t="s">
        <v>229</v>
      </c>
      <c r="E3049" s="1"/>
    </row>
    <row r="3050" spans="1:5" ht="16">
      <c r="A3050" s="1" t="s">
        <v>2910</v>
      </c>
      <c r="B3050" s="1" t="s">
        <v>2616</v>
      </c>
      <c r="C3050" s="1" t="s">
        <v>332</v>
      </c>
      <c r="D3050" s="1" t="s">
        <v>229</v>
      </c>
      <c r="E3050" s="1"/>
    </row>
    <row r="3051" spans="1:5" ht="16">
      <c r="A3051" s="1" t="s">
        <v>2910</v>
      </c>
      <c r="B3051" s="1" t="s">
        <v>2617</v>
      </c>
      <c r="C3051" s="1" t="s">
        <v>332</v>
      </c>
      <c r="D3051" s="1" t="s">
        <v>229</v>
      </c>
      <c r="E3051" s="1"/>
    </row>
    <row r="3052" spans="1:5" ht="16">
      <c r="A3052" s="1" t="s">
        <v>2910</v>
      </c>
      <c r="B3052" s="1" t="s">
        <v>2621</v>
      </c>
      <c r="C3052" s="1" t="s">
        <v>332</v>
      </c>
      <c r="D3052" s="1" t="s">
        <v>229</v>
      </c>
      <c r="E3052" s="1"/>
    </row>
    <row r="3053" spans="1:5" ht="16">
      <c r="A3053" s="1" t="s">
        <v>2910</v>
      </c>
      <c r="B3053" s="1" t="s">
        <v>2620</v>
      </c>
      <c r="C3053" s="1" t="s">
        <v>332</v>
      </c>
      <c r="D3053" s="1" t="s">
        <v>229</v>
      </c>
      <c r="E3053" s="1"/>
    </row>
    <row r="3054" spans="1:5" ht="16">
      <c r="A3054" s="1" t="s">
        <v>2910</v>
      </c>
      <c r="B3054" s="1" t="s">
        <v>2619</v>
      </c>
      <c r="C3054" s="1" t="s">
        <v>332</v>
      </c>
      <c r="D3054" s="1" t="s">
        <v>229</v>
      </c>
      <c r="E3054" s="1"/>
    </row>
    <row r="3055" spans="1:5" ht="16">
      <c r="A3055" s="1" t="s">
        <v>2910</v>
      </c>
      <c r="B3055" s="1" t="s">
        <v>2982</v>
      </c>
      <c r="C3055" s="1" t="s">
        <v>332</v>
      </c>
      <c r="D3055" s="1" t="s">
        <v>229</v>
      </c>
      <c r="E3055" s="1"/>
    </row>
    <row r="3056" spans="1:5" ht="16">
      <c r="A3056" s="1" t="s">
        <v>2910</v>
      </c>
      <c r="B3056" s="1" t="s">
        <v>2983</v>
      </c>
      <c r="C3056" s="1" t="s">
        <v>332</v>
      </c>
      <c r="D3056" s="1" t="s">
        <v>229</v>
      </c>
      <c r="E3056" s="1"/>
    </row>
    <row r="3057" spans="1:5" ht="16">
      <c r="A3057" s="1" t="s">
        <v>2910</v>
      </c>
      <c r="B3057" s="1" t="s">
        <v>2984</v>
      </c>
      <c r="C3057" s="1" t="s">
        <v>332</v>
      </c>
      <c r="D3057" s="1" t="s">
        <v>229</v>
      </c>
      <c r="E3057" s="1"/>
    </row>
    <row r="3058" spans="1:5" ht="16">
      <c r="A3058" s="1" t="s">
        <v>2910</v>
      </c>
      <c r="B3058" s="1" t="s">
        <v>2614</v>
      </c>
      <c r="C3058" s="1" t="s">
        <v>332</v>
      </c>
      <c r="D3058" s="1" t="s">
        <v>229</v>
      </c>
      <c r="E3058" s="1"/>
    </row>
    <row r="3059" spans="1:5" ht="16">
      <c r="A3059" s="1" t="s">
        <v>2910</v>
      </c>
      <c r="B3059" s="1" t="s">
        <v>2985</v>
      </c>
      <c r="C3059" s="1" t="s">
        <v>334</v>
      </c>
      <c r="D3059" s="1" t="s">
        <v>229</v>
      </c>
      <c r="E3059" s="1"/>
    </row>
    <row r="3060" spans="1:5" ht="16">
      <c r="A3060" s="1" t="s">
        <v>2910</v>
      </c>
      <c r="B3060" s="1" t="s">
        <v>2986</v>
      </c>
      <c r="C3060" s="1" t="s">
        <v>265</v>
      </c>
      <c r="D3060" s="1" t="s">
        <v>229</v>
      </c>
      <c r="E3060" s="1"/>
    </row>
    <row r="3061" spans="1:5" ht="16">
      <c r="A3061" s="1" t="s">
        <v>2910</v>
      </c>
      <c r="B3061" s="1" t="s">
        <v>2784</v>
      </c>
      <c r="C3061" s="1" t="s">
        <v>332</v>
      </c>
      <c r="D3061" s="1" t="s">
        <v>229</v>
      </c>
      <c r="E3061" s="1"/>
    </row>
    <row r="3062" spans="1:5" ht="16">
      <c r="A3062" s="1" t="s">
        <v>2910</v>
      </c>
      <c r="B3062" s="1" t="s">
        <v>2785</v>
      </c>
      <c r="C3062" s="1" t="s">
        <v>332</v>
      </c>
      <c r="D3062" s="1" t="s">
        <v>229</v>
      </c>
      <c r="E3062" s="1"/>
    </row>
    <row r="3063" spans="1:5" ht="16">
      <c r="A3063" s="1" t="s">
        <v>2910</v>
      </c>
      <c r="B3063" s="1" t="s">
        <v>2786</v>
      </c>
      <c r="C3063" s="1" t="s">
        <v>332</v>
      </c>
      <c r="D3063" s="1" t="s">
        <v>229</v>
      </c>
      <c r="E3063" s="1"/>
    </row>
    <row r="3064" spans="1:5" ht="16">
      <c r="A3064" s="1" t="s">
        <v>2910</v>
      </c>
      <c r="B3064" s="1" t="s">
        <v>2780</v>
      </c>
      <c r="C3064" s="1" t="s">
        <v>332</v>
      </c>
      <c r="D3064" s="1" t="s">
        <v>229</v>
      </c>
      <c r="E3064" s="1"/>
    </row>
    <row r="3065" spans="1:5" ht="16">
      <c r="A3065" s="1" t="s">
        <v>2910</v>
      </c>
      <c r="B3065" s="1" t="s">
        <v>2783</v>
      </c>
      <c r="C3065" s="1" t="s">
        <v>332</v>
      </c>
      <c r="D3065" s="1" t="s">
        <v>229</v>
      </c>
      <c r="E3065" s="1"/>
    </row>
    <row r="3066" spans="1:5" ht="16">
      <c r="A3066" s="1" t="s">
        <v>2910</v>
      </c>
      <c r="B3066" s="1" t="s">
        <v>2781</v>
      </c>
      <c r="C3066" s="1" t="s">
        <v>332</v>
      </c>
      <c r="D3066" s="1" t="s">
        <v>229</v>
      </c>
      <c r="E3066" s="1"/>
    </row>
    <row r="3067" spans="1:5" ht="16">
      <c r="A3067" s="1" t="s">
        <v>2910</v>
      </c>
      <c r="B3067" s="1" t="s">
        <v>2782</v>
      </c>
      <c r="C3067" s="1" t="s">
        <v>332</v>
      </c>
      <c r="D3067" s="1" t="s">
        <v>229</v>
      </c>
      <c r="E3067" s="1"/>
    </row>
    <row r="3068" spans="1:5" ht="16">
      <c r="A3068" s="1" t="s">
        <v>2910</v>
      </c>
      <c r="B3068" s="1" t="s">
        <v>2987</v>
      </c>
      <c r="C3068" s="1" t="s">
        <v>334</v>
      </c>
      <c r="D3068" s="1" t="s">
        <v>229</v>
      </c>
      <c r="E3068" s="1"/>
    </row>
    <row r="3069" spans="1:5" ht="16">
      <c r="A3069" s="1" t="s">
        <v>2910</v>
      </c>
      <c r="B3069" s="1" t="s">
        <v>2988</v>
      </c>
      <c r="C3069" s="1" t="s">
        <v>334</v>
      </c>
      <c r="D3069" s="1" t="s">
        <v>229</v>
      </c>
      <c r="E3069" s="1"/>
    </row>
    <row r="3070" spans="1:5" ht="16">
      <c r="A3070" s="1" t="s">
        <v>2910</v>
      </c>
      <c r="B3070" s="1" t="s">
        <v>2989</v>
      </c>
      <c r="C3070" s="1" t="s">
        <v>332</v>
      </c>
      <c r="D3070" s="1" t="s">
        <v>229</v>
      </c>
      <c r="E3070" s="1"/>
    </row>
    <row r="3071" spans="1:5" ht="16">
      <c r="A3071" s="1" t="s">
        <v>2910</v>
      </c>
      <c r="B3071" s="1" t="s">
        <v>2990</v>
      </c>
      <c r="C3071" s="1" t="s">
        <v>332</v>
      </c>
      <c r="D3071" s="1" t="s">
        <v>229</v>
      </c>
      <c r="E3071" s="1"/>
    </row>
    <row r="3072" spans="1:5" ht="16">
      <c r="A3072" s="1" t="s">
        <v>2910</v>
      </c>
      <c r="B3072" s="1" t="s">
        <v>2991</v>
      </c>
      <c r="C3072" s="1" t="s">
        <v>332</v>
      </c>
      <c r="D3072" s="1" t="s">
        <v>229</v>
      </c>
      <c r="E3072" s="1"/>
    </row>
    <row r="3073" spans="1:5" ht="16">
      <c r="A3073" s="1" t="s">
        <v>2910</v>
      </c>
      <c r="B3073" s="1" t="s">
        <v>2992</v>
      </c>
      <c r="C3073" s="1" t="s">
        <v>332</v>
      </c>
      <c r="D3073" s="1" t="s">
        <v>229</v>
      </c>
      <c r="E3073" s="1"/>
    </row>
    <row r="3074" spans="1:5" ht="16">
      <c r="A3074" s="1" t="s">
        <v>2910</v>
      </c>
      <c r="B3074" s="1" t="s">
        <v>2993</v>
      </c>
      <c r="C3074" s="1" t="s">
        <v>332</v>
      </c>
      <c r="D3074" s="1" t="s">
        <v>229</v>
      </c>
      <c r="E3074" s="1"/>
    </row>
    <row r="3075" spans="1:5" ht="16">
      <c r="A3075" s="1" t="s">
        <v>2910</v>
      </c>
      <c r="B3075" s="1" t="s">
        <v>2994</v>
      </c>
      <c r="C3075" s="1" t="s">
        <v>332</v>
      </c>
      <c r="D3075" s="1" t="s">
        <v>229</v>
      </c>
      <c r="E3075" s="1" t="s">
        <v>500</v>
      </c>
    </row>
    <row r="3076" spans="1:5" ht="16">
      <c r="A3076" s="1" t="s">
        <v>2910</v>
      </c>
      <c r="B3076" s="1" t="s">
        <v>2995</v>
      </c>
      <c r="C3076" s="1" t="s">
        <v>332</v>
      </c>
      <c r="D3076" s="1" t="s">
        <v>229</v>
      </c>
      <c r="E3076" s="1"/>
    </row>
    <row r="3077" spans="1:5" ht="16">
      <c r="A3077" s="1" t="s">
        <v>2910</v>
      </c>
      <c r="B3077" s="1" t="s">
        <v>2996</v>
      </c>
      <c r="C3077" s="1" t="s">
        <v>332</v>
      </c>
      <c r="D3077" s="1" t="s">
        <v>229</v>
      </c>
      <c r="E3077" s="1"/>
    </row>
    <row r="3078" spans="1:5" ht="16">
      <c r="A3078" s="1" t="s">
        <v>2910</v>
      </c>
      <c r="B3078" s="1" t="s">
        <v>2997</v>
      </c>
      <c r="C3078" s="1" t="s">
        <v>332</v>
      </c>
      <c r="D3078" s="1" t="s">
        <v>229</v>
      </c>
      <c r="E3078" s="1"/>
    </row>
    <row r="3079" spans="1:5" ht="16">
      <c r="A3079" s="1" t="s">
        <v>2910</v>
      </c>
      <c r="B3079" s="1" t="s">
        <v>2998</v>
      </c>
      <c r="C3079" s="1" t="s">
        <v>332</v>
      </c>
      <c r="D3079" s="1" t="s">
        <v>229</v>
      </c>
      <c r="E3079" s="1"/>
    </row>
    <row r="3080" spans="1:5" ht="16">
      <c r="A3080" s="1" t="s">
        <v>2910</v>
      </c>
      <c r="B3080" s="1" t="s">
        <v>2691</v>
      </c>
      <c r="C3080" s="1" t="s">
        <v>332</v>
      </c>
      <c r="D3080" s="1" t="s">
        <v>229</v>
      </c>
      <c r="E3080" s="1"/>
    </row>
    <row r="3081" spans="1:5" ht="16">
      <c r="A3081" s="1" t="s">
        <v>2910</v>
      </c>
      <c r="B3081" s="1" t="s">
        <v>2692</v>
      </c>
      <c r="C3081" s="1" t="s">
        <v>332</v>
      </c>
      <c r="D3081" s="1" t="s">
        <v>229</v>
      </c>
      <c r="E3081" s="1"/>
    </row>
    <row r="3082" spans="1:5" ht="16">
      <c r="A3082" s="1" t="s">
        <v>2910</v>
      </c>
      <c r="B3082" s="1" t="s">
        <v>2999</v>
      </c>
      <c r="C3082" s="1" t="s">
        <v>332</v>
      </c>
      <c r="D3082" s="1" t="s">
        <v>229</v>
      </c>
      <c r="E3082" s="1"/>
    </row>
    <row r="3083" spans="1:5" ht="16">
      <c r="A3083" s="1" t="s">
        <v>2910</v>
      </c>
      <c r="B3083" s="1" t="s">
        <v>3000</v>
      </c>
      <c r="C3083" s="1" t="s">
        <v>332</v>
      </c>
      <c r="D3083" s="1" t="s">
        <v>229</v>
      </c>
      <c r="E3083" s="1"/>
    </row>
    <row r="3084" spans="1:5" ht="16">
      <c r="A3084" s="1" t="s">
        <v>2910</v>
      </c>
      <c r="B3084" s="1" t="s">
        <v>3001</v>
      </c>
      <c r="C3084" s="1" t="s">
        <v>332</v>
      </c>
      <c r="D3084" s="1" t="s">
        <v>229</v>
      </c>
      <c r="E3084" s="1"/>
    </row>
    <row r="3085" spans="1:5" ht="16">
      <c r="A3085" s="1" t="s">
        <v>2910</v>
      </c>
      <c r="B3085" s="1" t="s">
        <v>2701</v>
      </c>
      <c r="C3085" s="1" t="s">
        <v>332</v>
      </c>
      <c r="D3085" s="1" t="s">
        <v>229</v>
      </c>
      <c r="E3085" s="1"/>
    </row>
    <row r="3086" spans="1:5" ht="16">
      <c r="A3086" s="1" t="s">
        <v>2910</v>
      </c>
      <c r="B3086" s="1" t="s">
        <v>2694</v>
      </c>
      <c r="C3086" s="1" t="s">
        <v>332</v>
      </c>
      <c r="D3086" s="1" t="s">
        <v>229</v>
      </c>
      <c r="E3086" s="1"/>
    </row>
    <row r="3087" spans="1:5" ht="16">
      <c r="A3087" s="1" t="s">
        <v>3002</v>
      </c>
      <c r="B3087" s="1" t="s">
        <v>3003</v>
      </c>
      <c r="C3087" s="1" t="s">
        <v>234</v>
      </c>
      <c r="D3087" s="1" t="s">
        <v>229</v>
      </c>
      <c r="E3087" s="1" t="s">
        <v>500</v>
      </c>
    </row>
    <row r="3088" spans="1:5" ht="16">
      <c r="A3088" s="1" t="s">
        <v>3002</v>
      </c>
      <c r="B3088" s="1" t="s">
        <v>3004</v>
      </c>
      <c r="C3088" s="1" t="s">
        <v>234</v>
      </c>
      <c r="D3088" s="1" t="s">
        <v>229</v>
      </c>
      <c r="E3088" s="1" t="s">
        <v>500</v>
      </c>
    </row>
    <row r="3089" spans="1:5" ht="16">
      <c r="A3089" s="1" t="s">
        <v>3002</v>
      </c>
      <c r="B3089" s="1" t="s">
        <v>3005</v>
      </c>
      <c r="C3089" s="1" t="s">
        <v>234</v>
      </c>
      <c r="D3089" s="1" t="s">
        <v>229</v>
      </c>
      <c r="E3089" s="1" t="s">
        <v>500</v>
      </c>
    </row>
    <row r="3090" spans="1:5" ht="16">
      <c r="A3090" s="1" t="s">
        <v>3002</v>
      </c>
      <c r="B3090" s="1" t="s">
        <v>3006</v>
      </c>
      <c r="C3090" s="1" t="s">
        <v>234</v>
      </c>
      <c r="D3090" s="1" t="s">
        <v>229</v>
      </c>
      <c r="E3090" s="1" t="s">
        <v>500</v>
      </c>
    </row>
    <row r="3091" spans="1:5" ht="16">
      <c r="A3091" s="1" t="s">
        <v>3002</v>
      </c>
      <c r="B3091" s="1" t="s">
        <v>3007</v>
      </c>
      <c r="C3091" s="1" t="s">
        <v>234</v>
      </c>
      <c r="D3091" s="1" t="s">
        <v>229</v>
      </c>
      <c r="E3091" s="1" t="s">
        <v>500</v>
      </c>
    </row>
    <row r="3092" spans="1:5" ht="16">
      <c r="A3092" s="1" t="s">
        <v>3002</v>
      </c>
      <c r="B3092" s="1" t="s">
        <v>3008</v>
      </c>
      <c r="C3092" s="1" t="s">
        <v>234</v>
      </c>
      <c r="D3092" s="1" t="s">
        <v>229</v>
      </c>
      <c r="E3092" s="1" t="s">
        <v>500</v>
      </c>
    </row>
    <row r="3093" spans="1:5" ht="16">
      <c r="A3093" s="1" t="s">
        <v>3002</v>
      </c>
      <c r="B3093" s="1" t="s">
        <v>3009</v>
      </c>
      <c r="C3093" s="1" t="s">
        <v>234</v>
      </c>
      <c r="D3093" s="1" t="s">
        <v>229</v>
      </c>
      <c r="E3093" s="1" t="s">
        <v>500</v>
      </c>
    </row>
    <row r="3094" spans="1:5" ht="16">
      <c r="A3094" s="1" t="s">
        <v>3002</v>
      </c>
      <c r="B3094" s="1" t="s">
        <v>3010</v>
      </c>
      <c r="C3094" s="1" t="s">
        <v>234</v>
      </c>
      <c r="D3094" s="1" t="s">
        <v>229</v>
      </c>
      <c r="E3094" s="1" t="s">
        <v>500</v>
      </c>
    </row>
    <row r="3095" spans="1:5" ht="16">
      <c r="A3095" s="1" t="s">
        <v>3002</v>
      </c>
      <c r="B3095" s="1" t="s">
        <v>3011</v>
      </c>
      <c r="C3095" s="1" t="s">
        <v>334</v>
      </c>
      <c r="D3095" s="1" t="s">
        <v>229</v>
      </c>
      <c r="E3095" s="1" t="s">
        <v>500</v>
      </c>
    </row>
    <row r="3096" spans="1:5" ht="16">
      <c r="A3096" s="1" t="s">
        <v>3002</v>
      </c>
      <c r="B3096" s="1" t="s">
        <v>3012</v>
      </c>
      <c r="C3096" s="1" t="s">
        <v>334</v>
      </c>
      <c r="D3096" s="1" t="s">
        <v>229</v>
      </c>
      <c r="E3096" s="1" t="s">
        <v>500</v>
      </c>
    </row>
    <row r="3097" spans="1:5" ht="16">
      <c r="A3097" s="1" t="s">
        <v>3002</v>
      </c>
      <c r="B3097" s="1" t="s">
        <v>3013</v>
      </c>
      <c r="C3097" s="1" t="s">
        <v>334</v>
      </c>
      <c r="D3097" s="1" t="s">
        <v>229</v>
      </c>
      <c r="E3097" s="1" t="s">
        <v>500</v>
      </c>
    </row>
    <row r="3098" spans="1:5" ht="16">
      <c r="A3098" s="1" t="s">
        <v>3002</v>
      </c>
      <c r="B3098" s="1" t="s">
        <v>3014</v>
      </c>
      <c r="C3098" s="1" t="s">
        <v>334</v>
      </c>
      <c r="D3098" s="1" t="s">
        <v>229</v>
      </c>
      <c r="E3098" s="1"/>
    </row>
    <row r="3099" spans="1:5" ht="16">
      <c r="A3099" s="1" t="s">
        <v>3002</v>
      </c>
      <c r="B3099" s="1" t="s">
        <v>3015</v>
      </c>
      <c r="C3099" s="1" t="s">
        <v>334</v>
      </c>
      <c r="D3099" s="1" t="s">
        <v>229</v>
      </c>
      <c r="E3099" s="1"/>
    </row>
    <row r="3100" spans="1:5" ht="16">
      <c r="A3100" s="1" t="s">
        <v>3002</v>
      </c>
      <c r="B3100" s="1" t="s">
        <v>3016</v>
      </c>
      <c r="C3100" s="1" t="s">
        <v>334</v>
      </c>
      <c r="D3100" s="1" t="s">
        <v>229</v>
      </c>
      <c r="E3100" s="1"/>
    </row>
    <row r="3101" spans="1:5" ht="16">
      <c r="A3101" s="1" t="s">
        <v>3002</v>
      </c>
      <c r="B3101" s="1" t="s">
        <v>3017</v>
      </c>
      <c r="C3101" s="1" t="s">
        <v>334</v>
      </c>
      <c r="D3101" s="1" t="s">
        <v>229</v>
      </c>
      <c r="E3101" s="1"/>
    </row>
    <row r="3102" spans="1:5" ht="16">
      <c r="A3102" s="1" t="s">
        <v>3002</v>
      </c>
      <c r="B3102" s="1" t="s">
        <v>3018</v>
      </c>
      <c r="C3102" s="1" t="s">
        <v>334</v>
      </c>
      <c r="D3102" s="1" t="s">
        <v>229</v>
      </c>
      <c r="E3102" s="1"/>
    </row>
    <row r="3103" spans="1:5" ht="16">
      <c r="A3103" s="1" t="s">
        <v>3002</v>
      </c>
      <c r="B3103" s="1" t="s">
        <v>3019</v>
      </c>
      <c r="C3103" s="1" t="s">
        <v>334</v>
      </c>
      <c r="D3103" s="1" t="s">
        <v>229</v>
      </c>
      <c r="E3103" s="1"/>
    </row>
    <row r="3104" spans="1:5" ht="16">
      <c r="A3104" s="1" t="s">
        <v>3002</v>
      </c>
      <c r="B3104" s="1" t="s">
        <v>3020</v>
      </c>
      <c r="C3104" s="1" t="s">
        <v>334</v>
      </c>
      <c r="D3104" s="1" t="s">
        <v>229</v>
      </c>
      <c r="E3104" s="1" t="s">
        <v>500</v>
      </c>
    </row>
    <row r="3105" spans="1:5" ht="16">
      <c r="A3105" s="1" t="s">
        <v>3002</v>
      </c>
      <c r="B3105" s="1" t="s">
        <v>3021</v>
      </c>
      <c r="C3105" s="1" t="s">
        <v>334</v>
      </c>
      <c r="D3105" s="1" t="s">
        <v>229</v>
      </c>
      <c r="E3105" s="1" t="s">
        <v>500</v>
      </c>
    </row>
    <row r="3106" spans="1:5" ht="16">
      <c r="A3106" s="1" t="s">
        <v>3002</v>
      </c>
      <c r="B3106" s="1" t="s">
        <v>3022</v>
      </c>
      <c r="C3106" s="1" t="s">
        <v>334</v>
      </c>
      <c r="D3106" s="1" t="s">
        <v>229</v>
      </c>
      <c r="E3106" s="1"/>
    </row>
    <row r="3107" spans="1:5" ht="16">
      <c r="A3107" s="1" t="s">
        <v>3002</v>
      </c>
      <c r="B3107" s="1" t="s">
        <v>3023</v>
      </c>
      <c r="C3107" s="1" t="s">
        <v>334</v>
      </c>
      <c r="D3107" s="1" t="s">
        <v>229</v>
      </c>
      <c r="E3107" s="1" t="s">
        <v>500</v>
      </c>
    </row>
    <row r="3108" spans="1:5" ht="16">
      <c r="A3108" s="1" t="s">
        <v>3002</v>
      </c>
      <c r="B3108" s="1" t="s">
        <v>3024</v>
      </c>
      <c r="C3108" s="1" t="s">
        <v>334</v>
      </c>
      <c r="D3108" s="1" t="s">
        <v>229</v>
      </c>
      <c r="E3108" s="1" t="s">
        <v>500</v>
      </c>
    </row>
    <row r="3109" spans="1:5" ht="16">
      <c r="A3109" s="1" t="s">
        <v>3002</v>
      </c>
      <c r="B3109" s="1" t="s">
        <v>3025</v>
      </c>
      <c r="C3109" s="1" t="s">
        <v>334</v>
      </c>
      <c r="D3109" s="1" t="s">
        <v>229</v>
      </c>
      <c r="E3109" s="1"/>
    </row>
    <row r="3110" spans="1:5" ht="16">
      <c r="A3110" s="1" t="s">
        <v>3002</v>
      </c>
      <c r="B3110" s="1" t="s">
        <v>3026</v>
      </c>
      <c r="C3110" s="1" t="s">
        <v>334</v>
      </c>
      <c r="D3110" s="1" t="s">
        <v>229</v>
      </c>
      <c r="E3110" s="1"/>
    </row>
    <row r="3111" spans="1:5" ht="16">
      <c r="A3111" s="1" t="s">
        <v>3002</v>
      </c>
      <c r="B3111" s="1" t="s">
        <v>3027</v>
      </c>
      <c r="C3111" s="1" t="s">
        <v>234</v>
      </c>
      <c r="D3111" s="1" t="s">
        <v>229</v>
      </c>
      <c r="E3111" s="1" t="s">
        <v>500</v>
      </c>
    </row>
    <row r="3112" spans="1:5" ht="16">
      <c r="A3112" s="1" t="s">
        <v>3002</v>
      </c>
      <c r="B3112" s="1" t="s">
        <v>3028</v>
      </c>
      <c r="C3112" s="1" t="s">
        <v>234</v>
      </c>
      <c r="D3112" s="1" t="s">
        <v>229</v>
      </c>
      <c r="E3112" s="1" t="s">
        <v>500</v>
      </c>
    </row>
    <row r="3113" spans="1:5" ht="16">
      <c r="A3113" s="1" t="s">
        <v>3002</v>
      </c>
      <c r="B3113" s="1" t="s">
        <v>3029</v>
      </c>
      <c r="C3113" s="1" t="s">
        <v>234</v>
      </c>
      <c r="D3113" s="1" t="s">
        <v>229</v>
      </c>
      <c r="E3113" s="1" t="s">
        <v>500</v>
      </c>
    </row>
    <row r="3114" spans="1:5" ht="16">
      <c r="A3114" s="1" t="s">
        <v>3002</v>
      </c>
      <c r="B3114" s="1" t="s">
        <v>3030</v>
      </c>
      <c r="C3114" s="1" t="s">
        <v>234</v>
      </c>
      <c r="D3114" s="1" t="s">
        <v>229</v>
      </c>
      <c r="E3114" s="1" t="s">
        <v>500</v>
      </c>
    </row>
    <row r="3115" spans="1:5" ht="16">
      <c r="A3115" s="1" t="s">
        <v>3002</v>
      </c>
      <c r="B3115" s="1" t="s">
        <v>3031</v>
      </c>
      <c r="C3115" s="1" t="s">
        <v>234</v>
      </c>
      <c r="D3115" s="1" t="s">
        <v>229</v>
      </c>
      <c r="E3115" s="1" t="s">
        <v>500</v>
      </c>
    </row>
    <row r="3116" spans="1:5" ht="16">
      <c r="A3116" s="1" t="s">
        <v>3002</v>
      </c>
      <c r="B3116" s="1" t="s">
        <v>3032</v>
      </c>
      <c r="C3116" s="1" t="s">
        <v>234</v>
      </c>
      <c r="D3116" s="1" t="s">
        <v>229</v>
      </c>
      <c r="E3116" s="1" t="s">
        <v>500</v>
      </c>
    </row>
    <row r="3117" spans="1:5" ht="16">
      <c r="A3117" s="1" t="s">
        <v>3002</v>
      </c>
      <c r="B3117" s="1" t="s">
        <v>3033</v>
      </c>
      <c r="C3117" s="1" t="s">
        <v>234</v>
      </c>
      <c r="D3117" s="1" t="s">
        <v>229</v>
      </c>
      <c r="E3117" s="1" t="s">
        <v>500</v>
      </c>
    </row>
    <row r="3118" spans="1:5" ht="16">
      <c r="A3118" s="1" t="s">
        <v>3002</v>
      </c>
      <c r="B3118" s="1" t="s">
        <v>3034</v>
      </c>
      <c r="C3118" s="1" t="s">
        <v>334</v>
      </c>
      <c r="D3118" s="1" t="s">
        <v>229</v>
      </c>
      <c r="E3118" s="1" t="s">
        <v>500</v>
      </c>
    </row>
    <row r="3119" spans="1:5" ht="16">
      <c r="A3119" s="1" t="s">
        <v>3002</v>
      </c>
      <c r="B3119" s="1" t="s">
        <v>3034</v>
      </c>
      <c r="C3119" s="1" t="s">
        <v>624</v>
      </c>
      <c r="D3119" s="1" t="s">
        <v>229</v>
      </c>
      <c r="E3119" s="1" t="s">
        <v>500</v>
      </c>
    </row>
    <row r="3120" spans="1:5" ht="16">
      <c r="A3120" s="1" t="s">
        <v>3002</v>
      </c>
      <c r="B3120" s="1" t="s">
        <v>3035</v>
      </c>
      <c r="C3120" s="1" t="s">
        <v>334</v>
      </c>
      <c r="D3120" s="1" t="s">
        <v>229</v>
      </c>
      <c r="E3120" s="1" t="s">
        <v>500</v>
      </c>
    </row>
    <row r="3121" spans="1:5" ht="16">
      <c r="A3121" s="1" t="s">
        <v>3002</v>
      </c>
      <c r="B3121" s="1" t="s">
        <v>3036</v>
      </c>
      <c r="C3121" s="1" t="s">
        <v>334</v>
      </c>
      <c r="D3121" s="1" t="s">
        <v>229</v>
      </c>
      <c r="E3121" s="1"/>
    </row>
    <row r="3122" spans="1:5" ht="16">
      <c r="A3122" s="1" t="s">
        <v>3002</v>
      </c>
      <c r="B3122" s="1" t="s">
        <v>3037</v>
      </c>
      <c r="C3122" s="1" t="s">
        <v>334</v>
      </c>
      <c r="D3122" s="1" t="s">
        <v>229</v>
      </c>
      <c r="E3122" s="1"/>
    </row>
    <row r="3123" spans="1:5" ht="16">
      <c r="A3123" s="1" t="s">
        <v>3002</v>
      </c>
      <c r="B3123" s="1" t="s">
        <v>3038</v>
      </c>
      <c r="C3123" s="1" t="s">
        <v>334</v>
      </c>
      <c r="D3123" s="1" t="s">
        <v>229</v>
      </c>
      <c r="E3123" s="1"/>
    </row>
    <row r="3124" spans="1:5" ht="16">
      <c r="A3124" s="1" t="s">
        <v>3002</v>
      </c>
      <c r="B3124" s="1" t="s">
        <v>3039</v>
      </c>
      <c r="C3124" s="1" t="s">
        <v>334</v>
      </c>
      <c r="D3124" s="1" t="s">
        <v>229</v>
      </c>
      <c r="E3124" s="1"/>
    </row>
    <row r="3125" spans="1:5" ht="16">
      <c r="A3125" s="1" t="s">
        <v>3002</v>
      </c>
      <c r="B3125" s="1" t="s">
        <v>3040</v>
      </c>
      <c r="C3125" s="1" t="s">
        <v>234</v>
      </c>
      <c r="D3125" s="1" t="s">
        <v>229</v>
      </c>
      <c r="E3125" s="1" t="s">
        <v>500</v>
      </c>
    </row>
    <row r="3126" spans="1:5" ht="16">
      <c r="A3126" s="1" t="s">
        <v>3002</v>
      </c>
      <c r="B3126" s="1" t="s">
        <v>3041</v>
      </c>
      <c r="C3126" s="1" t="s">
        <v>234</v>
      </c>
      <c r="D3126" s="1" t="s">
        <v>229</v>
      </c>
      <c r="E3126" s="1" t="s">
        <v>500</v>
      </c>
    </row>
    <row r="3127" spans="1:5" ht="16">
      <c r="A3127" s="1" t="s">
        <v>3002</v>
      </c>
      <c r="B3127" s="1" t="s">
        <v>3042</v>
      </c>
      <c r="C3127" s="1" t="s">
        <v>234</v>
      </c>
      <c r="D3127" s="1" t="s">
        <v>229</v>
      </c>
      <c r="E3127" s="1" t="s">
        <v>500</v>
      </c>
    </row>
    <row r="3128" spans="1:5" ht="16">
      <c r="A3128" s="1" t="s">
        <v>3002</v>
      </c>
      <c r="B3128" s="1" t="s">
        <v>3043</v>
      </c>
      <c r="C3128" s="1" t="s">
        <v>234</v>
      </c>
      <c r="D3128" s="1" t="s">
        <v>229</v>
      </c>
      <c r="E3128" s="1" t="s">
        <v>500</v>
      </c>
    </row>
    <row r="3129" spans="1:5" ht="16">
      <c r="A3129" s="1" t="s">
        <v>3002</v>
      </c>
      <c r="B3129" s="1" t="s">
        <v>3044</v>
      </c>
      <c r="C3129" s="1" t="s">
        <v>234</v>
      </c>
      <c r="D3129" s="1" t="s">
        <v>229</v>
      </c>
      <c r="E3129" s="1" t="s">
        <v>500</v>
      </c>
    </row>
    <row r="3130" spans="1:5" ht="16">
      <c r="A3130" s="1" t="s">
        <v>3002</v>
      </c>
      <c r="B3130" s="1" t="s">
        <v>3045</v>
      </c>
      <c r="C3130" s="1" t="s">
        <v>234</v>
      </c>
      <c r="D3130" s="1" t="s">
        <v>229</v>
      </c>
      <c r="E3130" s="1" t="s">
        <v>500</v>
      </c>
    </row>
    <row r="3131" spans="1:5" ht="16">
      <c r="A3131" s="1" t="s">
        <v>3002</v>
      </c>
      <c r="B3131" s="1" t="s">
        <v>3046</v>
      </c>
      <c r="C3131" s="1" t="s">
        <v>234</v>
      </c>
      <c r="D3131" s="1" t="s">
        <v>229</v>
      </c>
      <c r="E3131" s="1" t="s">
        <v>500</v>
      </c>
    </row>
    <row r="3132" spans="1:5" ht="16">
      <c r="A3132" s="1" t="s">
        <v>3002</v>
      </c>
      <c r="B3132" s="1" t="s">
        <v>3047</v>
      </c>
      <c r="C3132" s="1" t="s">
        <v>234</v>
      </c>
      <c r="D3132" s="1" t="s">
        <v>229</v>
      </c>
      <c r="E3132" s="1" t="s">
        <v>500</v>
      </c>
    </row>
    <row r="3133" spans="1:5" ht="16">
      <c r="A3133" s="1" t="s">
        <v>3002</v>
      </c>
      <c r="B3133" s="1" t="s">
        <v>3048</v>
      </c>
      <c r="C3133" s="1" t="s">
        <v>334</v>
      </c>
      <c r="D3133" s="1" t="s">
        <v>229</v>
      </c>
      <c r="E3133" s="1" t="s">
        <v>500</v>
      </c>
    </row>
    <row r="3134" spans="1:5" ht="16">
      <c r="A3134" s="1" t="s">
        <v>3002</v>
      </c>
      <c r="B3134" s="1" t="s">
        <v>3049</v>
      </c>
      <c r="C3134" s="1" t="s">
        <v>334</v>
      </c>
      <c r="D3134" s="1" t="s">
        <v>229</v>
      </c>
      <c r="E3134" s="1" t="s">
        <v>500</v>
      </c>
    </row>
    <row r="3135" spans="1:5" ht="16">
      <c r="A3135" s="1" t="s">
        <v>3002</v>
      </c>
      <c r="B3135" s="1" t="s">
        <v>3050</v>
      </c>
      <c r="C3135" s="1" t="s">
        <v>334</v>
      </c>
      <c r="D3135" s="1" t="s">
        <v>229</v>
      </c>
      <c r="E3135" s="1"/>
    </row>
    <row r="3136" spans="1:5" ht="16">
      <c r="A3136" s="1" t="s">
        <v>3002</v>
      </c>
      <c r="B3136" s="1" t="s">
        <v>3051</v>
      </c>
      <c r="C3136" s="1" t="s">
        <v>334</v>
      </c>
      <c r="D3136" s="1" t="s">
        <v>229</v>
      </c>
      <c r="E3136" s="1"/>
    </row>
    <row r="3137" spans="1:5" ht="16">
      <c r="A3137" s="1" t="s">
        <v>3002</v>
      </c>
      <c r="B3137" s="1" t="s">
        <v>3052</v>
      </c>
      <c r="C3137" s="1" t="s">
        <v>234</v>
      </c>
      <c r="D3137" s="1" t="s">
        <v>229</v>
      </c>
      <c r="E3137" s="1" t="s">
        <v>500</v>
      </c>
    </row>
    <row r="3138" spans="1:5" ht="16">
      <c r="A3138" s="1" t="s">
        <v>3002</v>
      </c>
      <c r="B3138" s="1" t="s">
        <v>3053</v>
      </c>
      <c r="C3138" s="1" t="s">
        <v>234</v>
      </c>
      <c r="D3138" s="1" t="s">
        <v>229</v>
      </c>
      <c r="E3138" s="1" t="s">
        <v>500</v>
      </c>
    </row>
    <row r="3139" spans="1:5" ht="16">
      <c r="A3139" s="1" t="s">
        <v>3002</v>
      </c>
      <c r="B3139" s="1" t="s">
        <v>3054</v>
      </c>
      <c r="C3139" s="1" t="s">
        <v>234</v>
      </c>
      <c r="D3139" s="1" t="s">
        <v>229</v>
      </c>
      <c r="E3139" s="1" t="s">
        <v>500</v>
      </c>
    </row>
    <row r="3140" spans="1:5" ht="16">
      <c r="A3140" s="1" t="s">
        <v>3002</v>
      </c>
      <c r="B3140" s="1" t="s">
        <v>3055</v>
      </c>
      <c r="C3140" s="1" t="s">
        <v>234</v>
      </c>
      <c r="D3140" s="1" t="s">
        <v>229</v>
      </c>
      <c r="E3140" s="1" t="s">
        <v>500</v>
      </c>
    </row>
    <row r="3141" spans="1:5" ht="16">
      <c r="A3141" s="1" t="s">
        <v>3002</v>
      </c>
      <c r="B3141" s="1" t="s">
        <v>3056</v>
      </c>
      <c r="C3141" s="1" t="s">
        <v>234</v>
      </c>
      <c r="D3141" s="1" t="s">
        <v>229</v>
      </c>
      <c r="E3141" s="1" t="s">
        <v>500</v>
      </c>
    </row>
    <row r="3142" spans="1:5" ht="16">
      <c r="A3142" s="1" t="s">
        <v>3002</v>
      </c>
      <c r="B3142" s="1" t="s">
        <v>3057</v>
      </c>
      <c r="C3142" s="1" t="s">
        <v>334</v>
      </c>
      <c r="D3142" s="1" t="s">
        <v>229</v>
      </c>
      <c r="E3142" s="1" t="s">
        <v>500</v>
      </c>
    </row>
    <row r="3143" spans="1:5" ht="16">
      <c r="A3143" s="1" t="s">
        <v>3002</v>
      </c>
      <c r="B3143" s="1" t="s">
        <v>3034</v>
      </c>
      <c r="C3143" s="1" t="s">
        <v>2026</v>
      </c>
      <c r="D3143" s="1" t="s">
        <v>229</v>
      </c>
      <c r="E3143" s="1" t="s">
        <v>500</v>
      </c>
    </row>
    <row r="3144" spans="1:5" ht="16">
      <c r="A3144" s="1" t="s">
        <v>3002</v>
      </c>
      <c r="B3144" s="1" t="s">
        <v>3058</v>
      </c>
      <c r="C3144" s="1" t="s">
        <v>334</v>
      </c>
      <c r="D3144" s="1" t="s">
        <v>229</v>
      </c>
      <c r="E3144" s="1" t="s">
        <v>500</v>
      </c>
    </row>
    <row r="3145" spans="1:5" ht="16">
      <c r="A3145" s="1" t="s">
        <v>3002</v>
      </c>
      <c r="B3145" s="1" t="s">
        <v>3059</v>
      </c>
      <c r="C3145" s="1" t="s">
        <v>334</v>
      </c>
      <c r="D3145" s="1" t="s">
        <v>229</v>
      </c>
      <c r="E3145" s="1" t="s">
        <v>500</v>
      </c>
    </row>
    <row r="3146" spans="1:5" ht="16">
      <c r="A3146" s="1" t="s">
        <v>3002</v>
      </c>
      <c r="B3146" s="1" t="s">
        <v>3060</v>
      </c>
      <c r="C3146" s="1" t="s">
        <v>334</v>
      </c>
      <c r="D3146" s="1" t="s">
        <v>229</v>
      </c>
      <c r="E3146" s="1"/>
    </row>
    <row r="3147" spans="1:5" ht="16">
      <c r="A3147" s="1" t="s">
        <v>3002</v>
      </c>
      <c r="B3147" s="1" t="s">
        <v>3061</v>
      </c>
      <c r="C3147" s="1" t="s">
        <v>334</v>
      </c>
      <c r="D3147" s="1" t="s">
        <v>229</v>
      </c>
      <c r="E3147" s="1"/>
    </row>
    <row r="3148" spans="1:5" ht="16">
      <c r="A3148" s="1" t="s">
        <v>3002</v>
      </c>
      <c r="B3148" s="1" t="s">
        <v>3062</v>
      </c>
      <c r="C3148" s="1" t="s">
        <v>228</v>
      </c>
      <c r="D3148" s="1" t="s">
        <v>229</v>
      </c>
      <c r="E3148" s="1" t="s">
        <v>500</v>
      </c>
    </row>
    <row r="3149" spans="1:5" ht="16">
      <c r="A3149" s="1" t="s">
        <v>3002</v>
      </c>
      <c r="B3149" s="1" t="s">
        <v>3063</v>
      </c>
      <c r="C3149" s="1" t="s">
        <v>228</v>
      </c>
      <c r="D3149" s="1" t="s">
        <v>229</v>
      </c>
      <c r="E3149" s="1" t="s">
        <v>500</v>
      </c>
    </row>
    <row r="3150" spans="1:5" ht="16">
      <c r="A3150" s="1" t="s">
        <v>3002</v>
      </c>
      <c r="B3150" s="1" t="s">
        <v>3064</v>
      </c>
      <c r="C3150" s="1" t="s">
        <v>228</v>
      </c>
      <c r="D3150" s="1" t="s">
        <v>229</v>
      </c>
      <c r="E3150" s="1" t="s">
        <v>500</v>
      </c>
    </row>
    <row r="3151" spans="1:5" ht="16">
      <c r="A3151" s="1" t="s">
        <v>3002</v>
      </c>
      <c r="B3151" s="1" t="s">
        <v>3065</v>
      </c>
      <c r="C3151" s="1" t="s">
        <v>334</v>
      </c>
      <c r="D3151" s="1" t="s">
        <v>229</v>
      </c>
      <c r="E3151" s="1"/>
    </row>
    <row r="3152" spans="1:5" ht="16">
      <c r="A3152" s="1" t="s">
        <v>3002</v>
      </c>
      <c r="B3152" s="1" t="s">
        <v>3066</v>
      </c>
      <c r="C3152" s="1" t="s">
        <v>234</v>
      </c>
      <c r="D3152" s="1" t="s">
        <v>229</v>
      </c>
      <c r="E3152" s="1" t="s">
        <v>500</v>
      </c>
    </row>
    <row r="3153" spans="1:5" ht="16">
      <c r="A3153" s="1" t="s">
        <v>3002</v>
      </c>
      <c r="B3153" s="1" t="s">
        <v>3067</v>
      </c>
      <c r="C3153" s="1" t="s">
        <v>234</v>
      </c>
      <c r="D3153" s="1" t="s">
        <v>229</v>
      </c>
      <c r="E3153" s="1" t="s">
        <v>500</v>
      </c>
    </row>
    <row r="3154" spans="1:5" ht="16">
      <c r="A3154" s="1" t="s">
        <v>3002</v>
      </c>
      <c r="B3154" s="1" t="s">
        <v>3068</v>
      </c>
      <c r="C3154" s="1" t="s">
        <v>334</v>
      </c>
      <c r="D3154" s="1" t="s">
        <v>229</v>
      </c>
      <c r="E3154" s="1" t="s">
        <v>500</v>
      </c>
    </row>
    <row r="3155" spans="1:5" ht="16">
      <c r="A3155" s="1" t="s">
        <v>3002</v>
      </c>
      <c r="B3155" s="1" t="s">
        <v>3069</v>
      </c>
      <c r="C3155" s="1" t="s">
        <v>364</v>
      </c>
      <c r="D3155" s="1" t="s">
        <v>229</v>
      </c>
      <c r="E3155" s="1"/>
    </row>
    <row r="3156" spans="1:5" ht="16">
      <c r="A3156" s="1" t="s">
        <v>3002</v>
      </c>
      <c r="B3156" s="1" t="s">
        <v>3070</v>
      </c>
      <c r="C3156" s="1" t="s">
        <v>364</v>
      </c>
      <c r="D3156" s="1" t="s">
        <v>229</v>
      </c>
      <c r="E3156" s="1"/>
    </row>
    <row r="3157" spans="1:5" ht="16">
      <c r="A3157" s="1" t="s">
        <v>3002</v>
      </c>
      <c r="B3157" s="1" t="s">
        <v>3071</v>
      </c>
      <c r="C3157" s="1" t="s">
        <v>364</v>
      </c>
      <c r="D3157" s="1" t="s">
        <v>229</v>
      </c>
      <c r="E3157" s="1"/>
    </row>
    <row r="3158" spans="1:5" ht="16">
      <c r="A3158" s="1" t="s">
        <v>3002</v>
      </c>
      <c r="B3158" s="1" t="s">
        <v>3072</v>
      </c>
      <c r="C3158" s="1" t="s">
        <v>364</v>
      </c>
      <c r="D3158" s="1" t="s">
        <v>229</v>
      </c>
      <c r="E3158" s="1"/>
    </row>
    <row r="3159" spans="1:5" ht="16">
      <c r="A3159" s="1" t="s">
        <v>3002</v>
      </c>
      <c r="B3159" s="1" t="s">
        <v>3068</v>
      </c>
      <c r="C3159" s="1" t="s">
        <v>334</v>
      </c>
      <c r="D3159" s="1" t="s">
        <v>229</v>
      </c>
      <c r="E3159" s="1" t="s">
        <v>500</v>
      </c>
    </row>
    <row r="3160" spans="1:5" ht="16">
      <c r="A3160" s="1" t="s">
        <v>3002</v>
      </c>
      <c r="B3160" s="1" t="s">
        <v>3073</v>
      </c>
      <c r="C3160" s="1" t="s">
        <v>334</v>
      </c>
      <c r="D3160" s="1" t="s">
        <v>229</v>
      </c>
      <c r="E3160" s="1" t="s">
        <v>500</v>
      </c>
    </row>
    <row r="3161" spans="1:5" ht="16">
      <c r="A3161" s="1" t="s">
        <v>3002</v>
      </c>
      <c r="B3161" s="1" t="s">
        <v>3074</v>
      </c>
      <c r="C3161" s="1" t="s">
        <v>334</v>
      </c>
      <c r="D3161" s="1" t="s">
        <v>229</v>
      </c>
      <c r="E3161" s="1" t="s">
        <v>500</v>
      </c>
    </row>
    <row r="3162" spans="1:5" ht="16">
      <c r="A3162" s="1" t="s">
        <v>3002</v>
      </c>
      <c r="B3162" s="1" t="s">
        <v>3075</v>
      </c>
      <c r="C3162" s="1" t="s">
        <v>334</v>
      </c>
      <c r="D3162" s="1" t="s">
        <v>229</v>
      </c>
      <c r="E3162" s="1" t="s">
        <v>500</v>
      </c>
    </row>
    <row r="3163" spans="1:5" ht="16">
      <c r="A3163" s="1" t="s">
        <v>3002</v>
      </c>
      <c r="B3163" s="1" t="s">
        <v>3068</v>
      </c>
      <c r="C3163" s="1" t="s">
        <v>624</v>
      </c>
      <c r="D3163" s="1" t="s">
        <v>229</v>
      </c>
      <c r="E3163" s="1" t="s">
        <v>500</v>
      </c>
    </row>
    <row r="3164" spans="1:5" ht="16">
      <c r="A3164" s="1" t="s">
        <v>3002</v>
      </c>
      <c r="B3164" s="1" t="s">
        <v>3035</v>
      </c>
      <c r="C3164" s="1" t="s">
        <v>624</v>
      </c>
      <c r="D3164" s="1" t="s">
        <v>229</v>
      </c>
      <c r="E3164" s="1" t="s">
        <v>500</v>
      </c>
    </row>
    <row r="3165" spans="1:5" ht="16">
      <c r="A3165" s="1" t="s">
        <v>3002</v>
      </c>
      <c r="B3165" s="1" t="s">
        <v>3068</v>
      </c>
      <c r="C3165" s="1" t="s">
        <v>2026</v>
      </c>
      <c r="D3165" s="1" t="s">
        <v>229</v>
      </c>
      <c r="E3165" s="1" t="s">
        <v>500</v>
      </c>
    </row>
    <row r="3166" spans="1:5" ht="16">
      <c r="A3166" s="1" t="s">
        <v>3002</v>
      </c>
      <c r="B3166" s="1" t="s">
        <v>3035</v>
      </c>
      <c r="C3166" s="1" t="s">
        <v>2026</v>
      </c>
      <c r="D3166" s="1" t="s">
        <v>229</v>
      </c>
      <c r="E3166" s="1" t="s">
        <v>500</v>
      </c>
    </row>
    <row r="3167" spans="1:5" ht="16">
      <c r="A3167" s="1" t="s">
        <v>3002</v>
      </c>
      <c r="B3167" s="1" t="s">
        <v>3076</v>
      </c>
      <c r="C3167" s="1" t="s">
        <v>334</v>
      </c>
      <c r="D3167" s="1" t="s">
        <v>229</v>
      </c>
      <c r="E3167" s="1" t="s">
        <v>500</v>
      </c>
    </row>
    <row r="3168" spans="1:5" ht="16">
      <c r="A3168" s="1" t="s">
        <v>3002</v>
      </c>
      <c r="B3168" s="1" t="s">
        <v>2062</v>
      </c>
      <c r="C3168" s="1" t="s">
        <v>334</v>
      </c>
      <c r="D3168" s="1" t="s">
        <v>229</v>
      </c>
      <c r="E3168" s="1"/>
    </row>
    <row r="3169" spans="1:5" ht="16">
      <c r="A3169" s="1" t="s">
        <v>3002</v>
      </c>
      <c r="B3169" s="1" t="s">
        <v>3074</v>
      </c>
      <c r="C3169" s="1" t="s">
        <v>624</v>
      </c>
      <c r="D3169" s="1" t="s">
        <v>229</v>
      </c>
      <c r="E3169" s="1" t="s">
        <v>500</v>
      </c>
    </row>
    <row r="3170" spans="1:5" ht="16">
      <c r="A3170" s="1" t="s">
        <v>3077</v>
      </c>
      <c r="B3170" s="1" t="s">
        <v>3078</v>
      </c>
      <c r="C3170" s="1" t="s">
        <v>334</v>
      </c>
      <c r="D3170" s="1" t="s">
        <v>229</v>
      </c>
      <c r="E3170" s="1"/>
    </row>
    <row r="3171" spans="1:5" ht="16">
      <c r="A3171" s="1" t="s">
        <v>3077</v>
      </c>
      <c r="B3171" s="1" t="s">
        <v>3079</v>
      </c>
      <c r="C3171" s="1" t="s">
        <v>334</v>
      </c>
      <c r="D3171" s="1" t="s">
        <v>229</v>
      </c>
      <c r="E3171" s="1"/>
    </row>
    <row r="3172" spans="1:5" ht="16">
      <c r="A3172" s="1" t="s">
        <v>3077</v>
      </c>
      <c r="B3172" s="1" t="s">
        <v>3080</v>
      </c>
      <c r="C3172" s="1" t="s">
        <v>334</v>
      </c>
      <c r="D3172" s="1" t="s">
        <v>229</v>
      </c>
      <c r="E3172" s="1"/>
    </row>
    <row r="3173" spans="1:5" ht="16">
      <c r="A3173" s="1" t="s">
        <v>3077</v>
      </c>
      <c r="B3173" s="1" t="s">
        <v>3081</v>
      </c>
      <c r="C3173" s="1" t="s">
        <v>334</v>
      </c>
      <c r="D3173" s="1" t="s">
        <v>229</v>
      </c>
      <c r="E3173" s="1"/>
    </row>
    <row r="3174" spans="1:5" ht="16">
      <c r="A3174" s="1" t="s">
        <v>3077</v>
      </c>
      <c r="B3174" s="1" t="s">
        <v>3082</v>
      </c>
      <c r="C3174" s="1" t="s">
        <v>334</v>
      </c>
      <c r="D3174" s="1" t="s">
        <v>229</v>
      </c>
      <c r="E3174" s="1"/>
    </row>
    <row r="3175" spans="1:5" ht="16">
      <c r="A3175" s="1" t="s">
        <v>3077</v>
      </c>
      <c r="B3175" s="1" t="s">
        <v>3083</v>
      </c>
      <c r="C3175" s="1" t="s">
        <v>334</v>
      </c>
      <c r="D3175" s="1" t="s">
        <v>229</v>
      </c>
      <c r="E3175" s="1"/>
    </row>
    <row r="3176" spans="1:5" ht="16">
      <c r="A3176" s="1" t="s">
        <v>3077</v>
      </c>
      <c r="B3176" s="1" t="s">
        <v>3084</v>
      </c>
      <c r="C3176" s="1" t="s">
        <v>334</v>
      </c>
      <c r="D3176" s="1" t="s">
        <v>229</v>
      </c>
      <c r="E3176" s="1"/>
    </row>
    <row r="3177" spans="1:5" ht="16">
      <c r="A3177" s="1" t="s">
        <v>3077</v>
      </c>
      <c r="B3177" s="1" t="s">
        <v>3085</v>
      </c>
      <c r="C3177" s="1" t="s">
        <v>334</v>
      </c>
      <c r="D3177" s="1" t="s">
        <v>229</v>
      </c>
      <c r="E3177" s="1"/>
    </row>
    <row r="3178" spans="1:5" ht="16">
      <c r="A3178" s="1" t="s">
        <v>3077</v>
      </c>
      <c r="B3178" s="1" t="s">
        <v>3086</v>
      </c>
      <c r="C3178" s="1" t="s">
        <v>334</v>
      </c>
      <c r="D3178" s="1" t="s">
        <v>229</v>
      </c>
      <c r="E3178" s="1"/>
    </row>
    <row r="3179" spans="1:5" ht="16">
      <c r="A3179" s="1" t="s">
        <v>3077</v>
      </c>
      <c r="B3179" s="1" t="s">
        <v>3087</v>
      </c>
      <c r="C3179" s="1" t="s">
        <v>334</v>
      </c>
      <c r="D3179" s="1" t="s">
        <v>229</v>
      </c>
      <c r="E3179" s="1"/>
    </row>
    <row r="3180" spans="1:5" ht="16">
      <c r="A3180" s="1" t="s">
        <v>3077</v>
      </c>
      <c r="B3180" s="1" t="s">
        <v>3088</v>
      </c>
      <c r="C3180" s="1" t="s">
        <v>334</v>
      </c>
      <c r="D3180" s="1" t="s">
        <v>229</v>
      </c>
      <c r="E3180" s="1"/>
    </row>
    <row r="3181" spans="1:5" ht="16">
      <c r="A3181" s="1" t="s">
        <v>3077</v>
      </c>
      <c r="B3181" s="1" t="s">
        <v>3089</v>
      </c>
      <c r="C3181" s="1" t="s">
        <v>334</v>
      </c>
      <c r="D3181" s="1" t="s">
        <v>229</v>
      </c>
      <c r="E3181" s="1"/>
    </row>
    <row r="3182" spans="1:5" ht="16">
      <c r="A3182" s="1" t="s">
        <v>3077</v>
      </c>
      <c r="B3182" s="1" t="s">
        <v>3090</v>
      </c>
      <c r="C3182" s="1" t="s">
        <v>334</v>
      </c>
      <c r="D3182" s="1" t="s">
        <v>229</v>
      </c>
      <c r="E3182" s="1"/>
    </row>
    <row r="3183" spans="1:5" ht="16">
      <c r="A3183" s="1" t="s">
        <v>3077</v>
      </c>
      <c r="B3183" s="1" t="s">
        <v>3091</v>
      </c>
      <c r="C3183" s="1" t="s">
        <v>334</v>
      </c>
      <c r="D3183" s="1" t="s">
        <v>229</v>
      </c>
      <c r="E3183" s="1"/>
    </row>
    <row r="3184" spans="1:5" ht="16">
      <c r="A3184" s="1" t="s">
        <v>3077</v>
      </c>
      <c r="B3184" s="1" t="s">
        <v>3092</v>
      </c>
      <c r="C3184" s="1" t="s">
        <v>334</v>
      </c>
      <c r="D3184" s="1" t="s">
        <v>229</v>
      </c>
      <c r="E3184" s="1"/>
    </row>
    <row r="3185" spans="1:5" ht="16">
      <c r="A3185" s="1" t="s">
        <v>3077</v>
      </c>
      <c r="B3185" s="1" t="s">
        <v>3093</v>
      </c>
      <c r="C3185" s="1" t="s">
        <v>334</v>
      </c>
      <c r="D3185" s="1" t="s">
        <v>355</v>
      </c>
      <c r="E3185" s="1"/>
    </row>
    <row r="3186" spans="1:5" ht="16">
      <c r="A3186" s="1" t="s">
        <v>3094</v>
      </c>
      <c r="B3186" s="1" t="s">
        <v>3095</v>
      </c>
      <c r="C3186" s="1" t="s">
        <v>334</v>
      </c>
      <c r="D3186" s="1" t="s">
        <v>229</v>
      </c>
      <c r="E3186" s="1" t="s">
        <v>500</v>
      </c>
    </row>
    <row r="3187" spans="1:5" ht="16">
      <c r="A3187" s="1" t="s">
        <v>3094</v>
      </c>
      <c r="B3187" s="1" t="s">
        <v>3096</v>
      </c>
      <c r="C3187" s="1" t="s">
        <v>334</v>
      </c>
      <c r="D3187" s="1" t="s">
        <v>229</v>
      </c>
      <c r="E3187" s="1" t="s">
        <v>500</v>
      </c>
    </row>
    <row r="3188" spans="1:5" ht="16">
      <c r="A3188" s="1" t="s">
        <v>3094</v>
      </c>
      <c r="B3188" s="1" t="s">
        <v>3097</v>
      </c>
      <c r="C3188" s="1" t="s">
        <v>334</v>
      </c>
      <c r="D3188" s="1" t="s">
        <v>229</v>
      </c>
      <c r="E3188" s="1" t="s">
        <v>500</v>
      </c>
    </row>
    <row r="3189" spans="1:5" ht="16">
      <c r="A3189" s="1" t="s">
        <v>3094</v>
      </c>
      <c r="B3189" s="1" t="s">
        <v>3050</v>
      </c>
      <c r="C3189" s="1" t="s">
        <v>334</v>
      </c>
      <c r="D3189" s="1" t="s">
        <v>229</v>
      </c>
      <c r="E3189" s="1"/>
    </row>
    <row r="3190" spans="1:5" ht="16">
      <c r="A3190" s="1" t="s">
        <v>3094</v>
      </c>
      <c r="B3190" s="1" t="s">
        <v>3098</v>
      </c>
      <c r="C3190" s="1" t="s">
        <v>334</v>
      </c>
      <c r="D3190" s="1" t="s">
        <v>229</v>
      </c>
      <c r="E3190" s="1" t="s">
        <v>500</v>
      </c>
    </row>
    <row r="3191" spans="1:5" ht="16">
      <c r="A3191" s="1" t="s">
        <v>3094</v>
      </c>
      <c r="B3191" s="1" t="s">
        <v>3099</v>
      </c>
      <c r="C3191" s="1" t="s">
        <v>334</v>
      </c>
      <c r="D3191" s="1" t="s">
        <v>229</v>
      </c>
      <c r="E3191" s="1" t="s">
        <v>500</v>
      </c>
    </row>
    <row r="3192" spans="1:5" ht="16">
      <c r="A3192" s="1" t="s">
        <v>3094</v>
      </c>
      <c r="B3192" s="1" t="s">
        <v>3100</v>
      </c>
      <c r="C3192" s="1" t="s">
        <v>334</v>
      </c>
      <c r="D3192" s="1" t="s">
        <v>229</v>
      </c>
      <c r="E3192" s="1"/>
    </row>
    <row r="3193" spans="1:5" ht="16">
      <c r="A3193" s="1" t="s">
        <v>3094</v>
      </c>
      <c r="B3193" s="1" t="s">
        <v>3101</v>
      </c>
      <c r="C3193" s="1" t="s">
        <v>334</v>
      </c>
      <c r="D3193" s="1" t="s">
        <v>229</v>
      </c>
      <c r="E3193" s="1"/>
    </row>
    <row r="3194" spans="1:5" ht="16">
      <c r="A3194" s="1" t="s">
        <v>3094</v>
      </c>
      <c r="B3194" s="1" t="s">
        <v>3102</v>
      </c>
      <c r="C3194" s="1" t="s">
        <v>234</v>
      </c>
      <c r="D3194" s="1" t="s">
        <v>229</v>
      </c>
      <c r="E3194" s="1"/>
    </row>
    <row r="3195" spans="1:5" ht="16">
      <c r="A3195" s="1" t="s">
        <v>3103</v>
      </c>
      <c r="B3195" s="1" t="s">
        <v>3104</v>
      </c>
      <c r="C3195" s="1" t="s">
        <v>228</v>
      </c>
      <c r="D3195" s="1" t="s">
        <v>229</v>
      </c>
      <c r="E3195" s="1"/>
    </row>
    <row r="3196" spans="1:5" ht="16">
      <c r="A3196" s="1" t="s">
        <v>3103</v>
      </c>
      <c r="B3196" s="1" t="s">
        <v>3105</v>
      </c>
      <c r="C3196" s="1" t="s">
        <v>234</v>
      </c>
      <c r="D3196" s="1" t="s">
        <v>229</v>
      </c>
      <c r="E3196" s="1"/>
    </row>
    <row r="3197" spans="1:5" ht="16">
      <c r="A3197" s="1" t="s">
        <v>3103</v>
      </c>
      <c r="B3197" s="1" t="s">
        <v>3106</v>
      </c>
      <c r="C3197" s="1" t="s">
        <v>234</v>
      </c>
      <c r="D3197" s="1" t="s">
        <v>229</v>
      </c>
      <c r="E3197" s="1"/>
    </row>
    <row r="3198" spans="1:5" ht="16">
      <c r="A3198" s="1" t="s">
        <v>3103</v>
      </c>
      <c r="B3198" s="1" t="s">
        <v>3107</v>
      </c>
      <c r="C3198" s="1" t="s">
        <v>334</v>
      </c>
      <c r="D3198" s="1" t="s">
        <v>229</v>
      </c>
      <c r="E3198" s="1"/>
    </row>
    <row r="3199" spans="1:5" ht="16">
      <c r="A3199" s="1" t="s">
        <v>3103</v>
      </c>
      <c r="B3199" s="1" t="s">
        <v>3108</v>
      </c>
      <c r="C3199" s="1" t="s">
        <v>334</v>
      </c>
      <c r="D3199" s="1" t="s">
        <v>229</v>
      </c>
      <c r="E3199" s="1"/>
    </row>
    <row r="3200" spans="1:5" ht="16">
      <c r="A3200" s="1" t="s">
        <v>3103</v>
      </c>
      <c r="B3200" s="1" t="s">
        <v>3109</v>
      </c>
      <c r="C3200" s="1" t="s">
        <v>234</v>
      </c>
      <c r="D3200" s="1" t="s">
        <v>229</v>
      </c>
      <c r="E3200" s="1"/>
    </row>
    <row r="3201" spans="1:5" ht="16">
      <c r="A3201" s="1" t="s">
        <v>3103</v>
      </c>
      <c r="B3201" s="1" t="s">
        <v>3110</v>
      </c>
      <c r="C3201" s="1" t="s">
        <v>234</v>
      </c>
      <c r="D3201" s="1" t="s">
        <v>229</v>
      </c>
      <c r="E3201" s="1"/>
    </row>
    <row r="3202" spans="1:5" ht="16">
      <c r="A3202" s="1" t="s">
        <v>3103</v>
      </c>
      <c r="B3202" s="1" t="s">
        <v>3111</v>
      </c>
      <c r="C3202" s="1" t="s">
        <v>234</v>
      </c>
      <c r="D3202" s="1" t="s">
        <v>229</v>
      </c>
      <c r="E3202" s="1"/>
    </row>
    <row r="3203" spans="1:5" ht="16">
      <c r="A3203" s="1" t="s">
        <v>3103</v>
      </c>
      <c r="B3203" s="1" t="s">
        <v>3112</v>
      </c>
      <c r="C3203" s="1" t="s">
        <v>234</v>
      </c>
      <c r="D3203" s="1" t="s">
        <v>229</v>
      </c>
      <c r="E3203" s="1"/>
    </row>
    <row r="3204" spans="1:5" ht="16">
      <c r="A3204" s="1" t="s">
        <v>3103</v>
      </c>
      <c r="B3204" s="1" t="s">
        <v>3113</v>
      </c>
      <c r="C3204" s="1" t="s">
        <v>334</v>
      </c>
      <c r="D3204" s="1" t="s">
        <v>229</v>
      </c>
      <c r="E3204" s="1"/>
    </row>
    <row r="3205" spans="1:5" ht="16">
      <c r="A3205" s="1" t="s">
        <v>3103</v>
      </c>
      <c r="B3205" s="1" t="s">
        <v>3114</v>
      </c>
      <c r="C3205" s="1" t="s">
        <v>234</v>
      </c>
      <c r="D3205" s="1" t="s">
        <v>229</v>
      </c>
      <c r="E3205" s="1"/>
    </row>
    <row r="3206" spans="1:5" ht="16">
      <c r="A3206" s="1" t="s">
        <v>3103</v>
      </c>
      <c r="B3206" s="1" t="s">
        <v>3115</v>
      </c>
      <c r="C3206" s="1" t="s">
        <v>234</v>
      </c>
      <c r="D3206" s="1" t="s">
        <v>229</v>
      </c>
      <c r="E3206" s="1"/>
    </row>
    <row r="3207" spans="1:5" ht="16">
      <c r="A3207" s="1" t="s">
        <v>3103</v>
      </c>
      <c r="B3207" s="1" t="s">
        <v>3116</v>
      </c>
      <c r="C3207" s="1" t="s">
        <v>265</v>
      </c>
      <c r="D3207" s="1" t="s">
        <v>229</v>
      </c>
      <c r="E3207" s="1"/>
    </row>
    <row r="3208" spans="1:5" ht="16">
      <c r="A3208" s="1" t="s">
        <v>3103</v>
      </c>
      <c r="B3208" s="1" t="s">
        <v>3117</v>
      </c>
      <c r="C3208" s="1" t="s">
        <v>265</v>
      </c>
      <c r="D3208" s="1" t="s">
        <v>229</v>
      </c>
      <c r="E3208" s="1"/>
    </row>
    <row r="3209" spans="1:5" ht="16">
      <c r="A3209" s="1" t="s">
        <v>3103</v>
      </c>
      <c r="B3209" s="1" t="s">
        <v>3118</v>
      </c>
      <c r="C3209" s="1" t="s">
        <v>332</v>
      </c>
      <c r="D3209" s="1" t="s">
        <v>229</v>
      </c>
      <c r="E3209" s="1"/>
    </row>
    <row r="3210" spans="1:5" ht="16">
      <c r="A3210" s="1" t="s">
        <v>3103</v>
      </c>
      <c r="B3210" s="1" t="s">
        <v>3119</v>
      </c>
      <c r="C3210" s="1" t="s">
        <v>332</v>
      </c>
      <c r="D3210" s="1" t="s">
        <v>229</v>
      </c>
      <c r="E3210" s="1"/>
    </row>
    <row r="3211" spans="1:5" ht="16">
      <c r="A3211" s="1" t="s">
        <v>3103</v>
      </c>
      <c r="B3211" s="1" t="s">
        <v>3120</v>
      </c>
      <c r="C3211" s="1" t="s">
        <v>332</v>
      </c>
      <c r="D3211" s="1" t="s">
        <v>229</v>
      </c>
      <c r="E3211" s="1"/>
    </row>
    <row r="3212" spans="1:5" ht="16">
      <c r="A3212" s="1" t="s">
        <v>3103</v>
      </c>
      <c r="B3212" s="1" t="s">
        <v>3121</v>
      </c>
      <c r="C3212" s="1" t="s">
        <v>332</v>
      </c>
      <c r="D3212" s="1" t="s">
        <v>229</v>
      </c>
      <c r="E3212" s="1"/>
    </row>
    <row r="3213" spans="1:5" ht="16">
      <c r="A3213" s="1" t="s">
        <v>3103</v>
      </c>
      <c r="B3213" s="1" t="s">
        <v>3122</v>
      </c>
      <c r="C3213" s="1" t="s">
        <v>263</v>
      </c>
      <c r="D3213" s="1" t="s">
        <v>229</v>
      </c>
      <c r="E3213" s="1"/>
    </row>
    <row r="3214" spans="1:5" ht="16">
      <c r="A3214" s="1" t="s">
        <v>3103</v>
      </c>
      <c r="B3214" s="1" t="s">
        <v>3123</v>
      </c>
      <c r="C3214" s="1" t="s">
        <v>265</v>
      </c>
      <c r="D3214" s="1" t="s">
        <v>229</v>
      </c>
      <c r="E3214" s="1"/>
    </row>
    <row r="3215" spans="1:5" ht="16">
      <c r="A3215" s="1" t="s">
        <v>3103</v>
      </c>
      <c r="B3215" s="1" t="s">
        <v>3124</v>
      </c>
      <c r="C3215" s="1" t="s">
        <v>263</v>
      </c>
      <c r="D3215" s="1" t="s">
        <v>229</v>
      </c>
      <c r="E3215" s="1"/>
    </row>
    <row r="3216" spans="1:5" ht="16">
      <c r="A3216" s="1" t="s">
        <v>3103</v>
      </c>
      <c r="B3216" s="1" t="s">
        <v>3125</v>
      </c>
      <c r="C3216" s="1" t="s">
        <v>263</v>
      </c>
      <c r="D3216" s="1" t="s">
        <v>229</v>
      </c>
      <c r="E3216" s="1"/>
    </row>
    <row r="3217" spans="1:5" ht="16">
      <c r="A3217" s="1" t="s">
        <v>3103</v>
      </c>
      <c r="B3217" s="1" t="s">
        <v>3126</v>
      </c>
      <c r="C3217" s="1" t="s">
        <v>332</v>
      </c>
      <c r="D3217" s="1" t="s">
        <v>229</v>
      </c>
      <c r="E3217" s="1"/>
    </row>
    <row r="3218" spans="1:5" ht="16">
      <c r="A3218" s="1" t="s">
        <v>3103</v>
      </c>
      <c r="B3218" s="1" t="s">
        <v>3127</v>
      </c>
      <c r="C3218" s="1" t="s">
        <v>332</v>
      </c>
      <c r="D3218" s="1" t="s">
        <v>229</v>
      </c>
      <c r="E3218" s="1"/>
    </row>
    <row r="3219" spans="1:5" ht="16">
      <c r="A3219" s="1" t="s">
        <v>3103</v>
      </c>
      <c r="B3219" s="1" t="s">
        <v>3128</v>
      </c>
      <c r="C3219" s="1" t="s">
        <v>332</v>
      </c>
      <c r="D3219" s="1" t="s">
        <v>229</v>
      </c>
      <c r="E3219" s="1"/>
    </row>
    <row r="3220" spans="1:5" ht="16">
      <c r="A3220" s="1" t="s">
        <v>3103</v>
      </c>
      <c r="B3220" s="1" t="s">
        <v>3129</v>
      </c>
      <c r="C3220" s="1" t="s">
        <v>332</v>
      </c>
      <c r="D3220" s="1" t="s">
        <v>229</v>
      </c>
      <c r="E3220" s="1"/>
    </row>
    <row r="3221" spans="1:5" ht="16">
      <c r="A3221" s="1" t="s">
        <v>3103</v>
      </c>
      <c r="B3221" s="1" t="s">
        <v>3130</v>
      </c>
      <c r="C3221" s="1" t="s">
        <v>332</v>
      </c>
      <c r="D3221" s="1" t="s">
        <v>229</v>
      </c>
      <c r="E3221" s="1"/>
    </row>
    <row r="3222" spans="1:5" ht="16">
      <c r="A3222" s="1" t="s">
        <v>3103</v>
      </c>
      <c r="B3222" s="1" t="s">
        <v>3131</v>
      </c>
      <c r="C3222" s="1" t="s">
        <v>332</v>
      </c>
      <c r="D3222" s="1" t="s">
        <v>229</v>
      </c>
      <c r="E3222" s="1"/>
    </row>
    <row r="3223" spans="1:5" ht="16">
      <c r="A3223" s="1" t="s">
        <v>3103</v>
      </c>
      <c r="B3223" s="1" t="s">
        <v>3132</v>
      </c>
      <c r="C3223" s="1" t="s">
        <v>319</v>
      </c>
      <c r="D3223" s="1" t="s">
        <v>229</v>
      </c>
      <c r="E3223" s="1"/>
    </row>
    <row r="3224" spans="1:5" ht="16">
      <c r="A3224" s="1" t="s">
        <v>3103</v>
      </c>
      <c r="B3224" s="1" t="s">
        <v>3133</v>
      </c>
      <c r="C3224" s="1" t="s">
        <v>334</v>
      </c>
      <c r="D3224" s="1" t="s">
        <v>229</v>
      </c>
      <c r="E3224" s="1"/>
    </row>
    <row r="3225" spans="1:5" ht="16">
      <c r="A3225" s="1" t="s">
        <v>3103</v>
      </c>
      <c r="B3225" s="1" t="s">
        <v>3134</v>
      </c>
      <c r="C3225" s="1" t="s">
        <v>334</v>
      </c>
      <c r="D3225" s="1" t="s">
        <v>229</v>
      </c>
      <c r="E3225" s="1"/>
    </row>
    <row r="3226" spans="1:5" ht="16">
      <c r="A3226" s="1" t="s">
        <v>3103</v>
      </c>
      <c r="B3226" s="1" t="s">
        <v>3135</v>
      </c>
      <c r="C3226" s="1" t="s">
        <v>334</v>
      </c>
      <c r="D3226" s="1" t="s">
        <v>229</v>
      </c>
      <c r="E3226" s="1"/>
    </row>
    <row r="3227" spans="1:5" ht="16">
      <c r="A3227" s="1" t="s">
        <v>3103</v>
      </c>
      <c r="B3227" s="1" t="s">
        <v>3136</v>
      </c>
      <c r="C3227" s="1" t="s">
        <v>334</v>
      </c>
      <c r="D3227" s="1" t="s">
        <v>229</v>
      </c>
      <c r="E3227" s="1"/>
    </row>
    <row r="3228" spans="1:5" ht="16">
      <c r="A3228" s="1" t="s">
        <v>3103</v>
      </c>
      <c r="B3228" s="1" t="s">
        <v>3137</v>
      </c>
      <c r="C3228" s="1" t="s">
        <v>234</v>
      </c>
      <c r="D3228" s="1" t="s">
        <v>229</v>
      </c>
      <c r="E3228" s="1"/>
    </row>
    <row r="3229" spans="1:5" ht="16">
      <c r="A3229" s="1" t="s">
        <v>3103</v>
      </c>
      <c r="B3229" s="1" t="s">
        <v>3138</v>
      </c>
      <c r="C3229" s="1" t="s">
        <v>234</v>
      </c>
      <c r="D3229" s="1" t="s">
        <v>229</v>
      </c>
      <c r="E3229" s="1"/>
    </row>
    <row r="3230" spans="1:5" ht="16">
      <c r="A3230" s="1" t="s">
        <v>3103</v>
      </c>
      <c r="B3230" s="1" t="s">
        <v>3139</v>
      </c>
      <c r="C3230" s="1" t="s">
        <v>234</v>
      </c>
      <c r="D3230" s="1" t="s">
        <v>229</v>
      </c>
      <c r="E3230" s="1"/>
    </row>
    <row r="3231" spans="1:5" ht="16">
      <c r="A3231" s="1" t="s">
        <v>3103</v>
      </c>
      <c r="B3231" s="1" t="s">
        <v>3140</v>
      </c>
      <c r="C3231" s="1" t="s">
        <v>234</v>
      </c>
      <c r="D3231" s="1" t="s">
        <v>229</v>
      </c>
      <c r="E3231" s="1"/>
    </row>
    <row r="3232" spans="1:5" ht="16">
      <c r="A3232" s="1" t="s">
        <v>3103</v>
      </c>
      <c r="B3232" s="1" t="s">
        <v>3141</v>
      </c>
      <c r="C3232" s="1" t="s">
        <v>234</v>
      </c>
      <c r="D3232" s="1" t="s">
        <v>229</v>
      </c>
      <c r="E3232" s="1"/>
    </row>
    <row r="3233" spans="1:5" ht="16">
      <c r="A3233" s="1" t="s">
        <v>3103</v>
      </c>
      <c r="B3233" s="1" t="s">
        <v>3142</v>
      </c>
      <c r="C3233" s="1" t="s">
        <v>234</v>
      </c>
      <c r="D3233" s="1" t="s">
        <v>229</v>
      </c>
      <c r="E3233" s="1"/>
    </row>
    <row r="3234" spans="1:5" ht="16">
      <c r="A3234" s="1" t="s">
        <v>3103</v>
      </c>
      <c r="B3234" s="1" t="s">
        <v>3143</v>
      </c>
      <c r="C3234" s="1" t="s">
        <v>234</v>
      </c>
      <c r="D3234" s="1" t="s">
        <v>229</v>
      </c>
      <c r="E3234" s="1"/>
    </row>
    <row r="3235" spans="1:5" ht="16">
      <c r="A3235" s="1" t="s">
        <v>3103</v>
      </c>
      <c r="B3235" s="1" t="s">
        <v>3144</v>
      </c>
      <c r="C3235" s="1" t="s">
        <v>334</v>
      </c>
      <c r="D3235" s="1" t="s">
        <v>229</v>
      </c>
      <c r="E3235" s="1"/>
    </row>
    <row r="3236" spans="1:5" ht="16">
      <c r="A3236" s="1" t="s">
        <v>3103</v>
      </c>
      <c r="B3236" s="1" t="s">
        <v>3145</v>
      </c>
      <c r="C3236" s="1" t="s">
        <v>332</v>
      </c>
      <c r="D3236" s="1" t="s">
        <v>229</v>
      </c>
      <c r="E3236" s="1"/>
    </row>
    <row r="3237" spans="1:5" ht="16">
      <c r="A3237" s="1" t="s">
        <v>3103</v>
      </c>
      <c r="B3237" s="1" t="s">
        <v>3146</v>
      </c>
      <c r="C3237" s="1" t="s">
        <v>332</v>
      </c>
      <c r="D3237" s="1" t="s">
        <v>229</v>
      </c>
      <c r="E3237" s="1"/>
    </row>
    <row r="3238" spans="1:5" ht="16">
      <c r="A3238" s="1" t="s">
        <v>3103</v>
      </c>
      <c r="B3238" s="1" t="s">
        <v>3147</v>
      </c>
      <c r="C3238" s="1" t="s">
        <v>332</v>
      </c>
      <c r="D3238" s="1" t="s">
        <v>229</v>
      </c>
      <c r="E3238" s="1"/>
    </row>
    <row r="3239" spans="1:5" ht="16">
      <c r="A3239" s="1" t="s">
        <v>3103</v>
      </c>
      <c r="B3239" s="1" t="s">
        <v>3148</v>
      </c>
      <c r="C3239" s="1" t="s">
        <v>332</v>
      </c>
      <c r="D3239" s="1" t="s">
        <v>229</v>
      </c>
      <c r="E3239" s="1"/>
    </row>
    <row r="3240" spans="1:5" ht="16">
      <c r="A3240" s="1" t="s">
        <v>3103</v>
      </c>
      <c r="B3240" s="1" t="s">
        <v>3149</v>
      </c>
      <c r="C3240" s="1" t="s">
        <v>332</v>
      </c>
      <c r="D3240" s="1" t="s">
        <v>229</v>
      </c>
      <c r="E3240" s="1"/>
    </row>
    <row r="3241" spans="1:5" ht="16">
      <c r="A3241" s="1" t="s">
        <v>3103</v>
      </c>
      <c r="B3241" s="1" t="s">
        <v>3150</v>
      </c>
      <c r="C3241" s="1" t="s">
        <v>332</v>
      </c>
      <c r="D3241" s="1" t="s">
        <v>229</v>
      </c>
      <c r="E3241" s="1"/>
    </row>
    <row r="3242" spans="1:5" ht="16">
      <c r="A3242" s="1" t="s">
        <v>3103</v>
      </c>
      <c r="B3242" s="1" t="s">
        <v>3151</v>
      </c>
      <c r="C3242" s="1" t="s">
        <v>334</v>
      </c>
      <c r="D3242" s="1" t="s">
        <v>229</v>
      </c>
      <c r="E3242" s="1"/>
    </row>
    <row r="3243" spans="1:5" ht="16">
      <c r="A3243" s="1" t="s">
        <v>3103</v>
      </c>
      <c r="B3243" s="1" t="s">
        <v>3152</v>
      </c>
      <c r="C3243" s="1" t="s">
        <v>334</v>
      </c>
      <c r="D3243" s="1" t="s">
        <v>229</v>
      </c>
      <c r="E3243" s="1"/>
    </row>
    <row r="3244" spans="1:5" ht="16">
      <c r="A3244" s="1" t="s">
        <v>3103</v>
      </c>
      <c r="B3244" s="1" t="s">
        <v>3153</v>
      </c>
      <c r="C3244" s="1" t="s">
        <v>263</v>
      </c>
      <c r="D3244" s="1" t="s">
        <v>229</v>
      </c>
      <c r="E3244" s="1"/>
    </row>
    <row r="3245" spans="1:5" ht="16">
      <c r="A3245" s="1" t="s">
        <v>3103</v>
      </c>
      <c r="B3245" s="1" t="s">
        <v>3154</v>
      </c>
      <c r="C3245" s="1" t="s">
        <v>265</v>
      </c>
      <c r="D3245" s="1" t="s">
        <v>229</v>
      </c>
      <c r="E3245" s="1"/>
    </row>
    <row r="3246" spans="1:5" ht="16">
      <c r="A3246" s="1" t="s">
        <v>3103</v>
      </c>
      <c r="B3246" s="1" t="s">
        <v>3155</v>
      </c>
      <c r="C3246" s="1" t="s">
        <v>263</v>
      </c>
      <c r="D3246" s="1" t="s">
        <v>229</v>
      </c>
      <c r="E3246" s="1"/>
    </row>
    <row r="3247" spans="1:5" ht="16">
      <c r="A3247" s="1" t="s">
        <v>3103</v>
      </c>
      <c r="B3247" s="1" t="s">
        <v>3156</v>
      </c>
      <c r="C3247" s="1" t="s">
        <v>263</v>
      </c>
      <c r="D3247" s="1" t="s">
        <v>229</v>
      </c>
      <c r="E3247" s="1"/>
    </row>
    <row r="3248" spans="1:5" ht="16">
      <c r="A3248" s="1" t="s">
        <v>3103</v>
      </c>
      <c r="B3248" s="1" t="s">
        <v>3157</v>
      </c>
      <c r="C3248" s="1" t="s">
        <v>334</v>
      </c>
      <c r="D3248" s="1" t="s">
        <v>229</v>
      </c>
      <c r="E3248" s="1"/>
    </row>
    <row r="3249" spans="1:5" ht="16">
      <c r="A3249" s="1" t="s">
        <v>3103</v>
      </c>
      <c r="B3249" s="1" t="s">
        <v>3158</v>
      </c>
      <c r="C3249" s="1" t="s">
        <v>334</v>
      </c>
      <c r="D3249" s="1" t="s">
        <v>229</v>
      </c>
      <c r="E3249" s="1"/>
    </row>
    <row r="3250" spans="1:5" ht="16">
      <c r="A3250" s="1" t="s">
        <v>3103</v>
      </c>
      <c r="B3250" s="1" t="s">
        <v>3159</v>
      </c>
      <c r="C3250" s="1" t="s">
        <v>334</v>
      </c>
      <c r="D3250" s="1" t="s">
        <v>229</v>
      </c>
      <c r="E3250" s="1"/>
    </row>
    <row r="3251" spans="1:5" ht="16">
      <c r="A3251" s="1" t="s">
        <v>3103</v>
      </c>
      <c r="B3251" s="1" t="s">
        <v>3160</v>
      </c>
      <c r="C3251" s="1" t="s">
        <v>307</v>
      </c>
      <c r="D3251" s="1" t="s">
        <v>229</v>
      </c>
      <c r="E3251" s="1"/>
    </row>
    <row r="3252" spans="1:5" ht="16">
      <c r="A3252" s="1" t="s">
        <v>3103</v>
      </c>
      <c r="B3252" s="1" t="s">
        <v>3161</v>
      </c>
      <c r="C3252" s="1" t="s">
        <v>332</v>
      </c>
      <c r="D3252" s="1" t="s">
        <v>229</v>
      </c>
      <c r="E3252" s="1"/>
    </row>
    <row r="3253" spans="1:5" ht="16">
      <c r="A3253" s="1" t="s">
        <v>3103</v>
      </c>
      <c r="B3253" s="1" t="s">
        <v>3162</v>
      </c>
      <c r="C3253" s="1" t="s">
        <v>332</v>
      </c>
      <c r="D3253" s="1" t="s">
        <v>229</v>
      </c>
      <c r="E3253" s="1"/>
    </row>
    <row r="3254" spans="1:5" ht="16">
      <c r="A3254" s="1" t="s">
        <v>3103</v>
      </c>
      <c r="B3254" s="1" t="s">
        <v>3163</v>
      </c>
      <c r="C3254" s="1" t="s">
        <v>332</v>
      </c>
      <c r="D3254" s="1" t="s">
        <v>229</v>
      </c>
      <c r="E3254" s="1"/>
    </row>
    <row r="3255" spans="1:5" ht="16">
      <c r="A3255" s="1" t="s">
        <v>3103</v>
      </c>
      <c r="B3255" s="1" t="s">
        <v>3164</v>
      </c>
      <c r="C3255" s="1" t="s">
        <v>332</v>
      </c>
      <c r="D3255" s="1" t="s">
        <v>229</v>
      </c>
      <c r="E3255" s="1"/>
    </row>
    <row r="3256" spans="1:5" ht="16">
      <c r="A3256" s="1" t="s">
        <v>3103</v>
      </c>
      <c r="B3256" s="1" t="s">
        <v>3165</v>
      </c>
      <c r="C3256" s="1" t="s">
        <v>332</v>
      </c>
      <c r="D3256" s="1" t="s">
        <v>229</v>
      </c>
      <c r="E3256" s="1"/>
    </row>
    <row r="3257" spans="1:5" ht="16">
      <c r="A3257" s="1" t="s">
        <v>3103</v>
      </c>
      <c r="B3257" s="1" t="s">
        <v>3166</v>
      </c>
      <c r="C3257" s="1" t="s">
        <v>332</v>
      </c>
      <c r="D3257" s="1" t="s">
        <v>229</v>
      </c>
      <c r="E3257" s="1"/>
    </row>
    <row r="3258" spans="1:5" ht="16">
      <c r="A3258" s="1" t="s">
        <v>3103</v>
      </c>
      <c r="B3258" s="1" t="s">
        <v>3167</v>
      </c>
      <c r="C3258" s="1" t="s">
        <v>332</v>
      </c>
      <c r="D3258" s="1" t="s">
        <v>229</v>
      </c>
      <c r="E3258" s="1"/>
    </row>
    <row r="3259" spans="1:5" ht="16">
      <c r="A3259" s="1" t="s">
        <v>3103</v>
      </c>
      <c r="B3259" s="1" t="s">
        <v>3168</v>
      </c>
      <c r="C3259" s="1" t="s">
        <v>332</v>
      </c>
      <c r="D3259" s="1" t="s">
        <v>229</v>
      </c>
      <c r="E3259" s="1"/>
    </row>
    <row r="3260" spans="1:5" ht="16">
      <c r="A3260" s="1" t="s">
        <v>3103</v>
      </c>
      <c r="B3260" s="1" t="s">
        <v>3169</v>
      </c>
      <c r="C3260" s="1" t="s">
        <v>332</v>
      </c>
      <c r="D3260" s="1" t="s">
        <v>229</v>
      </c>
      <c r="E3260" s="1"/>
    </row>
    <row r="3261" spans="1:5" ht="16">
      <c r="A3261" s="1" t="s">
        <v>3103</v>
      </c>
      <c r="B3261" s="1" t="s">
        <v>3170</v>
      </c>
      <c r="C3261" s="1" t="s">
        <v>332</v>
      </c>
      <c r="D3261" s="1" t="s">
        <v>229</v>
      </c>
      <c r="E3261" s="1"/>
    </row>
    <row r="3262" spans="1:5" ht="16">
      <c r="A3262" s="1" t="s">
        <v>3103</v>
      </c>
      <c r="B3262" s="1" t="s">
        <v>3171</v>
      </c>
      <c r="C3262" s="1" t="s">
        <v>263</v>
      </c>
      <c r="D3262" s="1" t="s">
        <v>229</v>
      </c>
      <c r="E3262" s="1"/>
    </row>
    <row r="3263" spans="1:5" ht="16">
      <c r="A3263" s="1" t="s">
        <v>3103</v>
      </c>
      <c r="B3263" s="1" t="s">
        <v>3172</v>
      </c>
      <c r="C3263" s="1" t="s">
        <v>332</v>
      </c>
      <c r="D3263" s="1" t="s">
        <v>229</v>
      </c>
      <c r="E3263" s="1"/>
    </row>
    <row r="3264" spans="1:5" ht="16">
      <c r="A3264" s="1" t="s">
        <v>3103</v>
      </c>
      <c r="B3264" s="1" t="s">
        <v>3173</v>
      </c>
      <c r="C3264" s="1" t="s">
        <v>332</v>
      </c>
      <c r="D3264" s="1" t="s">
        <v>229</v>
      </c>
      <c r="E3264" s="1"/>
    </row>
    <row r="3265" spans="1:5" ht="16">
      <c r="A3265" s="1" t="s">
        <v>3103</v>
      </c>
      <c r="B3265" s="1" t="s">
        <v>3174</v>
      </c>
      <c r="C3265" s="1" t="s">
        <v>332</v>
      </c>
      <c r="D3265" s="1" t="s">
        <v>229</v>
      </c>
      <c r="E3265" s="1"/>
    </row>
    <row r="3266" spans="1:5" ht="16">
      <c r="A3266" s="1" t="s">
        <v>3103</v>
      </c>
      <c r="B3266" s="1" t="s">
        <v>3175</v>
      </c>
      <c r="C3266" s="1" t="s">
        <v>332</v>
      </c>
      <c r="D3266" s="1" t="s">
        <v>229</v>
      </c>
      <c r="E3266" s="1"/>
    </row>
    <row r="3267" spans="1:5" ht="16">
      <c r="A3267" s="1" t="s">
        <v>3103</v>
      </c>
      <c r="B3267" s="1" t="s">
        <v>3176</v>
      </c>
      <c r="C3267" s="1" t="s">
        <v>332</v>
      </c>
      <c r="D3267" s="1" t="s">
        <v>229</v>
      </c>
      <c r="E3267" s="1"/>
    </row>
    <row r="3268" spans="1:5" ht="16">
      <c r="A3268" s="1" t="s">
        <v>3103</v>
      </c>
      <c r="B3268" s="1" t="s">
        <v>3177</v>
      </c>
      <c r="C3268" s="1" t="s">
        <v>332</v>
      </c>
      <c r="D3268" s="1" t="s">
        <v>229</v>
      </c>
      <c r="E3268" s="1"/>
    </row>
    <row r="3269" spans="1:5" ht="16">
      <c r="A3269" s="1" t="s">
        <v>3178</v>
      </c>
      <c r="B3269" s="1" t="s">
        <v>3179</v>
      </c>
      <c r="C3269" s="1" t="s">
        <v>319</v>
      </c>
      <c r="D3269" s="1" t="s">
        <v>229</v>
      </c>
      <c r="E3269" s="1"/>
    </row>
    <row r="3270" spans="1:5" ht="16">
      <c r="A3270" s="1" t="s">
        <v>3178</v>
      </c>
      <c r="B3270" s="1" t="s">
        <v>3180</v>
      </c>
      <c r="C3270" s="1" t="s">
        <v>319</v>
      </c>
      <c r="D3270" s="1" t="s">
        <v>229</v>
      </c>
      <c r="E3270" s="1"/>
    </row>
    <row r="3271" spans="1:5" ht="16">
      <c r="A3271" s="1" t="s">
        <v>3178</v>
      </c>
      <c r="B3271" s="1" t="s">
        <v>3180</v>
      </c>
      <c r="C3271" s="1" t="s">
        <v>319</v>
      </c>
      <c r="D3271" s="1" t="s">
        <v>229</v>
      </c>
      <c r="E3271" s="1"/>
    </row>
    <row r="3272" spans="1:5" ht="16">
      <c r="A3272" s="1" t="s">
        <v>3178</v>
      </c>
      <c r="B3272" s="1" t="s">
        <v>3180</v>
      </c>
      <c r="C3272" s="1" t="s">
        <v>319</v>
      </c>
      <c r="D3272" s="1" t="s">
        <v>229</v>
      </c>
      <c r="E3272" s="1"/>
    </row>
    <row r="3273" spans="1:5" ht="16">
      <c r="A3273" s="1" t="s">
        <v>3178</v>
      </c>
      <c r="B3273" s="1" t="s">
        <v>3180</v>
      </c>
      <c r="C3273" s="1" t="s">
        <v>319</v>
      </c>
      <c r="D3273" s="1" t="s">
        <v>229</v>
      </c>
      <c r="E3273" s="1"/>
    </row>
    <row r="3274" spans="1:5" ht="16">
      <c r="A3274" s="1" t="s">
        <v>3178</v>
      </c>
      <c r="B3274" s="1" t="s">
        <v>3181</v>
      </c>
      <c r="C3274" s="1" t="s">
        <v>334</v>
      </c>
      <c r="D3274" s="1" t="s">
        <v>229</v>
      </c>
      <c r="E3274" s="1" t="s">
        <v>500</v>
      </c>
    </row>
    <row r="3275" spans="1:5" ht="16">
      <c r="A3275" s="1" t="s">
        <v>3178</v>
      </c>
      <c r="B3275" s="1" t="s">
        <v>3182</v>
      </c>
      <c r="C3275" s="1" t="s">
        <v>334</v>
      </c>
      <c r="D3275" s="1" t="s">
        <v>229</v>
      </c>
      <c r="E3275" s="1" t="s">
        <v>500</v>
      </c>
    </row>
    <row r="3276" spans="1:5" ht="16">
      <c r="A3276" s="1" t="s">
        <v>3178</v>
      </c>
      <c r="B3276" s="1" t="s">
        <v>3183</v>
      </c>
      <c r="C3276" s="1" t="s">
        <v>334</v>
      </c>
      <c r="D3276" s="1" t="s">
        <v>229</v>
      </c>
      <c r="E3276" s="1"/>
    </row>
    <row r="3277" spans="1:5" ht="16">
      <c r="A3277" s="1" t="s">
        <v>3178</v>
      </c>
      <c r="B3277" s="1" t="s">
        <v>3184</v>
      </c>
      <c r="C3277" s="1" t="s">
        <v>334</v>
      </c>
      <c r="D3277" s="1" t="s">
        <v>229</v>
      </c>
      <c r="E3277" s="1"/>
    </row>
    <row r="3278" spans="1:5" ht="16">
      <c r="A3278" s="1" t="s">
        <v>3178</v>
      </c>
      <c r="B3278" s="1" t="s">
        <v>3185</v>
      </c>
      <c r="C3278" s="1" t="s">
        <v>334</v>
      </c>
      <c r="D3278" s="1" t="s">
        <v>229</v>
      </c>
      <c r="E3278" s="1"/>
    </row>
    <row r="3279" spans="1:5" ht="16">
      <c r="A3279" s="1" t="s">
        <v>3178</v>
      </c>
      <c r="B3279" s="1" t="s">
        <v>3186</v>
      </c>
      <c r="C3279" s="1" t="s">
        <v>334</v>
      </c>
      <c r="D3279" s="1" t="s">
        <v>229</v>
      </c>
      <c r="E3279" s="1"/>
    </row>
    <row r="3280" spans="1:5" ht="16">
      <c r="A3280" s="1" t="s">
        <v>3178</v>
      </c>
      <c r="B3280" s="1" t="s">
        <v>3187</v>
      </c>
      <c r="C3280" s="1" t="s">
        <v>334</v>
      </c>
      <c r="D3280" s="1" t="s">
        <v>229</v>
      </c>
      <c r="E3280" s="1"/>
    </row>
    <row r="3281" spans="1:5" ht="16">
      <c r="A3281" s="1" t="s">
        <v>3178</v>
      </c>
      <c r="B3281" s="1" t="s">
        <v>3188</v>
      </c>
      <c r="C3281" s="1" t="s">
        <v>319</v>
      </c>
      <c r="D3281" s="1" t="s">
        <v>229</v>
      </c>
      <c r="E3281" s="1"/>
    </row>
    <row r="3282" spans="1:5" ht="16">
      <c r="A3282" s="1" t="s">
        <v>3178</v>
      </c>
      <c r="B3282" s="1" t="s">
        <v>3189</v>
      </c>
      <c r="C3282" s="1" t="s">
        <v>334</v>
      </c>
      <c r="D3282" s="1" t="s">
        <v>229</v>
      </c>
      <c r="E3282" s="1"/>
    </row>
    <row r="3283" spans="1:5" ht="16">
      <c r="A3283" s="1" t="s">
        <v>3178</v>
      </c>
      <c r="B3283" s="1" t="s">
        <v>3190</v>
      </c>
      <c r="C3283" s="1" t="s">
        <v>334</v>
      </c>
      <c r="D3283" s="1" t="s">
        <v>229</v>
      </c>
      <c r="E3283" s="1"/>
    </row>
    <row r="3284" spans="1:5" ht="16">
      <c r="A3284" s="1" t="s">
        <v>3178</v>
      </c>
      <c r="B3284" s="1" t="s">
        <v>3191</v>
      </c>
      <c r="C3284" s="1" t="s">
        <v>334</v>
      </c>
      <c r="D3284" s="1" t="s">
        <v>229</v>
      </c>
      <c r="E3284" s="1"/>
    </row>
    <row r="3285" spans="1:5" ht="16">
      <c r="A3285" s="1" t="s">
        <v>3178</v>
      </c>
      <c r="B3285" s="1" t="s">
        <v>3192</v>
      </c>
      <c r="C3285" s="1" t="s">
        <v>334</v>
      </c>
      <c r="D3285" s="1" t="s">
        <v>229</v>
      </c>
      <c r="E3285" s="1"/>
    </row>
    <row r="3286" spans="1:5" ht="16">
      <c r="A3286" s="1" t="s">
        <v>3178</v>
      </c>
      <c r="B3286" s="1" t="s">
        <v>3193</v>
      </c>
      <c r="C3286" s="1" t="s">
        <v>334</v>
      </c>
      <c r="D3286" s="1" t="s">
        <v>229</v>
      </c>
      <c r="E3286" s="1"/>
    </row>
    <row r="3287" spans="1:5" ht="16">
      <c r="A3287" s="1" t="s">
        <v>3178</v>
      </c>
      <c r="B3287" s="1" t="s">
        <v>3194</v>
      </c>
      <c r="C3287" s="1" t="s">
        <v>334</v>
      </c>
      <c r="D3287" s="1" t="s">
        <v>229</v>
      </c>
      <c r="E3287" s="1"/>
    </row>
    <row r="3288" spans="1:5" ht="16">
      <c r="A3288" s="1" t="s">
        <v>3178</v>
      </c>
      <c r="B3288" s="1" t="s">
        <v>3195</v>
      </c>
      <c r="C3288" s="1" t="s">
        <v>334</v>
      </c>
      <c r="D3288" s="1" t="s">
        <v>229</v>
      </c>
      <c r="E3288" s="1"/>
    </row>
    <row r="3289" spans="1:5" ht="16">
      <c r="A3289" s="1" t="s">
        <v>3178</v>
      </c>
      <c r="B3289" s="1" t="s">
        <v>3191</v>
      </c>
      <c r="C3289" s="1" t="s">
        <v>334</v>
      </c>
      <c r="D3289" s="1" t="s">
        <v>229</v>
      </c>
      <c r="E3289" s="1"/>
    </row>
    <row r="3290" spans="1:5" ht="16">
      <c r="A3290" s="1" t="s">
        <v>3178</v>
      </c>
      <c r="B3290" s="1" t="s">
        <v>3196</v>
      </c>
      <c r="C3290" s="1" t="s">
        <v>334</v>
      </c>
      <c r="D3290" s="1" t="s">
        <v>229</v>
      </c>
      <c r="E3290" s="1"/>
    </row>
    <row r="3291" spans="1:5" ht="16">
      <c r="A3291" s="1" t="s">
        <v>3178</v>
      </c>
      <c r="B3291" s="1" t="s">
        <v>3197</v>
      </c>
      <c r="C3291" s="1" t="s">
        <v>334</v>
      </c>
      <c r="D3291" s="1" t="s">
        <v>229</v>
      </c>
      <c r="E3291" s="1"/>
    </row>
    <row r="3292" spans="1:5" ht="16">
      <c r="A3292" s="1" t="s">
        <v>3178</v>
      </c>
      <c r="B3292" s="1" t="s">
        <v>3198</v>
      </c>
      <c r="C3292" s="1" t="s">
        <v>334</v>
      </c>
      <c r="D3292" s="1" t="s">
        <v>229</v>
      </c>
      <c r="E3292" s="1"/>
    </row>
    <row r="3293" spans="1:5" ht="16">
      <c r="A3293" s="1" t="s">
        <v>3178</v>
      </c>
      <c r="B3293" s="1" t="s">
        <v>3199</v>
      </c>
      <c r="C3293" s="1" t="s">
        <v>334</v>
      </c>
      <c r="D3293" s="1" t="s">
        <v>229</v>
      </c>
      <c r="E3293" s="1"/>
    </row>
    <row r="3294" spans="1:5" ht="16">
      <c r="A3294" s="1" t="s">
        <v>3178</v>
      </c>
      <c r="B3294" s="1" t="s">
        <v>3200</v>
      </c>
      <c r="C3294" s="1" t="s">
        <v>334</v>
      </c>
      <c r="D3294" s="1" t="s">
        <v>229</v>
      </c>
      <c r="E3294" s="1"/>
    </row>
    <row r="3295" spans="1:5" ht="16">
      <c r="A3295" s="1" t="s">
        <v>3178</v>
      </c>
      <c r="B3295" s="1" t="s">
        <v>3201</v>
      </c>
      <c r="C3295" s="1" t="s">
        <v>319</v>
      </c>
      <c r="D3295" s="1" t="s">
        <v>229</v>
      </c>
      <c r="E3295" s="1"/>
    </row>
    <row r="3296" spans="1:5" ht="16">
      <c r="A3296" s="1" t="s">
        <v>3178</v>
      </c>
      <c r="B3296" s="1" t="s">
        <v>3202</v>
      </c>
      <c r="C3296" s="1" t="s">
        <v>334</v>
      </c>
      <c r="D3296" s="1" t="s">
        <v>229</v>
      </c>
      <c r="E3296" s="1"/>
    </row>
    <row r="3297" spans="1:5" ht="16">
      <c r="A3297" s="1" t="s">
        <v>3178</v>
      </c>
      <c r="B3297" s="1" t="s">
        <v>3197</v>
      </c>
      <c r="C3297" s="1" t="s">
        <v>334</v>
      </c>
      <c r="D3297" s="1" t="s">
        <v>229</v>
      </c>
      <c r="E3297" s="1"/>
    </row>
    <row r="3298" spans="1:5" ht="16">
      <c r="A3298" s="1" t="s">
        <v>3178</v>
      </c>
      <c r="B3298" s="1" t="s">
        <v>3197</v>
      </c>
      <c r="C3298" s="1" t="s">
        <v>334</v>
      </c>
      <c r="D3298" s="1" t="s">
        <v>229</v>
      </c>
      <c r="E3298" s="1"/>
    </row>
    <row r="3299" spans="1:5" ht="16">
      <c r="A3299" s="1" t="s">
        <v>3178</v>
      </c>
      <c r="B3299" s="1" t="s">
        <v>3190</v>
      </c>
      <c r="C3299" s="1" t="s">
        <v>334</v>
      </c>
      <c r="D3299" s="1" t="s">
        <v>229</v>
      </c>
      <c r="E3299" s="1"/>
    </row>
    <row r="3300" spans="1:5" ht="16">
      <c r="A3300" s="1" t="s">
        <v>3178</v>
      </c>
      <c r="B3300" s="1" t="s">
        <v>3192</v>
      </c>
      <c r="C3300" s="1" t="s">
        <v>334</v>
      </c>
      <c r="D3300" s="1" t="s">
        <v>229</v>
      </c>
      <c r="E3300" s="1"/>
    </row>
    <row r="3301" spans="1:5" ht="16">
      <c r="A3301" s="1" t="s">
        <v>3178</v>
      </c>
      <c r="B3301" s="1" t="s">
        <v>3203</v>
      </c>
      <c r="C3301" s="1" t="s">
        <v>319</v>
      </c>
      <c r="D3301" s="1" t="s">
        <v>229</v>
      </c>
      <c r="E3301" s="1"/>
    </row>
    <row r="3302" spans="1:5" ht="16">
      <c r="A3302" s="1" t="s">
        <v>3178</v>
      </c>
      <c r="B3302" s="1" t="s">
        <v>3203</v>
      </c>
      <c r="C3302" s="1" t="s">
        <v>319</v>
      </c>
      <c r="D3302" s="1" t="s">
        <v>229</v>
      </c>
      <c r="E3302" s="1"/>
    </row>
    <row r="3303" spans="1:5" ht="16">
      <c r="A3303" s="1" t="s">
        <v>3178</v>
      </c>
      <c r="B3303" s="1" t="s">
        <v>3203</v>
      </c>
      <c r="C3303" s="1" t="s">
        <v>319</v>
      </c>
      <c r="D3303" s="1" t="s">
        <v>229</v>
      </c>
      <c r="E3303" s="1"/>
    </row>
    <row r="3304" spans="1:5" ht="16">
      <c r="A3304" s="1" t="s">
        <v>3178</v>
      </c>
      <c r="B3304" s="1" t="s">
        <v>3203</v>
      </c>
      <c r="C3304" s="1" t="s">
        <v>319</v>
      </c>
      <c r="D3304" s="1" t="s">
        <v>229</v>
      </c>
      <c r="E3304" s="1"/>
    </row>
    <row r="3305" spans="1:5" ht="16">
      <c r="A3305" s="1" t="s">
        <v>3178</v>
      </c>
      <c r="B3305" s="1" t="s">
        <v>3203</v>
      </c>
      <c r="C3305" s="1" t="s">
        <v>319</v>
      </c>
      <c r="D3305" s="1" t="s">
        <v>229</v>
      </c>
      <c r="E3305" s="1"/>
    </row>
    <row r="3306" spans="1:5" ht="16">
      <c r="A3306" s="1" t="s">
        <v>3178</v>
      </c>
      <c r="B3306" s="1" t="s">
        <v>3203</v>
      </c>
      <c r="C3306" s="1" t="s">
        <v>319</v>
      </c>
      <c r="D3306" s="1" t="s">
        <v>229</v>
      </c>
      <c r="E3306" s="1"/>
    </row>
    <row r="3307" spans="1:5" ht="16">
      <c r="A3307" s="1" t="s">
        <v>3178</v>
      </c>
      <c r="B3307" s="1" t="s">
        <v>3203</v>
      </c>
      <c r="C3307" s="1" t="s">
        <v>319</v>
      </c>
      <c r="D3307" s="1" t="s">
        <v>229</v>
      </c>
      <c r="E3307" s="1"/>
    </row>
    <row r="3308" spans="1:5" ht="16">
      <c r="A3308" s="1" t="s">
        <v>3178</v>
      </c>
      <c r="B3308" s="1" t="s">
        <v>3203</v>
      </c>
      <c r="C3308" s="1" t="s">
        <v>319</v>
      </c>
      <c r="D3308" s="1" t="s">
        <v>229</v>
      </c>
      <c r="E3308" s="1"/>
    </row>
    <row r="3309" spans="1:5" ht="16">
      <c r="A3309" s="1" t="s">
        <v>3178</v>
      </c>
      <c r="B3309" s="1" t="s">
        <v>3203</v>
      </c>
      <c r="C3309" s="1" t="s">
        <v>319</v>
      </c>
      <c r="D3309" s="1" t="s">
        <v>229</v>
      </c>
      <c r="E3309" s="1"/>
    </row>
    <row r="3310" spans="1:5" ht="16">
      <c r="A3310" s="1" t="s">
        <v>3178</v>
      </c>
      <c r="B3310" s="1" t="s">
        <v>3203</v>
      </c>
      <c r="C3310" s="1" t="s">
        <v>319</v>
      </c>
      <c r="D3310" s="1" t="s">
        <v>229</v>
      </c>
      <c r="E3310" s="1"/>
    </row>
    <row r="3311" spans="1:5" ht="16">
      <c r="A3311" s="1" t="s">
        <v>3178</v>
      </c>
      <c r="B3311" s="1" t="s">
        <v>3203</v>
      </c>
      <c r="C3311" s="1" t="s">
        <v>319</v>
      </c>
      <c r="D3311" s="1" t="s">
        <v>229</v>
      </c>
      <c r="E3311" s="1"/>
    </row>
    <row r="3312" spans="1:5" ht="16">
      <c r="A3312" s="1" t="s">
        <v>3178</v>
      </c>
      <c r="B3312" s="1" t="s">
        <v>3203</v>
      </c>
      <c r="C3312" s="1" t="s">
        <v>319</v>
      </c>
      <c r="D3312" s="1" t="s">
        <v>229</v>
      </c>
      <c r="E3312" s="1"/>
    </row>
    <row r="3313" spans="1:5" ht="16">
      <c r="A3313" s="1" t="s">
        <v>3178</v>
      </c>
      <c r="B3313" s="1" t="s">
        <v>3203</v>
      </c>
      <c r="C3313" s="1" t="s">
        <v>319</v>
      </c>
      <c r="D3313" s="1" t="s">
        <v>229</v>
      </c>
      <c r="E3313" s="1"/>
    </row>
    <row r="3314" spans="1:5" ht="16">
      <c r="A3314" s="1" t="s">
        <v>3178</v>
      </c>
      <c r="B3314" s="1" t="s">
        <v>3203</v>
      </c>
      <c r="C3314" s="1" t="s">
        <v>319</v>
      </c>
      <c r="D3314" s="1" t="s">
        <v>229</v>
      </c>
      <c r="E3314" s="1"/>
    </row>
    <row r="3315" spans="1:5" ht="16">
      <c r="A3315" s="1" t="s">
        <v>3178</v>
      </c>
      <c r="B3315" s="1" t="s">
        <v>3203</v>
      </c>
      <c r="C3315" s="1" t="s">
        <v>319</v>
      </c>
      <c r="D3315" s="1" t="s">
        <v>229</v>
      </c>
      <c r="E3315" s="1"/>
    </row>
    <row r="3316" spans="1:5" ht="16">
      <c r="A3316" s="1" t="s">
        <v>3178</v>
      </c>
      <c r="B3316" s="1" t="s">
        <v>3203</v>
      </c>
      <c r="C3316" s="1" t="s">
        <v>319</v>
      </c>
      <c r="D3316" s="1" t="s">
        <v>229</v>
      </c>
      <c r="E3316" s="1"/>
    </row>
    <row r="3317" spans="1:5" ht="16">
      <c r="A3317" s="1" t="s">
        <v>3178</v>
      </c>
      <c r="B3317" s="1" t="s">
        <v>3190</v>
      </c>
      <c r="C3317" s="1" t="s">
        <v>334</v>
      </c>
      <c r="D3317" s="1" t="s">
        <v>229</v>
      </c>
      <c r="E3317" s="1"/>
    </row>
    <row r="3318" spans="1:5" ht="16">
      <c r="A3318" s="1" t="s">
        <v>3178</v>
      </c>
      <c r="B3318" s="1" t="s">
        <v>3192</v>
      </c>
      <c r="C3318" s="1" t="s">
        <v>334</v>
      </c>
      <c r="D3318" s="1" t="s">
        <v>229</v>
      </c>
      <c r="E3318" s="1"/>
    </row>
    <row r="3319" spans="1:5" ht="16">
      <c r="A3319" s="1" t="s">
        <v>3178</v>
      </c>
      <c r="B3319" s="1" t="s">
        <v>3204</v>
      </c>
      <c r="C3319" s="1" t="s">
        <v>319</v>
      </c>
      <c r="D3319" s="1" t="s">
        <v>229</v>
      </c>
      <c r="E3319" s="1"/>
    </row>
    <row r="3320" spans="1:5" ht="16">
      <c r="A3320" s="1" t="s">
        <v>3178</v>
      </c>
      <c r="B3320" s="1" t="s">
        <v>3204</v>
      </c>
      <c r="C3320" s="1" t="s">
        <v>319</v>
      </c>
      <c r="D3320" s="1" t="s">
        <v>229</v>
      </c>
      <c r="E3320" s="1"/>
    </row>
    <row r="3321" spans="1:5" ht="16">
      <c r="A3321" s="1" t="s">
        <v>3178</v>
      </c>
      <c r="B3321" s="1" t="s">
        <v>3204</v>
      </c>
      <c r="C3321" s="1" t="s">
        <v>319</v>
      </c>
      <c r="D3321" s="1" t="s">
        <v>229</v>
      </c>
      <c r="E3321" s="1"/>
    </row>
    <row r="3322" spans="1:5" ht="16">
      <c r="A3322" s="1" t="s">
        <v>3178</v>
      </c>
      <c r="B3322" s="1" t="s">
        <v>3204</v>
      </c>
      <c r="C3322" s="1" t="s">
        <v>319</v>
      </c>
      <c r="D3322" s="1" t="s">
        <v>229</v>
      </c>
      <c r="E3322" s="1"/>
    </row>
    <row r="3323" spans="1:5" ht="16">
      <c r="A3323" s="1" t="s">
        <v>3178</v>
      </c>
      <c r="B3323" s="1" t="s">
        <v>3204</v>
      </c>
      <c r="C3323" s="1" t="s">
        <v>319</v>
      </c>
      <c r="D3323" s="1" t="s">
        <v>229</v>
      </c>
      <c r="E3323" s="1"/>
    </row>
    <row r="3324" spans="1:5" ht="16">
      <c r="A3324" s="1" t="s">
        <v>3178</v>
      </c>
      <c r="B3324" s="1" t="s">
        <v>3204</v>
      </c>
      <c r="C3324" s="1" t="s">
        <v>319</v>
      </c>
      <c r="D3324" s="1" t="s">
        <v>229</v>
      </c>
      <c r="E3324" s="1"/>
    </row>
    <row r="3325" spans="1:5" ht="16">
      <c r="A3325" s="1" t="s">
        <v>3178</v>
      </c>
      <c r="B3325" s="1" t="s">
        <v>3205</v>
      </c>
      <c r="C3325" s="1" t="s">
        <v>319</v>
      </c>
      <c r="D3325" s="1" t="s">
        <v>229</v>
      </c>
      <c r="E3325" s="1"/>
    </row>
    <row r="3326" spans="1:5" ht="16">
      <c r="A3326" s="1" t="s">
        <v>3178</v>
      </c>
      <c r="B3326" s="1" t="s">
        <v>3205</v>
      </c>
      <c r="C3326" s="1" t="s">
        <v>319</v>
      </c>
      <c r="D3326" s="1" t="s">
        <v>229</v>
      </c>
      <c r="E3326" s="1"/>
    </row>
    <row r="3327" spans="1:5" ht="16">
      <c r="A3327" s="1" t="s">
        <v>3178</v>
      </c>
      <c r="B3327" s="1" t="s">
        <v>3206</v>
      </c>
      <c r="C3327" s="1" t="s">
        <v>319</v>
      </c>
      <c r="D3327" s="1" t="s">
        <v>229</v>
      </c>
      <c r="E3327" s="1"/>
    </row>
    <row r="3328" spans="1:5" ht="16">
      <c r="A3328" s="1" t="s">
        <v>3178</v>
      </c>
      <c r="B3328" s="1" t="s">
        <v>3207</v>
      </c>
      <c r="C3328" s="1" t="s">
        <v>319</v>
      </c>
      <c r="D3328" s="1" t="s">
        <v>229</v>
      </c>
      <c r="E3328" s="1"/>
    </row>
    <row r="3329" spans="1:5" ht="16">
      <c r="A3329" s="1" t="s">
        <v>3178</v>
      </c>
      <c r="B3329" s="1" t="s">
        <v>3208</v>
      </c>
      <c r="C3329" s="1" t="s">
        <v>334</v>
      </c>
      <c r="D3329" s="1" t="s">
        <v>229</v>
      </c>
      <c r="E3329" s="1"/>
    </row>
    <row r="3330" spans="1:5" ht="16">
      <c r="A3330" s="1" t="s">
        <v>3178</v>
      </c>
      <c r="B3330" s="1" t="s">
        <v>3209</v>
      </c>
      <c r="C3330" s="1" t="s">
        <v>334</v>
      </c>
      <c r="D3330" s="1" t="s">
        <v>229</v>
      </c>
      <c r="E3330" s="1"/>
    </row>
    <row r="3331" spans="1:5" ht="16">
      <c r="A3331" s="1" t="s">
        <v>3178</v>
      </c>
      <c r="B3331" s="1" t="s">
        <v>3210</v>
      </c>
      <c r="C3331" s="1" t="s">
        <v>334</v>
      </c>
      <c r="D3331" s="1" t="s">
        <v>229</v>
      </c>
      <c r="E3331" s="1"/>
    </row>
    <row r="3332" spans="1:5" ht="16">
      <c r="A3332" s="1" t="s">
        <v>3178</v>
      </c>
      <c r="B3332" s="1" t="s">
        <v>3208</v>
      </c>
      <c r="C3332" s="1" t="s">
        <v>334</v>
      </c>
      <c r="D3332" s="1" t="s">
        <v>229</v>
      </c>
      <c r="E3332" s="1"/>
    </row>
    <row r="3333" spans="1:5" ht="16">
      <c r="A3333" s="1" t="s">
        <v>3178</v>
      </c>
      <c r="B3333" s="1" t="s">
        <v>3211</v>
      </c>
      <c r="C3333" s="1" t="s">
        <v>334</v>
      </c>
      <c r="D3333" s="1" t="s">
        <v>229</v>
      </c>
      <c r="E3333" s="1"/>
    </row>
    <row r="3334" spans="1:5" ht="16">
      <c r="A3334" s="1" t="s">
        <v>3178</v>
      </c>
      <c r="B3334" s="1" t="s">
        <v>3208</v>
      </c>
      <c r="C3334" s="1" t="s">
        <v>334</v>
      </c>
      <c r="D3334" s="1" t="s">
        <v>229</v>
      </c>
      <c r="E3334" s="1"/>
    </row>
    <row r="3335" spans="1:5" ht="16">
      <c r="A3335" s="1" t="s">
        <v>3178</v>
      </c>
      <c r="B3335" s="1" t="s">
        <v>3212</v>
      </c>
      <c r="C3335" s="1" t="s">
        <v>334</v>
      </c>
      <c r="D3335" s="1" t="s">
        <v>229</v>
      </c>
      <c r="E3335" s="1"/>
    </row>
    <row r="3336" spans="1:5" ht="16">
      <c r="A3336" s="1" t="s">
        <v>3178</v>
      </c>
      <c r="B3336" s="1" t="s">
        <v>3213</v>
      </c>
      <c r="C3336" s="1" t="s">
        <v>334</v>
      </c>
      <c r="D3336" s="1" t="s">
        <v>229</v>
      </c>
      <c r="E3336" s="1"/>
    </row>
    <row r="3337" spans="1:5" ht="16">
      <c r="A3337" s="1" t="s">
        <v>3178</v>
      </c>
      <c r="B3337" s="1" t="s">
        <v>3214</v>
      </c>
      <c r="C3337" s="1" t="s">
        <v>334</v>
      </c>
      <c r="D3337" s="1" t="s">
        <v>229</v>
      </c>
      <c r="E3337" s="1"/>
    </row>
    <row r="3338" spans="1:5" ht="16">
      <c r="A3338" s="1" t="s">
        <v>3178</v>
      </c>
      <c r="B3338" s="1" t="s">
        <v>3215</v>
      </c>
      <c r="C3338" s="1" t="s">
        <v>334</v>
      </c>
      <c r="D3338" s="1" t="s">
        <v>229</v>
      </c>
      <c r="E3338" s="1"/>
    </row>
    <row r="3339" spans="1:5" ht="16">
      <c r="A3339" s="1" t="s">
        <v>3178</v>
      </c>
      <c r="B3339" s="1" t="s">
        <v>3216</v>
      </c>
      <c r="C3339" s="1" t="s">
        <v>334</v>
      </c>
      <c r="D3339" s="1" t="s">
        <v>229</v>
      </c>
      <c r="E3339" s="1"/>
    </row>
    <row r="3340" spans="1:5" ht="16">
      <c r="A3340" s="1" t="s">
        <v>3178</v>
      </c>
      <c r="B3340" s="1" t="s">
        <v>3217</v>
      </c>
      <c r="C3340" s="1" t="s">
        <v>334</v>
      </c>
      <c r="D3340" s="1" t="s">
        <v>229</v>
      </c>
      <c r="E3340" s="1"/>
    </row>
    <row r="3341" spans="1:5" ht="16">
      <c r="A3341" s="1" t="s">
        <v>3178</v>
      </c>
      <c r="B3341" s="1" t="s">
        <v>3218</v>
      </c>
      <c r="C3341" s="1" t="s">
        <v>334</v>
      </c>
      <c r="D3341" s="1" t="s">
        <v>229</v>
      </c>
      <c r="E3341" s="1"/>
    </row>
    <row r="3342" spans="1:5" ht="16">
      <c r="A3342" s="1" t="s">
        <v>3178</v>
      </c>
      <c r="B3342" s="1" t="s">
        <v>3219</v>
      </c>
      <c r="C3342" s="1" t="s">
        <v>334</v>
      </c>
      <c r="D3342" s="1" t="s">
        <v>229</v>
      </c>
      <c r="E3342" s="1"/>
    </row>
    <row r="3343" spans="1:5" ht="16">
      <c r="A3343" s="1" t="s">
        <v>3178</v>
      </c>
      <c r="B3343" s="1" t="s">
        <v>3220</v>
      </c>
      <c r="C3343" s="1" t="s">
        <v>334</v>
      </c>
      <c r="D3343" s="1" t="s">
        <v>229</v>
      </c>
      <c r="E3343" s="1"/>
    </row>
    <row r="3344" spans="1:5" ht="16">
      <c r="A3344" s="1" t="s">
        <v>3178</v>
      </c>
      <c r="B3344" s="1" t="s">
        <v>3221</v>
      </c>
      <c r="C3344" s="1" t="s">
        <v>334</v>
      </c>
      <c r="D3344" s="1" t="s">
        <v>229</v>
      </c>
      <c r="E3344" s="1"/>
    </row>
    <row r="3345" spans="1:5" ht="16">
      <c r="A3345" s="1" t="s">
        <v>3178</v>
      </c>
      <c r="B3345" s="1" t="s">
        <v>3222</v>
      </c>
      <c r="C3345" s="1" t="s">
        <v>319</v>
      </c>
      <c r="D3345" s="1" t="s">
        <v>229</v>
      </c>
      <c r="E3345" s="1"/>
    </row>
    <row r="3346" spans="1:5" ht="16">
      <c r="A3346" s="1" t="s">
        <v>3178</v>
      </c>
      <c r="B3346" s="1" t="s">
        <v>3223</v>
      </c>
      <c r="C3346" s="1" t="s">
        <v>319</v>
      </c>
      <c r="D3346" s="1" t="s">
        <v>229</v>
      </c>
      <c r="E3346" s="1"/>
    </row>
    <row r="3347" spans="1:5" ht="16">
      <c r="A3347" s="1" t="s">
        <v>3178</v>
      </c>
      <c r="B3347" s="1" t="s">
        <v>3223</v>
      </c>
      <c r="C3347" s="1" t="s">
        <v>319</v>
      </c>
      <c r="D3347" s="1" t="s">
        <v>229</v>
      </c>
      <c r="E3347" s="1"/>
    </row>
    <row r="3348" spans="1:5" ht="16">
      <c r="A3348" s="1" t="s">
        <v>3178</v>
      </c>
      <c r="B3348" s="1" t="s">
        <v>3224</v>
      </c>
      <c r="C3348" s="1" t="s">
        <v>334</v>
      </c>
      <c r="D3348" s="1" t="s">
        <v>229</v>
      </c>
      <c r="E3348" s="1"/>
    </row>
    <row r="3349" spans="1:5" ht="16">
      <c r="A3349" s="1" t="s">
        <v>3178</v>
      </c>
      <c r="B3349" s="1" t="s">
        <v>3225</v>
      </c>
      <c r="C3349" s="1" t="s">
        <v>334</v>
      </c>
      <c r="D3349" s="1" t="s">
        <v>229</v>
      </c>
      <c r="E3349" s="1"/>
    </row>
    <row r="3350" spans="1:5" ht="16">
      <c r="A3350" s="1" t="s">
        <v>3178</v>
      </c>
      <c r="B3350" s="1" t="s">
        <v>1074</v>
      </c>
      <c r="C3350" s="1" t="s">
        <v>334</v>
      </c>
      <c r="D3350" s="1" t="s">
        <v>229</v>
      </c>
      <c r="E3350" s="1"/>
    </row>
    <row r="3351" spans="1:5" ht="16">
      <c r="A3351" s="1" t="s">
        <v>3178</v>
      </c>
      <c r="B3351" s="1" t="s">
        <v>3226</v>
      </c>
      <c r="C3351" s="1" t="s">
        <v>334</v>
      </c>
      <c r="D3351" s="1" t="s">
        <v>229</v>
      </c>
      <c r="E3351" s="1"/>
    </row>
    <row r="3352" spans="1:5" ht="16">
      <c r="A3352" s="1" t="s">
        <v>3178</v>
      </c>
      <c r="B3352" s="1" t="s">
        <v>3226</v>
      </c>
      <c r="C3352" s="1" t="s">
        <v>334</v>
      </c>
      <c r="D3352" s="1" t="s">
        <v>229</v>
      </c>
      <c r="E3352" s="1"/>
    </row>
    <row r="3353" spans="1:5" ht="16">
      <c r="A3353" s="1" t="s">
        <v>3178</v>
      </c>
      <c r="B3353" s="1" t="s">
        <v>3226</v>
      </c>
      <c r="C3353" s="1" t="s">
        <v>334</v>
      </c>
      <c r="D3353" s="1" t="s">
        <v>229</v>
      </c>
      <c r="E3353" s="1"/>
    </row>
    <row r="3354" spans="1:5" ht="16">
      <c r="A3354" s="1" t="s">
        <v>3178</v>
      </c>
      <c r="B3354" s="1" t="s">
        <v>3227</v>
      </c>
      <c r="C3354" s="1" t="s">
        <v>334</v>
      </c>
      <c r="D3354" s="1" t="s">
        <v>229</v>
      </c>
      <c r="E3354" s="1"/>
    </row>
    <row r="3355" spans="1:5" ht="16">
      <c r="A3355" s="1" t="s">
        <v>3178</v>
      </c>
      <c r="B3355" s="1" t="s">
        <v>3227</v>
      </c>
      <c r="C3355" s="1" t="s">
        <v>334</v>
      </c>
      <c r="D3355" s="1" t="s">
        <v>229</v>
      </c>
      <c r="E3355" s="1"/>
    </row>
    <row r="3356" spans="1:5" ht="16">
      <c r="A3356" s="1" t="s">
        <v>3178</v>
      </c>
      <c r="B3356" s="1" t="s">
        <v>3228</v>
      </c>
      <c r="C3356" s="1" t="s">
        <v>334</v>
      </c>
      <c r="D3356" s="1" t="s">
        <v>229</v>
      </c>
      <c r="E3356" s="1"/>
    </row>
    <row r="3357" spans="1:5" ht="16">
      <c r="A3357" s="1" t="s">
        <v>3178</v>
      </c>
      <c r="B3357" s="1" t="s">
        <v>1082</v>
      </c>
      <c r="C3357" s="1" t="s">
        <v>334</v>
      </c>
      <c r="D3357" s="1" t="s">
        <v>229</v>
      </c>
      <c r="E3357" s="1"/>
    </row>
    <row r="3358" spans="1:5" ht="16">
      <c r="A3358" s="1" t="s">
        <v>3178</v>
      </c>
      <c r="B3358" s="1" t="s">
        <v>1082</v>
      </c>
      <c r="C3358" s="1" t="s">
        <v>334</v>
      </c>
      <c r="D3358" s="1" t="s">
        <v>229</v>
      </c>
      <c r="E3358" s="1"/>
    </row>
    <row r="3359" spans="1:5" ht="16">
      <c r="A3359" s="1" t="s">
        <v>3178</v>
      </c>
      <c r="B3359" s="1" t="s">
        <v>1082</v>
      </c>
      <c r="C3359" s="1" t="s">
        <v>334</v>
      </c>
      <c r="D3359" s="1" t="s">
        <v>229</v>
      </c>
      <c r="E3359" s="1"/>
    </row>
    <row r="3360" spans="1:5" ht="16">
      <c r="A3360" s="1" t="s">
        <v>3178</v>
      </c>
      <c r="B3360" s="1" t="s">
        <v>3229</v>
      </c>
      <c r="C3360" s="1" t="s">
        <v>334</v>
      </c>
      <c r="D3360" s="1" t="s">
        <v>229</v>
      </c>
      <c r="E3360" s="1"/>
    </row>
    <row r="3361" spans="1:5" ht="16">
      <c r="A3361" s="1" t="s">
        <v>3178</v>
      </c>
      <c r="B3361" s="1" t="s">
        <v>3228</v>
      </c>
      <c r="C3361" s="1" t="s">
        <v>334</v>
      </c>
      <c r="D3361" s="1" t="s">
        <v>229</v>
      </c>
      <c r="E3361" s="1"/>
    </row>
    <row r="3362" spans="1:5" ht="16">
      <c r="A3362" s="1" t="s">
        <v>3178</v>
      </c>
      <c r="B3362" s="1" t="s">
        <v>3228</v>
      </c>
      <c r="C3362" s="1" t="s">
        <v>334</v>
      </c>
      <c r="D3362" s="1" t="s">
        <v>229</v>
      </c>
      <c r="E3362" s="1"/>
    </row>
    <row r="3363" spans="1:5" ht="16">
      <c r="A3363" s="1" t="s">
        <v>3178</v>
      </c>
      <c r="B3363" s="1" t="s">
        <v>3230</v>
      </c>
      <c r="C3363" s="1" t="s">
        <v>334</v>
      </c>
      <c r="D3363" s="1" t="s">
        <v>229</v>
      </c>
      <c r="E3363" s="1"/>
    </row>
    <row r="3364" spans="1:5" ht="16">
      <c r="A3364" s="1" t="s">
        <v>3178</v>
      </c>
      <c r="B3364" s="1" t="s">
        <v>3230</v>
      </c>
      <c r="C3364" s="1" t="s">
        <v>334</v>
      </c>
      <c r="D3364" s="1" t="s">
        <v>229</v>
      </c>
      <c r="E3364" s="1"/>
    </row>
    <row r="3365" spans="1:5" ht="16">
      <c r="A3365" s="1" t="s">
        <v>3178</v>
      </c>
      <c r="B3365" s="1" t="s">
        <v>3231</v>
      </c>
      <c r="C3365" s="1" t="s">
        <v>334</v>
      </c>
      <c r="D3365" s="1" t="s">
        <v>229</v>
      </c>
      <c r="E3365" s="1"/>
    </row>
    <row r="3366" spans="1:5" ht="16">
      <c r="A3366" s="1" t="s">
        <v>3178</v>
      </c>
      <c r="B3366" s="1" t="s">
        <v>3232</v>
      </c>
      <c r="C3366" s="1" t="s">
        <v>334</v>
      </c>
      <c r="D3366" s="1" t="s">
        <v>229</v>
      </c>
      <c r="E3366" s="1"/>
    </row>
    <row r="3367" spans="1:5" ht="16">
      <c r="A3367" s="1" t="s">
        <v>3178</v>
      </c>
      <c r="B3367" s="1" t="s">
        <v>3233</v>
      </c>
      <c r="C3367" s="1" t="s">
        <v>334</v>
      </c>
      <c r="D3367" s="1" t="s">
        <v>229</v>
      </c>
      <c r="E3367" s="1"/>
    </row>
    <row r="3368" spans="1:5" ht="16">
      <c r="A3368" s="1" t="s">
        <v>3178</v>
      </c>
      <c r="B3368" s="1" t="s">
        <v>3234</v>
      </c>
      <c r="C3368" s="1" t="s">
        <v>334</v>
      </c>
      <c r="D3368" s="1" t="s">
        <v>229</v>
      </c>
      <c r="E3368" s="1"/>
    </row>
    <row r="3369" spans="1:5" ht="16">
      <c r="A3369" s="1" t="s">
        <v>3178</v>
      </c>
      <c r="B3369" s="1" t="s">
        <v>3235</v>
      </c>
      <c r="C3369" s="1" t="s">
        <v>334</v>
      </c>
      <c r="D3369" s="1" t="s">
        <v>229</v>
      </c>
      <c r="E3369" s="1"/>
    </row>
    <row r="3370" spans="1:5" ht="16">
      <c r="A3370" s="1" t="s">
        <v>3178</v>
      </c>
      <c r="B3370" s="1" t="s">
        <v>3236</v>
      </c>
      <c r="C3370" s="1" t="s">
        <v>332</v>
      </c>
      <c r="D3370" s="1" t="s">
        <v>229</v>
      </c>
      <c r="E3370" s="1"/>
    </row>
    <row r="3371" spans="1:5" ht="16">
      <c r="A3371" s="1" t="s">
        <v>3178</v>
      </c>
      <c r="B3371" s="1" t="s">
        <v>3237</v>
      </c>
      <c r="C3371" s="1" t="s">
        <v>332</v>
      </c>
      <c r="D3371" s="1" t="s">
        <v>229</v>
      </c>
      <c r="E3371" s="1"/>
    </row>
    <row r="3372" spans="1:5" ht="16">
      <c r="A3372" s="1" t="s">
        <v>3178</v>
      </c>
      <c r="B3372" s="1" t="s">
        <v>3238</v>
      </c>
      <c r="C3372" s="1" t="s">
        <v>332</v>
      </c>
      <c r="D3372" s="1" t="s">
        <v>229</v>
      </c>
      <c r="E3372" s="1"/>
    </row>
    <row r="3373" spans="1:5" ht="16">
      <c r="A3373" s="1" t="s">
        <v>3178</v>
      </c>
      <c r="B3373" s="1" t="s">
        <v>3239</v>
      </c>
      <c r="C3373" s="1" t="s">
        <v>332</v>
      </c>
      <c r="D3373" s="1" t="s">
        <v>229</v>
      </c>
      <c r="E3373" s="1"/>
    </row>
    <row r="3374" spans="1:5" ht="16">
      <c r="A3374" s="1" t="s">
        <v>3178</v>
      </c>
      <c r="B3374" s="1" t="s">
        <v>3240</v>
      </c>
      <c r="C3374" s="1" t="s">
        <v>332</v>
      </c>
      <c r="D3374" s="1" t="s">
        <v>229</v>
      </c>
      <c r="E3374" s="1"/>
    </row>
    <row r="3375" spans="1:5" ht="16">
      <c r="A3375" s="1" t="s">
        <v>3178</v>
      </c>
      <c r="B3375" s="1" t="s">
        <v>3241</v>
      </c>
      <c r="C3375" s="1" t="s">
        <v>332</v>
      </c>
      <c r="D3375" s="1" t="s">
        <v>229</v>
      </c>
      <c r="E3375" s="1"/>
    </row>
    <row r="3376" spans="1:5" ht="16">
      <c r="A3376" s="1" t="s">
        <v>3178</v>
      </c>
      <c r="B3376" s="1" t="s">
        <v>3242</v>
      </c>
      <c r="C3376" s="1" t="s">
        <v>332</v>
      </c>
      <c r="D3376" s="1" t="s">
        <v>229</v>
      </c>
      <c r="E3376" s="1"/>
    </row>
    <row r="3377" spans="1:5" ht="16">
      <c r="A3377" s="1" t="s">
        <v>3178</v>
      </c>
      <c r="B3377" s="1" t="s">
        <v>3243</v>
      </c>
      <c r="C3377" s="1" t="s">
        <v>332</v>
      </c>
      <c r="D3377" s="1" t="s">
        <v>229</v>
      </c>
      <c r="E3377" s="1"/>
    </row>
    <row r="3378" spans="1:5" ht="16">
      <c r="A3378" s="1" t="s">
        <v>3178</v>
      </c>
      <c r="B3378" s="1" t="s">
        <v>3244</v>
      </c>
      <c r="C3378" s="1" t="s">
        <v>332</v>
      </c>
      <c r="D3378" s="1" t="s">
        <v>229</v>
      </c>
      <c r="E3378" s="1"/>
    </row>
    <row r="3379" spans="1:5" ht="16">
      <c r="A3379" s="1" t="s">
        <v>3178</v>
      </c>
      <c r="B3379" s="1" t="s">
        <v>3245</v>
      </c>
      <c r="C3379" s="1" t="s">
        <v>332</v>
      </c>
      <c r="D3379" s="1" t="s">
        <v>229</v>
      </c>
      <c r="E3379" s="1"/>
    </row>
    <row r="3380" spans="1:5" ht="16">
      <c r="A3380" s="1" t="s">
        <v>3178</v>
      </c>
      <c r="B3380" s="1" t="s">
        <v>3246</v>
      </c>
      <c r="C3380" s="1" t="s">
        <v>332</v>
      </c>
      <c r="D3380" s="1" t="s">
        <v>229</v>
      </c>
      <c r="E3380" s="1"/>
    </row>
    <row r="3381" spans="1:5" ht="16">
      <c r="A3381" s="1" t="s">
        <v>3178</v>
      </c>
      <c r="B3381" s="1" t="s">
        <v>3247</v>
      </c>
      <c r="C3381" s="1" t="s">
        <v>332</v>
      </c>
      <c r="D3381" s="1" t="s">
        <v>229</v>
      </c>
      <c r="E3381" s="1"/>
    </row>
    <row r="3382" spans="1:5" ht="16">
      <c r="A3382" s="1" t="s">
        <v>3178</v>
      </c>
      <c r="B3382" s="1" t="s">
        <v>3248</v>
      </c>
      <c r="C3382" s="1" t="s">
        <v>332</v>
      </c>
      <c r="D3382" s="1" t="s">
        <v>229</v>
      </c>
      <c r="E3382" s="1"/>
    </row>
    <row r="3383" spans="1:5" ht="16">
      <c r="A3383" s="1" t="s">
        <v>3178</v>
      </c>
      <c r="B3383" s="1" t="s">
        <v>3249</v>
      </c>
      <c r="C3383" s="1" t="s">
        <v>332</v>
      </c>
      <c r="D3383" s="1" t="s">
        <v>229</v>
      </c>
      <c r="E3383" s="1"/>
    </row>
    <row r="3384" spans="1:5" ht="16">
      <c r="A3384" s="1" t="s">
        <v>3178</v>
      </c>
      <c r="B3384" s="1" t="s">
        <v>3250</v>
      </c>
      <c r="C3384" s="1" t="s">
        <v>332</v>
      </c>
      <c r="D3384" s="1" t="s">
        <v>229</v>
      </c>
      <c r="E3384" s="1"/>
    </row>
    <row r="3385" spans="1:5" ht="16">
      <c r="A3385" s="1" t="s">
        <v>3178</v>
      </c>
      <c r="B3385" s="1" t="s">
        <v>3251</v>
      </c>
      <c r="C3385" s="1" t="s">
        <v>332</v>
      </c>
      <c r="D3385" s="1" t="s">
        <v>229</v>
      </c>
      <c r="E3385" s="1"/>
    </row>
    <row r="3386" spans="1:5" ht="16">
      <c r="A3386" s="1" t="s">
        <v>3178</v>
      </c>
      <c r="B3386" s="1" t="s">
        <v>3252</v>
      </c>
      <c r="C3386" s="1" t="s">
        <v>332</v>
      </c>
      <c r="D3386" s="1" t="s">
        <v>229</v>
      </c>
      <c r="E3386" s="1"/>
    </row>
    <row r="3387" spans="1:5" ht="16">
      <c r="A3387" s="1" t="s">
        <v>3178</v>
      </c>
      <c r="B3387" s="1" t="s">
        <v>3253</v>
      </c>
      <c r="C3387" s="1" t="s">
        <v>332</v>
      </c>
      <c r="D3387" s="1" t="s">
        <v>229</v>
      </c>
      <c r="E3387" s="1"/>
    </row>
    <row r="3388" spans="1:5" ht="16">
      <c r="A3388" s="1" t="s">
        <v>3178</v>
      </c>
      <c r="B3388" s="1" t="s">
        <v>3254</v>
      </c>
      <c r="C3388" s="1" t="s">
        <v>332</v>
      </c>
      <c r="D3388" s="1" t="s">
        <v>229</v>
      </c>
      <c r="E3388" s="1"/>
    </row>
    <row r="3389" spans="1:5" ht="16">
      <c r="A3389" s="1" t="s">
        <v>3178</v>
      </c>
      <c r="B3389" s="1" t="s">
        <v>3255</v>
      </c>
      <c r="C3389" s="1" t="s">
        <v>332</v>
      </c>
      <c r="D3389" s="1" t="s">
        <v>229</v>
      </c>
      <c r="E3389" s="1"/>
    </row>
    <row r="3390" spans="1:5" ht="16">
      <c r="A3390" s="1" t="s">
        <v>3178</v>
      </c>
      <c r="B3390" s="1" t="s">
        <v>3256</v>
      </c>
      <c r="C3390" s="1" t="s">
        <v>332</v>
      </c>
      <c r="D3390" s="1" t="s">
        <v>229</v>
      </c>
      <c r="E3390" s="1"/>
    </row>
    <row r="3391" spans="1:5" ht="16">
      <c r="A3391" s="1" t="s">
        <v>3178</v>
      </c>
      <c r="B3391" s="1" t="s">
        <v>3257</v>
      </c>
      <c r="C3391" s="1" t="s">
        <v>332</v>
      </c>
      <c r="D3391" s="1" t="s">
        <v>229</v>
      </c>
      <c r="E3391" s="1"/>
    </row>
    <row r="3392" spans="1:5" ht="16">
      <c r="A3392" s="1" t="s">
        <v>3178</v>
      </c>
      <c r="B3392" s="1" t="s">
        <v>3258</v>
      </c>
      <c r="C3392" s="1" t="s">
        <v>332</v>
      </c>
      <c r="D3392" s="1" t="s">
        <v>229</v>
      </c>
      <c r="E3392" s="1"/>
    </row>
    <row r="3393" spans="1:5" ht="16">
      <c r="A3393" s="1" t="s">
        <v>3178</v>
      </c>
      <c r="B3393" s="1" t="s">
        <v>3259</v>
      </c>
      <c r="C3393" s="1" t="s">
        <v>332</v>
      </c>
      <c r="D3393" s="1" t="s">
        <v>229</v>
      </c>
      <c r="E3393" s="1"/>
    </row>
    <row r="3394" spans="1:5" ht="16">
      <c r="A3394" s="1" t="s">
        <v>3178</v>
      </c>
      <c r="B3394" s="1" t="s">
        <v>3260</v>
      </c>
      <c r="C3394" s="1" t="s">
        <v>228</v>
      </c>
      <c r="D3394" s="1" t="s">
        <v>229</v>
      </c>
      <c r="E3394" s="1"/>
    </row>
    <row r="3395" spans="1:5" ht="16">
      <c r="A3395" s="1" t="s">
        <v>3178</v>
      </c>
      <c r="B3395" s="1" t="s">
        <v>3261</v>
      </c>
      <c r="C3395" s="1" t="s">
        <v>228</v>
      </c>
      <c r="D3395" s="1" t="s">
        <v>229</v>
      </c>
      <c r="E3395" s="1"/>
    </row>
    <row r="3396" spans="1:5" ht="16">
      <c r="A3396" s="1" t="s">
        <v>3178</v>
      </c>
      <c r="B3396" s="1" t="s">
        <v>3262</v>
      </c>
      <c r="C3396" s="1" t="s">
        <v>228</v>
      </c>
      <c r="D3396" s="1" t="s">
        <v>229</v>
      </c>
      <c r="E3396" s="1"/>
    </row>
    <row r="3397" spans="1:5" ht="16">
      <c r="A3397" s="1" t="s">
        <v>3178</v>
      </c>
      <c r="B3397" s="1" t="s">
        <v>3263</v>
      </c>
      <c r="C3397" s="1" t="s">
        <v>228</v>
      </c>
      <c r="D3397" s="1" t="s">
        <v>229</v>
      </c>
      <c r="E3397" s="1"/>
    </row>
    <row r="3398" spans="1:5" ht="16">
      <c r="A3398" s="1" t="s">
        <v>3178</v>
      </c>
      <c r="B3398" s="1" t="s">
        <v>3264</v>
      </c>
      <c r="C3398" s="1" t="s">
        <v>228</v>
      </c>
      <c r="D3398" s="1" t="s">
        <v>229</v>
      </c>
      <c r="E3398" s="1"/>
    </row>
    <row r="3399" spans="1:5" ht="16">
      <c r="A3399" s="1" t="s">
        <v>3178</v>
      </c>
      <c r="B3399" s="1" t="s">
        <v>3265</v>
      </c>
      <c r="C3399" s="1" t="s">
        <v>228</v>
      </c>
      <c r="D3399" s="1" t="s">
        <v>229</v>
      </c>
      <c r="E3399" s="1"/>
    </row>
    <row r="3400" spans="1:5" ht="16">
      <c r="A3400" s="1" t="s">
        <v>3178</v>
      </c>
      <c r="B3400" s="1" t="s">
        <v>3266</v>
      </c>
      <c r="C3400" s="1" t="s">
        <v>228</v>
      </c>
      <c r="D3400" s="1" t="s">
        <v>229</v>
      </c>
      <c r="E3400" s="1"/>
    </row>
    <row r="3401" spans="1:5" ht="16">
      <c r="A3401" s="1" t="s">
        <v>3178</v>
      </c>
      <c r="B3401" s="1" t="s">
        <v>3267</v>
      </c>
      <c r="C3401" s="1" t="s">
        <v>228</v>
      </c>
      <c r="D3401" s="1" t="s">
        <v>229</v>
      </c>
      <c r="E3401" s="1"/>
    </row>
    <row r="3402" spans="1:5" ht="16">
      <c r="A3402" s="1" t="s">
        <v>3178</v>
      </c>
      <c r="B3402" s="1" t="s">
        <v>3268</v>
      </c>
      <c r="C3402" s="1" t="s">
        <v>228</v>
      </c>
      <c r="D3402" s="1" t="s">
        <v>229</v>
      </c>
      <c r="E3402" s="1"/>
    </row>
    <row r="3403" spans="1:5" ht="16">
      <c r="A3403" s="1" t="s">
        <v>3178</v>
      </c>
      <c r="B3403" s="1" t="s">
        <v>3269</v>
      </c>
      <c r="C3403" s="1" t="s">
        <v>228</v>
      </c>
      <c r="D3403" s="1" t="s">
        <v>229</v>
      </c>
      <c r="E3403" s="1"/>
    </row>
    <row r="3404" spans="1:5" ht="16">
      <c r="A3404" s="1" t="s">
        <v>3178</v>
      </c>
      <c r="B3404" s="1" t="s">
        <v>3270</v>
      </c>
      <c r="C3404" s="1" t="s">
        <v>228</v>
      </c>
      <c r="D3404" s="1" t="s">
        <v>229</v>
      </c>
      <c r="E3404" s="1"/>
    </row>
    <row r="3405" spans="1:5" ht="16">
      <c r="A3405" s="1" t="s">
        <v>3178</v>
      </c>
      <c r="B3405" s="1" t="s">
        <v>3271</v>
      </c>
      <c r="C3405" s="1" t="s">
        <v>234</v>
      </c>
      <c r="D3405" s="1" t="s">
        <v>229</v>
      </c>
      <c r="E3405" s="1"/>
    </row>
    <row r="3406" spans="1:5" ht="16">
      <c r="A3406" s="1" t="s">
        <v>3178</v>
      </c>
      <c r="B3406" s="1" t="s">
        <v>3272</v>
      </c>
      <c r="C3406" s="1" t="s">
        <v>234</v>
      </c>
      <c r="D3406" s="1" t="s">
        <v>229</v>
      </c>
      <c r="E3406" s="1"/>
    </row>
    <row r="3407" spans="1:5" ht="16">
      <c r="A3407" s="1" t="s">
        <v>3178</v>
      </c>
      <c r="B3407" s="1" t="s">
        <v>3273</v>
      </c>
      <c r="C3407" s="1" t="s">
        <v>234</v>
      </c>
      <c r="D3407" s="1" t="s">
        <v>229</v>
      </c>
      <c r="E3407" s="1"/>
    </row>
    <row r="3408" spans="1:5" ht="16">
      <c r="A3408" s="1" t="s">
        <v>3178</v>
      </c>
      <c r="B3408" s="1" t="s">
        <v>3274</v>
      </c>
      <c r="C3408" s="1" t="s">
        <v>234</v>
      </c>
      <c r="D3408" s="1" t="s">
        <v>229</v>
      </c>
      <c r="E3408" s="1"/>
    </row>
    <row r="3409" spans="1:5" ht="16">
      <c r="A3409" s="1" t="s">
        <v>3178</v>
      </c>
      <c r="B3409" s="1" t="s">
        <v>3275</v>
      </c>
      <c r="C3409" s="1" t="s">
        <v>234</v>
      </c>
      <c r="D3409" s="1" t="s">
        <v>229</v>
      </c>
      <c r="E3409" s="1"/>
    </row>
    <row r="3410" spans="1:5" ht="16">
      <c r="A3410" s="1" t="s">
        <v>3178</v>
      </c>
      <c r="B3410" s="1" t="s">
        <v>3276</v>
      </c>
      <c r="C3410" s="1" t="s">
        <v>334</v>
      </c>
      <c r="D3410" s="1" t="s">
        <v>229</v>
      </c>
      <c r="E3410" s="1"/>
    </row>
    <row r="3411" spans="1:5" ht="16">
      <c r="A3411" s="1" t="s">
        <v>3178</v>
      </c>
      <c r="B3411" s="1" t="s">
        <v>3277</v>
      </c>
      <c r="C3411" s="1" t="s">
        <v>334</v>
      </c>
      <c r="D3411" s="1" t="s">
        <v>229</v>
      </c>
      <c r="E3411" s="1"/>
    </row>
    <row r="3412" spans="1:5" ht="16">
      <c r="A3412" s="1" t="s">
        <v>3178</v>
      </c>
      <c r="B3412" s="1" t="s">
        <v>3278</v>
      </c>
      <c r="C3412" s="1" t="s">
        <v>334</v>
      </c>
      <c r="D3412" s="1" t="s">
        <v>229</v>
      </c>
      <c r="E3412" s="1"/>
    </row>
    <row r="3413" spans="1:5" ht="16">
      <c r="A3413" s="1" t="s">
        <v>3178</v>
      </c>
      <c r="B3413" s="1" t="s">
        <v>3279</v>
      </c>
      <c r="C3413" s="1" t="s">
        <v>334</v>
      </c>
      <c r="D3413" s="1" t="s">
        <v>229</v>
      </c>
      <c r="E3413" s="1"/>
    </row>
    <row r="3414" spans="1:5" ht="16">
      <c r="A3414" s="1" t="s">
        <v>3178</v>
      </c>
      <c r="B3414" s="1" t="s">
        <v>3280</v>
      </c>
      <c r="C3414" s="1" t="s">
        <v>334</v>
      </c>
      <c r="D3414" s="1" t="s">
        <v>229</v>
      </c>
      <c r="E3414" s="1"/>
    </row>
    <row r="3415" spans="1:5" ht="16">
      <c r="A3415" s="1" t="s">
        <v>3178</v>
      </c>
      <c r="B3415" s="1" t="s">
        <v>3281</v>
      </c>
      <c r="C3415" s="1" t="s">
        <v>334</v>
      </c>
      <c r="D3415" s="1" t="s">
        <v>229</v>
      </c>
      <c r="E3415" s="1"/>
    </row>
    <row r="3416" spans="1:5" ht="16">
      <c r="A3416" s="1" t="s">
        <v>3178</v>
      </c>
      <c r="B3416" s="1" t="s">
        <v>3282</v>
      </c>
      <c r="C3416" s="1" t="s">
        <v>319</v>
      </c>
      <c r="D3416" s="1" t="s">
        <v>229</v>
      </c>
      <c r="E3416" s="1"/>
    </row>
    <row r="3417" spans="1:5" ht="16">
      <c r="A3417" s="1" t="s">
        <v>3178</v>
      </c>
      <c r="B3417" s="1" t="s">
        <v>3283</v>
      </c>
      <c r="C3417" s="1" t="s">
        <v>332</v>
      </c>
      <c r="D3417" s="1" t="s">
        <v>229</v>
      </c>
      <c r="E3417" s="1"/>
    </row>
    <row r="3418" spans="1:5" ht="16">
      <c r="A3418" s="1" t="s">
        <v>3178</v>
      </c>
      <c r="B3418" s="1" t="s">
        <v>3284</v>
      </c>
      <c r="C3418" s="1" t="s">
        <v>332</v>
      </c>
      <c r="D3418" s="1" t="s">
        <v>229</v>
      </c>
      <c r="E3418" s="1"/>
    </row>
    <row r="3419" spans="1:5" ht="16">
      <c r="A3419" s="1" t="s">
        <v>3178</v>
      </c>
      <c r="B3419" s="1" t="s">
        <v>3285</v>
      </c>
      <c r="C3419" s="1" t="s">
        <v>332</v>
      </c>
      <c r="D3419" s="1" t="s">
        <v>229</v>
      </c>
      <c r="E3419" s="1"/>
    </row>
    <row r="3420" spans="1:5" ht="16">
      <c r="A3420" s="1" t="s">
        <v>3178</v>
      </c>
      <c r="B3420" s="1" t="s">
        <v>3286</v>
      </c>
      <c r="C3420" s="1" t="s">
        <v>334</v>
      </c>
      <c r="D3420" s="1" t="s">
        <v>229</v>
      </c>
      <c r="E3420" s="1"/>
    </row>
    <row r="3421" spans="1:5" ht="16">
      <c r="A3421" s="1" t="s">
        <v>3178</v>
      </c>
      <c r="B3421" s="1" t="s">
        <v>3287</v>
      </c>
      <c r="C3421" s="1" t="s">
        <v>334</v>
      </c>
      <c r="D3421" s="1" t="s">
        <v>229</v>
      </c>
      <c r="E3421" s="1"/>
    </row>
    <row r="3422" spans="1:5" ht="16">
      <c r="A3422" s="1" t="s">
        <v>3178</v>
      </c>
      <c r="B3422" s="1" t="s">
        <v>3288</v>
      </c>
      <c r="C3422" s="1" t="s">
        <v>334</v>
      </c>
      <c r="D3422" s="1" t="s">
        <v>229</v>
      </c>
      <c r="E3422" s="1"/>
    </row>
    <row r="3423" spans="1:5" ht="16">
      <c r="A3423" s="1" t="s">
        <v>3178</v>
      </c>
      <c r="B3423" s="1" t="s">
        <v>3287</v>
      </c>
      <c r="C3423" s="1" t="s">
        <v>334</v>
      </c>
      <c r="D3423" s="1" t="s">
        <v>229</v>
      </c>
      <c r="E3423" s="1"/>
    </row>
    <row r="3424" spans="1:5" ht="16">
      <c r="A3424" s="1" t="s">
        <v>3178</v>
      </c>
      <c r="B3424" s="1" t="s">
        <v>3289</v>
      </c>
      <c r="C3424" s="1" t="s">
        <v>334</v>
      </c>
      <c r="D3424" s="1" t="s">
        <v>229</v>
      </c>
      <c r="E3424" s="1"/>
    </row>
    <row r="3425" spans="1:5" ht="16">
      <c r="A3425" s="1" t="s">
        <v>3178</v>
      </c>
      <c r="B3425" s="1" t="s">
        <v>3289</v>
      </c>
      <c r="C3425" s="1" t="s">
        <v>334</v>
      </c>
      <c r="D3425" s="1" t="s">
        <v>229</v>
      </c>
      <c r="E3425" s="1"/>
    </row>
    <row r="3426" spans="1:5" ht="16">
      <c r="A3426" s="1" t="s">
        <v>3178</v>
      </c>
      <c r="B3426" s="1" t="s">
        <v>3289</v>
      </c>
      <c r="C3426" s="1" t="s">
        <v>334</v>
      </c>
      <c r="D3426" s="1" t="s">
        <v>229</v>
      </c>
      <c r="E3426" s="1"/>
    </row>
    <row r="3427" spans="1:5" ht="16">
      <c r="A3427" s="1" t="s">
        <v>3178</v>
      </c>
      <c r="B3427" s="1" t="s">
        <v>3289</v>
      </c>
      <c r="C3427" s="1" t="s">
        <v>334</v>
      </c>
      <c r="D3427" s="1" t="s">
        <v>229</v>
      </c>
      <c r="E3427" s="1"/>
    </row>
    <row r="3428" spans="1:5" ht="16">
      <c r="A3428" s="1" t="s">
        <v>3178</v>
      </c>
      <c r="B3428" s="1" t="s">
        <v>3290</v>
      </c>
      <c r="C3428" s="1" t="s">
        <v>334</v>
      </c>
      <c r="D3428" s="1" t="s">
        <v>229</v>
      </c>
      <c r="E3428" s="1"/>
    </row>
    <row r="3429" spans="1:5" ht="16">
      <c r="A3429" s="1" t="s">
        <v>3178</v>
      </c>
      <c r="B3429" s="1" t="s">
        <v>3290</v>
      </c>
      <c r="C3429" s="1" t="s">
        <v>334</v>
      </c>
      <c r="D3429" s="1" t="s">
        <v>229</v>
      </c>
      <c r="E3429" s="1"/>
    </row>
    <row r="3430" spans="1:5" ht="16">
      <c r="A3430" s="1" t="s">
        <v>3178</v>
      </c>
      <c r="B3430" s="1" t="s">
        <v>3291</v>
      </c>
      <c r="C3430" s="1" t="s">
        <v>234</v>
      </c>
      <c r="D3430" s="1" t="s">
        <v>229</v>
      </c>
      <c r="E3430" s="1"/>
    </row>
    <row r="3431" spans="1:5" ht="16">
      <c r="A3431" s="1" t="s">
        <v>3178</v>
      </c>
      <c r="B3431" s="1" t="s">
        <v>3292</v>
      </c>
      <c r="C3431" s="1" t="s">
        <v>334</v>
      </c>
      <c r="D3431" s="1" t="s">
        <v>229</v>
      </c>
      <c r="E3431" s="1" t="s">
        <v>500</v>
      </c>
    </row>
    <row r="3432" spans="1:5" ht="16">
      <c r="A3432" s="1" t="s">
        <v>3178</v>
      </c>
      <c r="B3432" s="1" t="s">
        <v>3293</v>
      </c>
      <c r="C3432" s="1" t="s">
        <v>334</v>
      </c>
      <c r="D3432" s="1" t="s">
        <v>229</v>
      </c>
      <c r="E3432" s="1" t="s">
        <v>500</v>
      </c>
    </row>
    <row r="3433" spans="1:5" ht="16">
      <c r="A3433" s="1" t="s">
        <v>3178</v>
      </c>
      <c r="B3433" s="1" t="s">
        <v>3294</v>
      </c>
      <c r="C3433" s="1" t="s">
        <v>334</v>
      </c>
      <c r="D3433" s="1" t="s">
        <v>229</v>
      </c>
      <c r="E3433" s="1" t="s">
        <v>500</v>
      </c>
    </row>
    <row r="3434" spans="1:5" ht="16">
      <c r="A3434" s="1" t="s">
        <v>3178</v>
      </c>
      <c r="B3434" s="1" t="s">
        <v>3295</v>
      </c>
      <c r="C3434" s="1" t="s">
        <v>334</v>
      </c>
      <c r="D3434" s="1" t="s">
        <v>229</v>
      </c>
      <c r="E3434" s="1" t="s">
        <v>500</v>
      </c>
    </row>
    <row r="3435" spans="1:5" ht="16">
      <c r="A3435" s="1" t="s">
        <v>3178</v>
      </c>
      <c r="B3435" s="1" t="s">
        <v>3296</v>
      </c>
      <c r="C3435" s="1" t="s">
        <v>334</v>
      </c>
      <c r="D3435" s="1" t="s">
        <v>229</v>
      </c>
      <c r="E3435" s="1"/>
    </row>
    <row r="3436" spans="1:5" ht="16">
      <c r="A3436" s="1" t="s">
        <v>3178</v>
      </c>
      <c r="B3436" s="1" t="s">
        <v>3297</v>
      </c>
      <c r="C3436" s="1" t="s">
        <v>334</v>
      </c>
      <c r="D3436" s="1" t="s">
        <v>229</v>
      </c>
      <c r="E3436" s="1" t="s">
        <v>500</v>
      </c>
    </row>
    <row r="3437" spans="1:5" ht="16">
      <c r="A3437" s="1" t="s">
        <v>3178</v>
      </c>
      <c r="B3437" s="1" t="s">
        <v>3298</v>
      </c>
      <c r="C3437" s="1" t="s">
        <v>334</v>
      </c>
      <c r="D3437" s="1" t="s">
        <v>229</v>
      </c>
      <c r="E3437" s="1" t="s">
        <v>500</v>
      </c>
    </row>
    <row r="3438" spans="1:5" ht="16">
      <c r="A3438" s="1" t="s">
        <v>3178</v>
      </c>
      <c r="B3438" s="1" t="s">
        <v>3299</v>
      </c>
      <c r="C3438" s="1" t="s">
        <v>334</v>
      </c>
      <c r="D3438" s="1" t="s">
        <v>229</v>
      </c>
      <c r="E3438" s="1"/>
    </row>
    <row r="3439" spans="1:5" ht="16">
      <c r="A3439" s="1" t="s">
        <v>3178</v>
      </c>
      <c r="B3439" s="1" t="s">
        <v>3300</v>
      </c>
      <c r="C3439" s="1" t="s">
        <v>334</v>
      </c>
      <c r="D3439" s="1" t="s">
        <v>229</v>
      </c>
      <c r="E3439" s="1"/>
    </row>
    <row r="3440" spans="1:5" ht="16">
      <c r="A3440" s="1" t="s">
        <v>3178</v>
      </c>
      <c r="B3440" s="1" t="s">
        <v>3300</v>
      </c>
      <c r="C3440" s="1" t="s">
        <v>334</v>
      </c>
      <c r="D3440" s="1" t="s">
        <v>229</v>
      </c>
      <c r="E3440" s="1"/>
    </row>
    <row r="3441" spans="1:5" ht="16">
      <c r="A3441" s="1" t="s">
        <v>3178</v>
      </c>
      <c r="B3441" s="1" t="s">
        <v>3288</v>
      </c>
      <c r="C3441" s="1" t="s">
        <v>334</v>
      </c>
      <c r="D3441" s="1" t="s">
        <v>229</v>
      </c>
      <c r="E3441" s="1"/>
    </row>
    <row r="3442" spans="1:5" ht="16">
      <c r="A3442" s="1" t="s">
        <v>3178</v>
      </c>
      <c r="B3442" s="1" t="s">
        <v>3286</v>
      </c>
      <c r="C3442" s="1" t="s">
        <v>334</v>
      </c>
      <c r="D3442" s="1" t="s">
        <v>229</v>
      </c>
      <c r="E3442" s="1"/>
    </row>
    <row r="3443" spans="1:5" ht="16">
      <c r="A3443" s="1" t="s">
        <v>3178</v>
      </c>
      <c r="B3443" s="1" t="s">
        <v>3301</v>
      </c>
      <c r="C3443" s="1" t="s">
        <v>334</v>
      </c>
      <c r="D3443" s="1" t="s">
        <v>229</v>
      </c>
      <c r="E3443" s="1"/>
    </row>
    <row r="3444" spans="1:5" ht="16">
      <c r="A3444" s="1" t="s">
        <v>3178</v>
      </c>
      <c r="B3444" s="1" t="s">
        <v>3302</v>
      </c>
      <c r="C3444" s="1" t="s">
        <v>334</v>
      </c>
      <c r="D3444" s="1" t="s">
        <v>229</v>
      </c>
      <c r="E3444" s="1"/>
    </row>
    <row r="3445" spans="1:5" ht="16">
      <c r="A3445" s="1" t="s">
        <v>3178</v>
      </c>
      <c r="B3445" s="1" t="s">
        <v>3303</v>
      </c>
      <c r="C3445" s="1" t="s">
        <v>334</v>
      </c>
      <c r="D3445" s="1" t="s">
        <v>229</v>
      </c>
      <c r="E3445" s="1"/>
    </row>
    <row r="3446" spans="1:5" ht="16">
      <c r="A3446" s="1" t="s">
        <v>3178</v>
      </c>
      <c r="B3446" s="1" t="s">
        <v>3304</v>
      </c>
      <c r="C3446" s="1" t="s">
        <v>334</v>
      </c>
      <c r="D3446" s="1" t="s">
        <v>229</v>
      </c>
      <c r="E3446" s="1"/>
    </row>
    <row r="3447" spans="1:5" ht="16">
      <c r="A3447" s="1" t="s">
        <v>3178</v>
      </c>
      <c r="B3447" s="1" t="s">
        <v>3305</v>
      </c>
      <c r="C3447" s="1" t="s">
        <v>334</v>
      </c>
      <c r="D3447" s="1" t="s">
        <v>229</v>
      </c>
      <c r="E3447" s="1"/>
    </row>
    <row r="3448" spans="1:5" ht="16">
      <c r="A3448" s="1" t="s">
        <v>3178</v>
      </c>
      <c r="B3448" s="1" t="s">
        <v>3306</v>
      </c>
      <c r="C3448" s="1" t="s">
        <v>334</v>
      </c>
      <c r="D3448" s="1" t="s">
        <v>229</v>
      </c>
      <c r="E3448" s="1"/>
    </row>
    <row r="3449" spans="1:5" ht="16">
      <c r="A3449" s="1" t="s">
        <v>3178</v>
      </c>
      <c r="B3449" s="1" t="s">
        <v>3307</v>
      </c>
      <c r="C3449" s="1" t="s">
        <v>334</v>
      </c>
      <c r="D3449" s="1" t="s">
        <v>229</v>
      </c>
      <c r="E3449" s="1"/>
    </row>
    <row r="3450" spans="1:5" ht="16">
      <c r="A3450" s="1" t="s">
        <v>3178</v>
      </c>
      <c r="B3450" s="1" t="s">
        <v>3308</v>
      </c>
      <c r="C3450" s="1" t="s">
        <v>319</v>
      </c>
      <c r="D3450" s="1" t="s">
        <v>229</v>
      </c>
      <c r="E3450" s="1"/>
    </row>
    <row r="3451" spans="1:5" ht="16">
      <c r="A3451" s="1" t="s">
        <v>3178</v>
      </c>
      <c r="B3451" s="1" t="s">
        <v>3308</v>
      </c>
      <c r="C3451" s="1" t="s">
        <v>319</v>
      </c>
      <c r="D3451" s="1" t="s">
        <v>229</v>
      </c>
      <c r="E3451" s="1"/>
    </row>
    <row r="3452" spans="1:5" ht="16">
      <c r="A3452" s="1" t="s">
        <v>3178</v>
      </c>
      <c r="B3452" s="1" t="s">
        <v>3309</v>
      </c>
      <c r="C3452" s="1" t="s">
        <v>319</v>
      </c>
      <c r="D3452" s="1" t="s">
        <v>229</v>
      </c>
      <c r="E3452" s="1"/>
    </row>
    <row r="3453" spans="1:5" ht="16">
      <c r="A3453" s="1" t="s">
        <v>3178</v>
      </c>
      <c r="B3453" s="1" t="s">
        <v>3309</v>
      </c>
      <c r="C3453" s="1" t="s">
        <v>319</v>
      </c>
      <c r="D3453" s="1" t="s">
        <v>229</v>
      </c>
      <c r="E3453" s="1"/>
    </row>
    <row r="3454" spans="1:5" ht="16">
      <c r="A3454" s="1" t="s">
        <v>3178</v>
      </c>
      <c r="B3454" s="1" t="s">
        <v>3310</v>
      </c>
      <c r="C3454" s="1" t="s">
        <v>319</v>
      </c>
      <c r="D3454" s="1" t="s">
        <v>229</v>
      </c>
      <c r="E3454" s="1"/>
    </row>
    <row r="3455" spans="1:5" ht="16">
      <c r="A3455" s="1" t="s">
        <v>3178</v>
      </c>
      <c r="B3455" s="1" t="s">
        <v>3311</v>
      </c>
      <c r="C3455" s="1" t="s">
        <v>319</v>
      </c>
      <c r="D3455" s="1" t="s">
        <v>229</v>
      </c>
      <c r="E3455" s="1"/>
    </row>
    <row r="3456" spans="1:5" ht="16">
      <c r="A3456" s="1" t="s">
        <v>3178</v>
      </c>
      <c r="B3456" s="1" t="s">
        <v>3310</v>
      </c>
      <c r="C3456" s="1" t="s">
        <v>319</v>
      </c>
      <c r="D3456" s="1" t="s">
        <v>229</v>
      </c>
      <c r="E3456" s="1"/>
    </row>
    <row r="3457" spans="1:5" ht="16">
      <c r="A3457" s="1" t="s">
        <v>3178</v>
      </c>
      <c r="B3457" s="1" t="s">
        <v>3310</v>
      </c>
      <c r="C3457" s="1" t="s">
        <v>319</v>
      </c>
      <c r="D3457" s="1" t="s">
        <v>229</v>
      </c>
      <c r="E3457" s="1"/>
    </row>
    <row r="3458" spans="1:5" ht="16">
      <c r="A3458" s="1" t="s">
        <v>3178</v>
      </c>
      <c r="B3458" s="1" t="s">
        <v>3311</v>
      </c>
      <c r="C3458" s="1" t="s">
        <v>319</v>
      </c>
      <c r="D3458" s="1" t="s">
        <v>229</v>
      </c>
      <c r="E3458" s="1"/>
    </row>
    <row r="3459" spans="1:5" ht="16">
      <c r="A3459" s="1" t="s">
        <v>3178</v>
      </c>
      <c r="B3459" s="1" t="s">
        <v>3310</v>
      </c>
      <c r="C3459" s="1" t="s">
        <v>319</v>
      </c>
      <c r="D3459" s="1" t="s">
        <v>229</v>
      </c>
      <c r="E3459" s="1"/>
    </row>
    <row r="3460" spans="1:5" ht="16">
      <c r="A3460" s="1" t="s">
        <v>3178</v>
      </c>
      <c r="B3460" s="1" t="s">
        <v>3312</v>
      </c>
      <c r="C3460" s="1" t="s">
        <v>319</v>
      </c>
      <c r="D3460" s="1" t="s">
        <v>229</v>
      </c>
      <c r="E3460" s="1"/>
    </row>
    <row r="3461" spans="1:5" ht="16">
      <c r="A3461" s="1" t="s">
        <v>3178</v>
      </c>
      <c r="B3461" s="1" t="s">
        <v>3312</v>
      </c>
      <c r="C3461" s="1" t="s">
        <v>319</v>
      </c>
      <c r="D3461" s="1" t="s">
        <v>229</v>
      </c>
      <c r="E3461" s="1"/>
    </row>
    <row r="3462" spans="1:5" ht="16">
      <c r="A3462" s="1" t="s">
        <v>3178</v>
      </c>
      <c r="B3462" s="1" t="s">
        <v>3313</v>
      </c>
      <c r="C3462" s="1" t="s">
        <v>319</v>
      </c>
      <c r="D3462" s="1" t="s">
        <v>229</v>
      </c>
      <c r="E3462" s="1"/>
    </row>
    <row r="3463" spans="1:5" ht="16">
      <c r="A3463" s="1" t="s">
        <v>3178</v>
      </c>
      <c r="B3463" s="1" t="s">
        <v>3313</v>
      </c>
      <c r="C3463" s="1" t="s">
        <v>319</v>
      </c>
      <c r="D3463" s="1" t="s">
        <v>229</v>
      </c>
      <c r="E3463" s="1"/>
    </row>
    <row r="3464" spans="1:5" ht="16">
      <c r="A3464" s="1" t="s">
        <v>3178</v>
      </c>
      <c r="B3464" s="1" t="s">
        <v>3314</v>
      </c>
      <c r="C3464" s="1" t="s">
        <v>319</v>
      </c>
      <c r="D3464" s="1" t="s">
        <v>229</v>
      </c>
      <c r="E3464" s="1"/>
    </row>
    <row r="3465" spans="1:5" ht="16">
      <c r="A3465" s="1" t="s">
        <v>3178</v>
      </c>
      <c r="B3465" s="1" t="s">
        <v>3315</v>
      </c>
      <c r="C3465" s="1" t="s">
        <v>319</v>
      </c>
      <c r="D3465" s="1" t="s">
        <v>229</v>
      </c>
      <c r="E3465" s="1"/>
    </row>
    <row r="3466" spans="1:5" ht="16">
      <c r="A3466" s="1" t="s">
        <v>3178</v>
      </c>
      <c r="B3466" s="1" t="s">
        <v>3316</v>
      </c>
      <c r="C3466" s="1" t="s">
        <v>319</v>
      </c>
      <c r="D3466" s="1" t="s">
        <v>229</v>
      </c>
      <c r="E3466" s="1"/>
    </row>
    <row r="3467" spans="1:5" ht="16">
      <c r="A3467" s="1" t="s">
        <v>3178</v>
      </c>
      <c r="B3467" s="1" t="s">
        <v>3317</v>
      </c>
      <c r="C3467" s="1" t="s">
        <v>319</v>
      </c>
      <c r="D3467" s="1" t="s">
        <v>229</v>
      </c>
      <c r="E3467" s="1"/>
    </row>
    <row r="3468" spans="1:5" ht="16">
      <c r="A3468" s="1" t="s">
        <v>3178</v>
      </c>
      <c r="B3468" s="1" t="s">
        <v>3318</v>
      </c>
      <c r="C3468" s="1" t="s">
        <v>319</v>
      </c>
      <c r="D3468" s="1" t="s">
        <v>229</v>
      </c>
      <c r="E3468" s="1"/>
    </row>
    <row r="3469" spans="1:5" ht="16">
      <c r="A3469" s="1" t="s">
        <v>3178</v>
      </c>
      <c r="B3469" s="1" t="s">
        <v>3223</v>
      </c>
      <c r="C3469" s="1" t="s">
        <v>319</v>
      </c>
      <c r="D3469" s="1" t="s">
        <v>229</v>
      </c>
      <c r="E3469" s="1"/>
    </row>
    <row r="3470" spans="1:5" ht="16">
      <c r="A3470" s="1" t="s">
        <v>3178</v>
      </c>
      <c r="B3470" s="1" t="s">
        <v>3317</v>
      </c>
      <c r="C3470" s="1" t="s">
        <v>319</v>
      </c>
      <c r="D3470" s="1" t="s">
        <v>229</v>
      </c>
      <c r="E3470" s="1"/>
    </row>
    <row r="3471" spans="1:5" ht="16">
      <c r="A3471" s="1" t="s">
        <v>3178</v>
      </c>
      <c r="B3471" s="1" t="s">
        <v>3223</v>
      </c>
      <c r="C3471" s="1" t="s">
        <v>319</v>
      </c>
      <c r="D3471" s="1" t="s">
        <v>229</v>
      </c>
      <c r="E3471" s="1"/>
    </row>
    <row r="3472" spans="1:5" ht="16">
      <c r="A3472" s="1" t="s">
        <v>3178</v>
      </c>
      <c r="B3472" s="1" t="s">
        <v>3319</v>
      </c>
      <c r="C3472" s="1" t="s">
        <v>319</v>
      </c>
      <c r="D3472" s="1" t="s">
        <v>229</v>
      </c>
      <c r="E3472" s="1"/>
    </row>
    <row r="3473" spans="1:5" ht="16">
      <c r="A3473" s="1" t="s">
        <v>3178</v>
      </c>
      <c r="B3473" s="1" t="s">
        <v>3223</v>
      </c>
      <c r="C3473" s="1" t="s">
        <v>319</v>
      </c>
      <c r="D3473" s="1" t="s">
        <v>229</v>
      </c>
      <c r="E3473" s="1"/>
    </row>
    <row r="3474" spans="1:5" ht="16">
      <c r="A3474" s="1" t="s">
        <v>3178</v>
      </c>
      <c r="B3474" s="1" t="s">
        <v>3320</v>
      </c>
      <c r="C3474" s="1" t="s">
        <v>319</v>
      </c>
      <c r="D3474" s="1" t="s">
        <v>229</v>
      </c>
      <c r="E3474" s="1"/>
    </row>
    <row r="3475" spans="1:5" ht="16">
      <c r="A3475" s="1" t="s">
        <v>3178</v>
      </c>
      <c r="B3475" s="1" t="s">
        <v>3319</v>
      </c>
      <c r="C3475" s="1" t="s">
        <v>319</v>
      </c>
      <c r="D3475" s="1" t="s">
        <v>229</v>
      </c>
      <c r="E3475" s="1"/>
    </row>
    <row r="3476" spans="1:5" ht="16">
      <c r="A3476" s="1" t="s">
        <v>3178</v>
      </c>
      <c r="B3476" s="1" t="s">
        <v>3223</v>
      </c>
      <c r="C3476" s="1" t="s">
        <v>319</v>
      </c>
      <c r="D3476" s="1" t="s">
        <v>229</v>
      </c>
      <c r="E3476" s="1"/>
    </row>
    <row r="3477" spans="1:5" ht="16">
      <c r="A3477" s="1" t="s">
        <v>3178</v>
      </c>
      <c r="B3477" s="1" t="s">
        <v>3223</v>
      </c>
      <c r="C3477" s="1" t="s">
        <v>319</v>
      </c>
      <c r="D3477" s="1" t="s">
        <v>229</v>
      </c>
      <c r="E3477" s="1"/>
    </row>
    <row r="3478" spans="1:5" ht="16">
      <c r="A3478" s="1" t="s">
        <v>3178</v>
      </c>
      <c r="B3478" s="1" t="s">
        <v>3319</v>
      </c>
      <c r="C3478" s="1" t="s">
        <v>319</v>
      </c>
      <c r="D3478" s="1" t="s">
        <v>229</v>
      </c>
      <c r="E3478" s="1"/>
    </row>
    <row r="3479" spans="1:5" ht="16">
      <c r="A3479" s="1" t="s">
        <v>3178</v>
      </c>
      <c r="B3479" s="1" t="s">
        <v>3223</v>
      </c>
      <c r="C3479" s="1" t="s">
        <v>319</v>
      </c>
      <c r="D3479" s="1" t="s">
        <v>229</v>
      </c>
      <c r="E3479" s="1"/>
    </row>
    <row r="3480" spans="1:5" ht="16">
      <c r="A3480" s="1" t="s">
        <v>3178</v>
      </c>
      <c r="B3480" s="1" t="s">
        <v>3320</v>
      </c>
      <c r="C3480" s="1" t="s">
        <v>319</v>
      </c>
      <c r="D3480" s="1" t="s">
        <v>229</v>
      </c>
      <c r="E3480" s="1"/>
    </row>
    <row r="3481" spans="1:5" ht="16">
      <c r="A3481" s="1" t="s">
        <v>3178</v>
      </c>
      <c r="B3481" s="1" t="s">
        <v>3319</v>
      </c>
      <c r="C3481" s="1" t="s">
        <v>319</v>
      </c>
      <c r="D3481" s="1" t="s">
        <v>229</v>
      </c>
      <c r="E3481" s="1"/>
    </row>
    <row r="3482" spans="1:5" ht="16">
      <c r="A3482" s="1" t="s">
        <v>3178</v>
      </c>
      <c r="B3482" s="1" t="s">
        <v>3321</v>
      </c>
      <c r="C3482" s="1" t="s">
        <v>319</v>
      </c>
      <c r="D3482" s="1" t="s">
        <v>229</v>
      </c>
      <c r="E3482" s="1"/>
    </row>
    <row r="3483" spans="1:5" ht="16">
      <c r="A3483" s="1" t="s">
        <v>3178</v>
      </c>
      <c r="B3483" s="1" t="s">
        <v>3321</v>
      </c>
      <c r="C3483" s="1" t="s">
        <v>319</v>
      </c>
      <c r="D3483" s="1" t="s">
        <v>229</v>
      </c>
      <c r="E3483" s="1"/>
    </row>
    <row r="3484" spans="1:5" ht="16">
      <c r="A3484" s="1" t="s">
        <v>3178</v>
      </c>
      <c r="B3484" s="1" t="s">
        <v>3319</v>
      </c>
      <c r="C3484" s="1" t="s">
        <v>319</v>
      </c>
      <c r="D3484" s="1" t="s">
        <v>229</v>
      </c>
      <c r="E3484" s="1"/>
    </row>
    <row r="3485" spans="1:5" ht="16">
      <c r="A3485" s="1" t="s">
        <v>3178</v>
      </c>
      <c r="B3485" s="1" t="s">
        <v>3322</v>
      </c>
      <c r="C3485" s="1" t="s">
        <v>319</v>
      </c>
      <c r="D3485" s="1" t="s">
        <v>229</v>
      </c>
      <c r="E3485" s="1"/>
    </row>
    <row r="3486" spans="1:5" ht="16">
      <c r="A3486" s="1" t="s">
        <v>3178</v>
      </c>
      <c r="B3486" s="1" t="s">
        <v>3323</v>
      </c>
      <c r="C3486" s="1" t="s">
        <v>319</v>
      </c>
      <c r="D3486" s="1" t="s">
        <v>229</v>
      </c>
      <c r="E3486" s="1"/>
    </row>
    <row r="3487" spans="1:5" ht="16">
      <c r="A3487" s="1" t="s">
        <v>3178</v>
      </c>
      <c r="B3487" s="1" t="s">
        <v>3324</v>
      </c>
      <c r="C3487" s="1" t="s">
        <v>319</v>
      </c>
      <c r="D3487" s="1" t="s">
        <v>229</v>
      </c>
      <c r="E3487" s="1"/>
    </row>
    <row r="3488" spans="1:5" ht="16">
      <c r="A3488" s="1" t="s">
        <v>3178</v>
      </c>
      <c r="B3488" s="1" t="s">
        <v>3319</v>
      </c>
      <c r="C3488" s="1" t="s">
        <v>319</v>
      </c>
      <c r="D3488" s="1" t="s">
        <v>229</v>
      </c>
      <c r="E3488" s="1"/>
    </row>
    <row r="3489" spans="1:5" ht="16">
      <c r="A3489" s="1" t="s">
        <v>3178</v>
      </c>
      <c r="B3489" s="1" t="s">
        <v>3324</v>
      </c>
      <c r="C3489" s="1" t="s">
        <v>319</v>
      </c>
      <c r="D3489" s="1" t="s">
        <v>229</v>
      </c>
      <c r="E3489" s="1"/>
    </row>
    <row r="3490" spans="1:5" ht="16">
      <c r="A3490" s="1" t="s">
        <v>3178</v>
      </c>
      <c r="B3490" s="1" t="s">
        <v>3325</v>
      </c>
      <c r="C3490" s="1" t="s">
        <v>319</v>
      </c>
      <c r="D3490" s="1" t="s">
        <v>229</v>
      </c>
      <c r="E3490" s="1"/>
    </row>
    <row r="3491" spans="1:5" ht="16">
      <c r="A3491" s="1" t="s">
        <v>3178</v>
      </c>
      <c r="B3491" s="1" t="s">
        <v>3326</v>
      </c>
      <c r="C3491" s="1" t="s">
        <v>319</v>
      </c>
      <c r="D3491" s="1" t="s">
        <v>229</v>
      </c>
      <c r="E3491" s="1"/>
    </row>
    <row r="3492" spans="1:5" ht="16">
      <c r="A3492" s="1" t="s">
        <v>3178</v>
      </c>
      <c r="B3492" s="1" t="s">
        <v>3327</v>
      </c>
      <c r="C3492" s="1" t="s">
        <v>319</v>
      </c>
      <c r="D3492" s="1" t="s">
        <v>229</v>
      </c>
      <c r="E3492" s="1"/>
    </row>
    <row r="3493" spans="1:5" ht="16">
      <c r="A3493" s="1" t="s">
        <v>3178</v>
      </c>
      <c r="B3493" s="1" t="s">
        <v>3322</v>
      </c>
      <c r="C3493" s="1" t="s">
        <v>319</v>
      </c>
      <c r="D3493" s="1" t="s">
        <v>229</v>
      </c>
      <c r="E3493" s="1"/>
    </row>
    <row r="3494" spans="1:5" ht="16">
      <c r="A3494" s="1" t="s">
        <v>3178</v>
      </c>
      <c r="B3494" s="1" t="s">
        <v>3323</v>
      </c>
      <c r="C3494" s="1" t="s">
        <v>319</v>
      </c>
      <c r="D3494" s="1" t="s">
        <v>229</v>
      </c>
      <c r="E3494" s="1"/>
    </row>
    <row r="3495" spans="1:5" ht="16">
      <c r="A3495" s="1" t="s">
        <v>3178</v>
      </c>
      <c r="B3495" s="1" t="s">
        <v>3327</v>
      </c>
      <c r="C3495" s="1" t="s">
        <v>319</v>
      </c>
      <c r="D3495" s="1" t="s">
        <v>229</v>
      </c>
      <c r="E3495" s="1"/>
    </row>
    <row r="3496" spans="1:5" ht="16">
      <c r="A3496" s="1" t="s">
        <v>3178</v>
      </c>
      <c r="B3496" s="1" t="s">
        <v>3325</v>
      </c>
      <c r="C3496" s="1" t="s">
        <v>319</v>
      </c>
      <c r="D3496" s="1" t="s">
        <v>229</v>
      </c>
      <c r="E3496" s="1"/>
    </row>
    <row r="3497" spans="1:5" ht="16">
      <c r="A3497" s="1" t="s">
        <v>3178</v>
      </c>
      <c r="B3497" s="1" t="s">
        <v>3319</v>
      </c>
      <c r="C3497" s="1" t="s">
        <v>319</v>
      </c>
      <c r="D3497" s="1" t="s">
        <v>229</v>
      </c>
      <c r="E3497" s="1"/>
    </row>
    <row r="3498" spans="1:5" ht="16">
      <c r="A3498" s="1" t="s">
        <v>3178</v>
      </c>
      <c r="B3498" s="1" t="s">
        <v>3319</v>
      </c>
      <c r="C3498" s="1" t="s">
        <v>319</v>
      </c>
      <c r="D3498" s="1" t="s">
        <v>229</v>
      </c>
      <c r="E3498" s="1"/>
    </row>
    <row r="3499" spans="1:5" ht="16">
      <c r="A3499" s="1" t="s">
        <v>3178</v>
      </c>
      <c r="B3499" s="1" t="s">
        <v>3319</v>
      </c>
      <c r="C3499" s="1" t="s">
        <v>319</v>
      </c>
      <c r="D3499" s="1" t="s">
        <v>229</v>
      </c>
      <c r="E3499" s="1"/>
    </row>
    <row r="3500" spans="1:5" ht="16">
      <c r="A3500" s="1" t="s">
        <v>3178</v>
      </c>
      <c r="B3500" s="1" t="s">
        <v>3319</v>
      </c>
      <c r="C3500" s="1" t="s">
        <v>319</v>
      </c>
      <c r="D3500" s="1" t="s">
        <v>229</v>
      </c>
      <c r="E3500" s="1"/>
    </row>
    <row r="3501" spans="1:5" ht="16">
      <c r="A3501" s="1" t="s">
        <v>3178</v>
      </c>
      <c r="B3501" s="1" t="s">
        <v>3319</v>
      </c>
      <c r="C3501" s="1" t="s">
        <v>319</v>
      </c>
      <c r="D3501" s="1" t="s">
        <v>229</v>
      </c>
      <c r="E3501" s="1"/>
    </row>
    <row r="3502" spans="1:5" ht="16">
      <c r="A3502" s="1" t="s">
        <v>3178</v>
      </c>
      <c r="B3502" s="1" t="s">
        <v>3319</v>
      </c>
      <c r="C3502" s="1" t="s">
        <v>319</v>
      </c>
      <c r="D3502" s="1" t="s">
        <v>229</v>
      </c>
      <c r="E3502" s="1"/>
    </row>
    <row r="3503" spans="1:5" ht="16">
      <c r="A3503" s="1" t="s">
        <v>3178</v>
      </c>
      <c r="B3503" s="1" t="s">
        <v>3328</v>
      </c>
      <c r="C3503" s="1" t="s">
        <v>319</v>
      </c>
      <c r="D3503" s="1" t="s">
        <v>229</v>
      </c>
      <c r="E3503" s="1"/>
    </row>
    <row r="3504" spans="1:5" ht="16">
      <c r="A3504" s="1" t="s">
        <v>3178</v>
      </c>
      <c r="B3504" s="1" t="s">
        <v>3329</v>
      </c>
      <c r="C3504" s="1" t="s">
        <v>319</v>
      </c>
      <c r="D3504" s="1" t="s">
        <v>229</v>
      </c>
      <c r="E3504" s="1"/>
    </row>
    <row r="3505" spans="1:5" ht="16">
      <c r="A3505" s="1" t="s">
        <v>3178</v>
      </c>
      <c r="B3505" s="1" t="s">
        <v>3330</v>
      </c>
      <c r="C3505" s="1" t="s">
        <v>319</v>
      </c>
      <c r="D3505" s="1" t="s">
        <v>229</v>
      </c>
      <c r="E3505" s="1"/>
    </row>
    <row r="3506" spans="1:5" ht="16">
      <c r="A3506" s="1" t="s">
        <v>3178</v>
      </c>
      <c r="B3506" s="1" t="s">
        <v>3331</v>
      </c>
      <c r="C3506" s="1" t="s">
        <v>319</v>
      </c>
      <c r="D3506" s="1" t="s">
        <v>229</v>
      </c>
      <c r="E3506" s="1"/>
    </row>
    <row r="3507" spans="1:5" ht="16">
      <c r="A3507" s="1" t="s">
        <v>3178</v>
      </c>
      <c r="B3507" s="1" t="s">
        <v>3331</v>
      </c>
      <c r="C3507" s="1" t="s">
        <v>319</v>
      </c>
      <c r="D3507" s="1" t="s">
        <v>229</v>
      </c>
      <c r="E3507" s="1"/>
    </row>
    <row r="3508" spans="1:5" ht="16">
      <c r="A3508" s="1" t="s">
        <v>3178</v>
      </c>
      <c r="B3508" s="1" t="s">
        <v>3332</v>
      </c>
      <c r="C3508" s="1" t="s">
        <v>319</v>
      </c>
      <c r="D3508" s="1" t="s">
        <v>229</v>
      </c>
      <c r="E3508" s="1"/>
    </row>
    <row r="3509" spans="1:5" ht="16">
      <c r="A3509" s="1" t="s">
        <v>3178</v>
      </c>
      <c r="B3509" s="1" t="s">
        <v>3333</v>
      </c>
      <c r="C3509" s="1" t="s">
        <v>319</v>
      </c>
      <c r="D3509" s="1" t="s">
        <v>229</v>
      </c>
      <c r="E3509" s="1"/>
    </row>
    <row r="3510" spans="1:5" ht="16">
      <c r="A3510" s="1" t="s">
        <v>3178</v>
      </c>
      <c r="B3510" s="1" t="s">
        <v>3334</v>
      </c>
      <c r="C3510" s="1" t="s">
        <v>319</v>
      </c>
      <c r="D3510" s="1" t="s">
        <v>229</v>
      </c>
      <c r="E3510" s="1"/>
    </row>
    <row r="3511" spans="1:5" ht="16">
      <c r="A3511" s="1" t="s">
        <v>3178</v>
      </c>
      <c r="B3511" s="1" t="s">
        <v>3335</v>
      </c>
      <c r="C3511" s="1" t="s">
        <v>319</v>
      </c>
      <c r="D3511" s="1" t="s">
        <v>229</v>
      </c>
      <c r="E3511" s="1"/>
    </row>
    <row r="3512" spans="1:5" ht="16">
      <c r="A3512" s="1" t="s">
        <v>3178</v>
      </c>
      <c r="B3512" s="1" t="s">
        <v>3282</v>
      </c>
      <c r="C3512" s="1" t="s">
        <v>319</v>
      </c>
      <c r="D3512" s="1" t="s">
        <v>229</v>
      </c>
      <c r="E3512" s="1"/>
    </row>
    <row r="3513" spans="1:5" ht="16">
      <c r="A3513" s="1" t="s">
        <v>3178</v>
      </c>
      <c r="B3513" s="1" t="s">
        <v>3336</v>
      </c>
      <c r="C3513" s="1" t="s">
        <v>319</v>
      </c>
      <c r="D3513" s="1" t="s">
        <v>229</v>
      </c>
      <c r="E3513" s="1"/>
    </row>
    <row r="3514" spans="1:5" ht="16">
      <c r="A3514" s="1" t="s">
        <v>3178</v>
      </c>
      <c r="B3514" s="1" t="s">
        <v>3337</v>
      </c>
      <c r="C3514" s="1" t="s">
        <v>319</v>
      </c>
      <c r="D3514" s="1" t="s">
        <v>229</v>
      </c>
      <c r="E3514" s="1"/>
    </row>
    <row r="3515" spans="1:5" ht="16">
      <c r="A3515" s="1" t="s">
        <v>3178</v>
      </c>
      <c r="B3515" s="1" t="s">
        <v>3338</v>
      </c>
      <c r="C3515" s="1" t="s">
        <v>319</v>
      </c>
      <c r="D3515" s="1" t="s">
        <v>229</v>
      </c>
      <c r="E3515" s="1"/>
    </row>
    <row r="3516" spans="1:5" ht="16">
      <c r="A3516" s="1" t="s">
        <v>3178</v>
      </c>
      <c r="B3516" s="1" t="s">
        <v>3339</v>
      </c>
      <c r="C3516" s="1" t="s">
        <v>319</v>
      </c>
      <c r="D3516" s="1" t="s">
        <v>229</v>
      </c>
      <c r="E3516" s="1"/>
    </row>
    <row r="3517" spans="1:5" ht="16">
      <c r="A3517" s="1" t="s">
        <v>3178</v>
      </c>
      <c r="B3517" s="1" t="s">
        <v>3340</v>
      </c>
      <c r="C3517" s="1" t="s">
        <v>319</v>
      </c>
      <c r="D3517" s="1" t="s">
        <v>229</v>
      </c>
      <c r="E3517" s="1"/>
    </row>
    <row r="3518" spans="1:5" ht="16">
      <c r="A3518" s="1" t="s">
        <v>3178</v>
      </c>
      <c r="B3518" s="1" t="s">
        <v>3341</v>
      </c>
      <c r="C3518" s="1" t="s">
        <v>319</v>
      </c>
      <c r="D3518" s="1" t="s">
        <v>229</v>
      </c>
      <c r="E3518" s="1"/>
    </row>
    <row r="3519" spans="1:5" ht="16">
      <c r="A3519" s="1" t="s">
        <v>3178</v>
      </c>
      <c r="B3519" s="1" t="s">
        <v>3342</v>
      </c>
      <c r="C3519" s="1" t="s">
        <v>319</v>
      </c>
      <c r="D3519" s="1" t="s">
        <v>229</v>
      </c>
      <c r="E3519" s="1"/>
    </row>
    <row r="3520" spans="1:5" ht="16">
      <c r="A3520" s="1" t="s">
        <v>3178</v>
      </c>
      <c r="B3520" s="1" t="s">
        <v>3343</v>
      </c>
      <c r="C3520" s="1" t="s">
        <v>319</v>
      </c>
      <c r="D3520" s="1" t="s">
        <v>229</v>
      </c>
      <c r="E3520" s="1"/>
    </row>
    <row r="3521" spans="1:5" ht="16">
      <c r="A3521" s="1" t="s">
        <v>3178</v>
      </c>
      <c r="B3521" s="1" t="s">
        <v>3344</v>
      </c>
      <c r="C3521" s="1" t="s">
        <v>319</v>
      </c>
      <c r="D3521" s="1" t="s">
        <v>229</v>
      </c>
      <c r="E3521" s="1"/>
    </row>
    <row r="3522" spans="1:5" ht="16">
      <c r="A3522" s="1" t="s">
        <v>3178</v>
      </c>
      <c r="B3522" s="1" t="s">
        <v>3324</v>
      </c>
      <c r="C3522" s="1" t="s">
        <v>319</v>
      </c>
      <c r="D3522" s="1" t="s">
        <v>229</v>
      </c>
      <c r="E3522" s="1"/>
    </row>
    <row r="3523" spans="1:5" ht="16">
      <c r="A3523" s="1" t="s">
        <v>3178</v>
      </c>
      <c r="B3523" s="1" t="s">
        <v>3345</v>
      </c>
      <c r="C3523" s="1" t="s">
        <v>334</v>
      </c>
      <c r="D3523" s="1" t="s">
        <v>229</v>
      </c>
      <c r="E3523" s="1"/>
    </row>
    <row r="3524" spans="1:5" ht="16">
      <c r="A3524" s="1" t="s">
        <v>3178</v>
      </c>
      <c r="B3524" s="1" t="s">
        <v>3345</v>
      </c>
      <c r="C3524" s="1" t="s">
        <v>334</v>
      </c>
      <c r="D3524" s="1" t="s">
        <v>229</v>
      </c>
      <c r="E3524" s="1"/>
    </row>
    <row r="3525" spans="1:5" ht="16">
      <c r="A3525" s="1" t="s">
        <v>3178</v>
      </c>
      <c r="B3525" s="1" t="s">
        <v>3346</v>
      </c>
      <c r="C3525" s="1" t="s">
        <v>334</v>
      </c>
      <c r="D3525" s="1" t="s">
        <v>229</v>
      </c>
      <c r="E3525" s="1"/>
    </row>
    <row r="3526" spans="1:5" ht="16">
      <c r="A3526" s="1" t="s">
        <v>3178</v>
      </c>
      <c r="B3526" s="1" t="s">
        <v>3347</v>
      </c>
      <c r="C3526" s="1" t="s">
        <v>334</v>
      </c>
      <c r="D3526" s="1" t="s">
        <v>229</v>
      </c>
      <c r="E3526" s="1"/>
    </row>
    <row r="3527" spans="1:5" ht="16">
      <c r="A3527" s="1" t="s">
        <v>3178</v>
      </c>
      <c r="B3527" s="1" t="s">
        <v>3347</v>
      </c>
      <c r="C3527" s="1" t="s">
        <v>334</v>
      </c>
      <c r="D3527" s="1" t="s">
        <v>229</v>
      </c>
      <c r="E3527" s="1"/>
    </row>
    <row r="3528" spans="1:5" ht="16">
      <c r="A3528" s="1" t="s">
        <v>3178</v>
      </c>
      <c r="B3528" s="1" t="s">
        <v>3348</v>
      </c>
      <c r="C3528" s="1" t="s">
        <v>234</v>
      </c>
      <c r="D3528" s="1" t="s">
        <v>229</v>
      </c>
      <c r="E3528" s="1"/>
    </row>
    <row r="3529" spans="1:5" ht="16">
      <c r="A3529" s="1" t="s">
        <v>3178</v>
      </c>
      <c r="B3529" s="1" t="s">
        <v>3349</v>
      </c>
      <c r="C3529" s="1" t="s">
        <v>334</v>
      </c>
      <c r="D3529" s="1" t="s">
        <v>229</v>
      </c>
      <c r="E3529" s="1"/>
    </row>
    <row r="3530" spans="1:5" ht="16">
      <c r="A3530" s="1" t="s">
        <v>3178</v>
      </c>
      <c r="B3530" s="1" t="s">
        <v>3350</v>
      </c>
      <c r="C3530" s="1" t="s">
        <v>334</v>
      </c>
      <c r="D3530" s="1" t="s">
        <v>229</v>
      </c>
      <c r="E3530" s="1"/>
    </row>
    <row r="3531" spans="1:5" ht="16">
      <c r="A3531" s="1" t="s">
        <v>3178</v>
      </c>
      <c r="B3531" s="1" t="s">
        <v>3351</v>
      </c>
      <c r="C3531" s="1" t="s">
        <v>334</v>
      </c>
      <c r="D3531" s="1" t="s">
        <v>229</v>
      </c>
      <c r="E3531" s="1"/>
    </row>
    <row r="3532" spans="1:5" ht="16">
      <c r="A3532" s="1" t="s">
        <v>3178</v>
      </c>
      <c r="B3532" s="1" t="s">
        <v>3352</v>
      </c>
      <c r="C3532" s="1" t="s">
        <v>334</v>
      </c>
      <c r="D3532" s="1" t="s">
        <v>229</v>
      </c>
      <c r="E3532" s="1"/>
    </row>
    <row r="3533" spans="1:5" ht="16">
      <c r="A3533" s="1" t="s">
        <v>3178</v>
      </c>
      <c r="B3533" s="1" t="s">
        <v>3353</v>
      </c>
      <c r="C3533" s="1" t="s">
        <v>334</v>
      </c>
      <c r="D3533" s="1" t="s">
        <v>229</v>
      </c>
      <c r="E3533" s="1"/>
    </row>
    <row r="3534" spans="1:5" ht="16">
      <c r="A3534" s="1" t="s">
        <v>3178</v>
      </c>
      <c r="B3534" s="1" t="s">
        <v>3351</v>
      </c>
      <c r="C3534" s="1" t="s">
        <v>334</v>
      </c>
      <c r="D3534" s="1" t="s">
        <v>229</v>
      </c>
      <c r="E3534" s="1"/>
    </row>
    <row r="3535" spans="1:5" ht="16">
      <c r="A3535" s="1" t="s">
        <v>3178</v>
      </c>
      <c r="B3535" s="1" t="s">
        <v>3352</v>
      </c>
      <c r="C3535" s="1" t="s">
        <v>334</v>
      </c>
      <c r="D3535" s="1" t="s">
        <v>229</v>
      </c>
      <c r="E3535" s="1"/>
    </row>
    <row r="3536" spans="1:5" ht="16">
      <c r="A3536" s="1" t="s">
        <v>3178</v>
      </c>
      <c r="B3536" s="1" t="s">
        <v>3354</v>
      </c>
      <c r="C3536" s="1" t="s">
        <v>334</v>
      </c>
      <c r="D3536" s="1" t="s">
        <v>229</v>
      </c>
      <c r="E3536" s="1"/>
    </row>
    <row r="3537" spans="1:5" ht="16">
      <c r="A3537" s="1" t="s">
        <v>3178</v>
      </c>
      <c r="B3537" s="1" t="s">
        <v>3355</v>
      </c>
      <c r="C3537" s="1" t="s">
        <v>334</v>
      </c>
      <c r="D3537" s="1" t="s">
        <v>229</v>
      </c>
      <c r="E3537" s="1"/>
    </row>
    <row r="3538" spans="1:5" ht="16">
      <c r="A3538" s="1" t="s">
        <v>3178</v>
      </c>
      <c r="B3538" s="1" t="s">
        <v>3355</v>
      </c>
      <c r="C3538" s="1" t="s">
        <v>334</v>
      </c>
      <c r="D3538" s="1" t="s">
        <v>229</v>
      </c>
      <c r="E3538" s="1"/>
    </row>
    <row r="3539" spans="1:5" ht="16">
      <c r="A3539" s="1" t="s">
        <v>3178</v>
      </c>
      <c r="B3539" s="1" t="s">
        <v>1074</v>
      </c>
      <c r="C3539" s="1" t="s">
        <v>334</v>
      </c>
      <c r="D3539" s="1" t="s">
        <v>229</v>
      </c>
      <c r="E3539" s="1"/>
    </row>
    <row r="3540" spans="1:5" ht="16">
      <c r="A3540" s="1" t="s">
        <v>3178</v>
      </c>
      <c r="B3540" s="1" t="s">
        <v>1082</v>
      </c>
      <c r="C3540" s="1" t="s">
        <v>334</v>
      </c>
      <c r="D3540" s="1" t="s">
        <v>229</v>
      </c>
      <c r="E3540" s="1"/>
    </row>
    <row r="3541" spans="1:5" ht="16">
      <c r="A3541" s="1" t="s">
        <v>3178</v>
      </c>
      <c r="B3541" s="1" t="s">
        <v>3356</v>
      </c>
      <c r="C3541" s="1" t="s">
        <v>334</v>
      </c>
      <c r="D3541" s="1" t="s">
        <v>229</v>
      </c>
      <c r="E3541" s="1"/>
    </row>
    <row r="3542" spans="1:5" ht="16">
      <c r="A3542" s="1" t="s">
        <v>3178</v>
      </c>
      <c r="B3542" s="1" t="s">
        <v>3357</v>
      </c>
      <c r="C3542" s="1" t="s">
        <v>332</v>
      </c>
      <c r="D3542" s="1" t="s">
        <v>229</v>
      </c>
      <c r="E3542" s="1"/>
    </row>
    <row r="3543" spans="1:5" ht="16">
      <c r="A3543" s="1" t="s">
        <v>3178</v>
      </c>
      <c r="B3543" s="1" t="s">
        <v>3358</v>
      </c>
      <c r="C3543" s="1" t="s">
        <v>332</v>
      </c>
      <c r="D3543" s="1" t="s">
        <v>229</v>
      </c>
      <c r="E3543" s="1"/>
    </row>
    <row r="3544" spans="1:5" ht="16">
      <c r="A3544" s="1" t="s">
        <v>3178</v>
      </c>
      <c r="B3544" s="1" t="s">
        <v>3359</v>
      </c>
      <c r="C3544" s="1" t="s">
        <v>332</v>
      </c>
      <c r="D3544" s="1" t="s">
        <v>229</v>
      </c>
      <c r="E3544" s="1"/>
    </row>
    <row r="3545" spans="1:5" ht="16">
      <c r="A3545" s="1" t="s">
        <v>3178</v>
      </c>
      <c r="B3545" s="1" t="s">
        <v>3360</v>
      </c>
      <c r="C3545" s="1" t="s">
        <v>332</v>
      </c>
      <c r="D3545" s="1" t="s">
        <v>229</v>
      </c>
      <c r="E3545" s="1"/>
    </row>
    <row r="3546" spans="1:5" ht="16">
      <c r="A3546" s="1" t="s">
        <v>3178</v>
      </c>
      <c r="B3546" s="1" t="s">
        <v>3361</v>
      </c>
      <c r="C3546" s="1" t="s">
        <v>332</v>
      </c>
      <c r="D3546" s="1" t="s">
        <v>229</v>
      </c>
      <c r="E3546" s="1"/>
    </row>
    <row r="3547" spans="1:5" ht="16">
      <c r="A3547" s="1" t="s">
        <v>3178</v>
      </c>
      <c r="B3547" s="1" t="s">
        <v>3362</v>
      </c>
      <c r="C3547" s="1" t="s">
        <v>334</v>
      </c>
      <c r="D3547" s="1" t="s">
        <v>229</v>
      </c>
      <c r="E3547" s="1"/>
    </row>
    <row r="3548" spans="1:5" ht="16">
      <c r="A3548" s="1" t="s">
        <v>3178</v>
      </c>
      <c r="B3548" s="1" t="s">
        <v>3363</v>
      </c>
      <c r="C3548" s="1" t="s">
        <v>334</v>
      </c>
      <c r="D3548" s="1" t="s">
        <v>229</v>
      </c>
      <c r="E3548" s="1"/>
    </row>
    <row r="3549" spans="1:5" ht="16">
      <c r="A3549" s="1" t="s">
        <v>3178</v>
      </c>
      <c r="B3549" s="1" t="s">
        <v>3364</v>
      </c>
      <c r="C3549" s="1" t="s">
        <v>334</v>
      </c>
      <c r="D3549" s="1" t="s">
        <v>229</v>
      </c>
      <c r="E3549" s="1"/>
    </row>
    <row r="3550" spans="1:5" ht="16">
      <c r="A3550" s="1" t="s">
        <v>3178</v>
      </c>
      <c r="B3550" s="1" t="s">
        <v>3365</v>
      </c>
      <c r="C3550" s="1" t="s">
        <v>334</v>
      </c>
      <c r="D3550" s="1" t="s">
        <v>229</v>
      </c>
      <c r="E3550" s="1"/>
    </row>
    <row r="3551" spans="1:5" ht="16">
      <c r="A3551" s="1" t="s">
        <v>3178</v>
      </c>
      <c r="B3551" s="1" t="s">
        <v>3366</v>
      </c>
      <c r="C3551" s="1" t="s">
        <v>334</v>
      </c>
      <c r="D3551" s="1" t="s">
        <v>229</v>
      </c>
      <c r="E3551" s="1"/>
    </row>
    <row r="3552" spans="1:5" ht="16">
      <c r="A3552" s="1" t="s">
        <v>3178</v>
      </c>
      <c r="B3552" s="1" t="s">
        <v>3367</v>
      </c>
      <c r="C3552" s="1" t="s">
        <v>334</v>
      </c>
      <c r="D3552" s="1" t="s">
        <v>229</v>
      </c>
      <c r="E3552" s="1"/>
    </row>
    <row r="3553" spans="1:5" ht="16">
      <c r="A3553" s="1" t="s">
        <v>3178</v>
      </c>
      <c r="B3553" s="1" t="s">
        <v>3368</v>
      </c>
      <c r="C3553" s="1" t="s">
        <v>334</v>
      </c>
      <c r="D3553" s="1" t="s">
        <v>229</v>
      </c>
      <c r="E3553" s="1"/>
    </row>
    <row r="3554" spans="1:5" ht="16">
      <c r="A3554" s="1" t="s">
        <v>3178</v>
      </c>
      <c r="B3554" s="1" t="s">
        <v>3369</v>
      </c>
      <c r="C3554" s="1" t="s">
        <v>334</v>
      </c>
      <c r="D3554" s="1" t="s">
        <v>229</v>
      </c>
      <c r="E3554" s="1" t="s">
        <v>500</v>
      </c>
    </row>
    <row r="3555" spans="1:5" ht="16">
      <c r="A3555" s="1" t="s">
        <v>3178</v>
      </c>
      <c r="B3555" s="1" t="s">
        <v>3370</v>
      </c>
      <c r="C3555" s="1" t="s">
        <v>334</v>
      </c>
      <c r="D3555" s="1" t="s">
        <v>229</v>
      </c>
      <c r="E3555" s="1"/>
    </row>
    <row r="3556" spans="1:5" ht="16">
      <c r="A3556" s="1" t="s">
        <v>3178</v>
      </c>
      <c r="B3556" s="1" t="s">
        <v>3371</v>
      </c>
      <c r="C3556" s="1" t="s">
        <v>334</v>
      </c>
      <c r="D3556" s="1" t="s">
        <v>229</v>
      </c>
      <c r="E3556" s="1"/>
    </row>
    <row r="3557" spans="1:5" ht="16">
      <c r="A3557" s="1" t="s">
        <v>3178</v>
      </c>
      <c r="B3557" s="1" t="s">
        <v>3371</v>
      </c>
      <c r="C3557" s="1" t="s">
        <v>334</v>
      </c>
      <c r="D3557" s="1" t="s">
        <v>229</v>
      </c>
      <c r="E3557" s="1"/>
    </row>
    <row r="3558" spans="1:5" ht="16">
      <c r="A3558" s="1" t="s">
        <v>3178</v>
      </c>
      <c r="B3558" s="1" t="s">
        <v>3372</v>
      </c>
      <c r="C3558" s="1" t="s">
        <v>334</v>
      </c>
      <c r="D3558" s="1" t="s">
        <v>229</v>
      </c>
      <c r="E3558" s="1"/>
    </row>
    <row r="3559" spans="1:5" ht="16">
      <c r="A3559" s="1" t="s">
        <v>3178</v>
      </c>
      <c r="B3559" s="1" t="s">
        <v>3372</v>
      </c>
      <c r="C3559" s="1" t="s">
        <v>334</v>
      </c>
      <c r="D3559" s="1" t="s">
        <v>229</v>
      </c>
      <c r="E3559" s="1"/>
    </row>
    <row r="3560" spans="1:5" ht="16">
      <c r="A3560" s="1" t="s">
        <v>3178</v>
      </c>
      <c r="B3560" s="1" t="s">
        <v>3373</v>
      </c>
      <c r="C3560" s="1" t="s">
        <v>334</v>
      </c>
      <c r="D3560" s="1" t="s">
        <v>229</v>
      </c>
      <c r="E3560" s="1"/>
    </row>
    <row r="3561" spans="1:5" ht="16">
      <c r="A3561" s="1" t="s">
        <v>3178</v>
      </c>
      <c r="B3561" s="1" t="s">
        <v>3373</v>
      </c>
      <c r="C3561" s="1" t="s">
        <v>334</v>
      </c>
      <c r="D3561" s="1" t="s">
        <v>229</v>
      </c>
      <c r="E3561" s="1"/>
    </row>
    <row r="3562" spans="1:5" ht="16">
      <c r="A3562" s="1" t="s">
        <v>3178</v>
      </c>
      <c r="B3562" s="1" t="s">
        <v>3374</v>
      </c>
      <c r="C3562" s="1" t="s">
        <v>234</v>
      </c>
      <c r="D3562" s="1" t="s">
        <v>229</v>
      </c>
      <c r="E3562" s="1"/>
    </row>
    <row r="3563" spans="1:5" ht="16">
      <c r="A3563" s="1" t="s">
        <v>3178</v>
      </c>
      <c r="B3563" s="1" t="s">
        <v>3375</v>
      </c>
      <c r="C3563" s="1" t="s">
        <v>319</v>
      </c>
      <c r="D3563" s="1" t="s">
        <v>229</v>
      </c>
      <c r="E3563" s="1"/>
    </row>
    <row r="3564" spans="1:5" ht="16">
      <c r="A3564" s="1" t="s">
        <v>3178</v>
      </c>
      <c r="B3564" s="1" t="s">
        <v>3375</v>
      </c>
      <c r="C3564" s="1" t="s">
        <v>319</v>
      </c>
      <c r="D3564" s="1" t="s">
        <v>229</v>
      </c>
      <c r="E3564" s="1"/>
    </row>
    <row r="3565" spans="1:5" ht="16">
      <c r="A3565" s="1" t="s">
        <v>3178</v>
      </c>
      <c r="B3565" s="1" t="s">
        <v>3375</v>
      </c>
      <c r="C3565" s="1" t="s">
        <v>319</v>
      </c>
      <c r="D3565" s="1" t="s">
        <v>229</v>
      </c>
      <c r="E3565" s="1"/>
    </row>
    <row r="3566" spans="1:5" ht="16">
      <c r="A3566" s="1" t="s">
        <v>3178</v>
      </c>
      <c r="B3566" s="1" t="s">
        <v>3375</v>
      </c>
      <c r="C3566" s="1" t="s">
        <v>319</v>
      </c>
      <c r="D3566" s="1" t="s">
        <v>229</v>
      </c>
      <c r="E3566" s="1"/>
    </row>
    <row r="3567" spans="1:5" ht="16">
      <c r="A3567" s="1" t="s">
        <v>3178</v>
      </c>
      <c r="B3567" s="1" t="s">
        <v>3376</v>
      </c>
      <c r="C3567" s="1" t="s">
        <v>319</v>
      </c>
      <c r="D3567" s="1" t="s">
        <v>229</v>
      </c>
      <c r="E3567" s="1"/>
    </row>
    <row r="3568" spans="1:5" ht="16">
      <c r="A3568" s="1" t="s">
        <v>3178</v>
      </c>
      <c r="B3568" s="1" t="s">
        <v>3376</v>
      </c>
      <c r="C3568" s="1" t="s">
        <v>319</v>
      </c>
      <c r="D3568" s="1" t="s">
        <v>229</v>
      </c>
      <c r="E3568" s="1"/>
    </row>
    <row r="3569" spans="1:5" ht="16">
      <c r="A3569" s="1" t="s">
        <v>3178</v>
      </c>
      <c r="B3569" s="1" t="s">
        <v>3376</v>
      </c>
      <c r="C3569" s="1" t="s">
        <v>319</v>
      </c>
      <c r="D3569" s="1" t="s">
        <v>229</v>
      </c>
      <c r="E3569" s="1"/>
    </row>
    <row r="3570" spans="1:5" ht="16">
      <c r="A3570" s="1" t="s">
        <v>3178</v>
      </c>
      <c r="B3570" s="1" t="s">
        <v>3377</v>
      </c>
      <c r="C3570" s="1" t="s">
        <v>332</v>
      </c>
      <c r="D3570" s="1" t="s">
        <v>229</v>
      </c>
      <c r="E3570" s="1"/>
    </row>
    <row r="3571" spans="1:5" ht="16">
      <c r="A3571" s="1" t="s">
        <v>3178</v>
      </c>
      <c r="B3571" s="1" t="s">
        <v>3378</v>
      </c>
      <c r="C3571" s="1" t="s">
        <v>332</v>
      </c>
      <c r="D3571" s="1" t="s">
        <v>229</v>
      </c>
      <c r="E3571" s="1"/>
    </row>
    <row r="3572" spans="1:5" ht="16">
      <c r="A3572" s="1" t="s">
        <v>3178</v>
      </c>
      <c r="B3572" s="1" t="s">
        <v>3379</v>
      </c>
      <c r="C3572" s="1" t="s">
        <v>332</v>
      </c>
      <c r="D3572" s="1" t="s">
        <v>229</v>
      </c>
      <c r="E3572" s="1"/>
    </row>
    <row r="3573" spans="1:5" ht="16">
      <c r="A3573" s="1" t="s">
        <v>3178</v>
      </c>
      <c r="B3573" s="1" t="s">
        <v>3380</v>
      </c>
      <c r="C3573" s="1" t="s">
        <v>332</v>
      </c>
      <c r="D3573" s="1" t="s">
        <v>229</v>
      </c>
      <c r="E3573" s="1"/>
    </row>
    <row r="3574" spans="1:5" ht="16">
      <c r="A3574" s="1" t="s">
        <v>3178</v>
      </c>
      <c r="B3574" s="1" t="s">
        <v>3381</v>
      </c>
      <c r="C3574" s="1" t="s">
        <v>332</v>
      </c>
      <c r="D3574" s="1" t="s">
        <v>229</v>
      </c>
      <c r="E3574" s="1"/>
    </row>
    <row r="3575" spans="1:5" ht="16">
      <c r="A3575" s="1" t="s">
        <v>3178</v>
      </c>
      <c r="B3575" s="1" t="s">
        <v>3382</v>
      </c>
      <c r="C3575" s="1" t="s">
        <v>332</v>
      </c>
      <c r="D3575" s="1" t="s">
        <v>229</v>
      </c>
      <c r="E3575" s="1"/>
    </row>
    <row r="3576" spans="1:5" ht="16">
      <c r="A3576" s="1" t="s">
        <v>3178</v>
      </c>
      <c r="B3576" s="1" t="s">
        <v>3383</v>
      </c>
      <c r="C3576" s="1" t="s">
        <v>332</v>
      </c>
      <c r="D3576" s="1" t="s">
        <v>229</v>
      </c>
      <c r="E3576" s="1"/>
    </row>
    <row r="3577" spans="1:5" ht="16">
      <c r="A3577" s="1" t="s">
        <v>3178</v>
      </c>
      <c r="B3577" s="1" t="s">
        <v>3384</v>
      </c>
      <c r="C3577" s="1" t="s">
        <v>332</v>
      </c>
      <c r="D3577" s="1" t="s">
        <v>229</v>
      </c>
      <c r="E3577" s="1"/>
    </row>
    <row r="3578" spans="1:5" ht="16">
      <c r="A3578" s="1" t="s">
        <v>3178</v>
      </c>
      <c r="B3578" s="1" t="s">
        <v>3385</v>
      </c>
      <c r="C3578" s="1" t="s">
        <v>332</v>
      </c>
      <c r="D3578" s="1" t="s">
        <v>229</v>
      </c>
      <c r="E3578" s="1"/>
    </row>
    <row r="3579" spans="1:5" ht="16">
      <c r="A3579" s="1" t="s">
        <v>3178</v>
      </c>
      <c r="B3579" s="1" t="s">
        <v>3386</v>
      </c>
      <c r="C3579" s="1" t="s">
        <v>332</v>
      </c>
      <c r="D3579" s="1" t="s">
        <v>229</v>
      </c>
      <c r="E3579" s="1"/>
    </row>
    <row r="3580" spans="1:5" ht="16">
      <c r="A3580" s="1" t="s">
        <v>3178</v>
      </c>
      <c r="B3580" s="1" t="s">
        <v>3387</v>
      </c>
      <c r="C3580" s="1" t="s">
        <v>332</v>
      </c>
      <c r="D3580" s="1" t="s">
        <v>229</v>
      </c>
      <c r="E3580" s="1"/>
    </row>
    <row r="3581" spans="1:5" ht="16">
      <c r="A3581" s="1" t="s">
        <v>3178</v>
      </c>
      <c r="B3581" s="1" t="s">
        <v>3388</v>
      </c>
      <c r="C3581" s="1" t="s">
        <v>332</v>
      </c>
      <c r="D3581" s="1" t="s">
        <v>229</v>
      </c>
      <c r="E3581" s="1"/>
    </row>
    <row r="3582" spans="1:5" ht="16">
      <c r="A3582" s="1" t="s">
        <v>3178</v>
      </c>
      <c r="B3582" s="1" t="s">
        <v>3389</v>
      </c>
      <c r="C3582" s="1" t="s">
        <v>332</v>
      </c>
      <c r="D3582" s="1" t="s">
        <v>229</v>
      </c>
      <c r="E3582" s="1"/>
    </row>
    <row r="3583" spans="1:5" ht="16">
      <c r="A3583" s="1" t="s">
        <v>3178</v>
      </c>
      <c r="B3583" s="1" t="s">
        <v>3390</v>
      </c>
      <c r="C3583" s="1" t="s">
        <v>332</v>
      </c>
      <c r="D3583" s="1" t="s">
        <v>229</v>
      </c>
      <c r="E3583" s="1"/>
    </row>
    <row r="3584" spans="1:5" ht="16">
      <c r="A3584" s="1" t="s">
        <v>3178</v>
      </c>
      <c r="B3584" s="1" t="s">
        <v>3391</v>
      </c>
      <c r="C3584" s="1" t="s">
        <v>332</v>
      </c>
      <c r="D3584" s="1" t="s">
        <v>229</v>
      </c>
      <c r="E3584" s="1"/>
    </row>
    <row r="3585" spans="1:5" ht="16">
      <c r="A3585" s="1" t="s">
        <v>3178</v>
      </c>
      <c r="B3585" s="1" t="s">
        <v>3392</v>
      </c>
      <c r="C3585" s="1" t="s">
        <v>334</v>
      </c>
      <c r="D3585" s="1" t="s">
        <v>229</v>
      </c>
      <c r="E3585" s="1"/>
    </row>
    <row r="3586" spans="1:5" ht="16">
      <c r="A3586" s="1" t="s">
        <v>3178</v>
      </c>
      <c r="B3586" s="1" t="s">
        <v>3393</v>
      </c>
      <c r="C3586" s="1" t="s">
        <v>334</v>
      </c>
      <c r="D3586" s="1" t="s">
        <v>229</v>
      </c>
      <c r="E3586" s="1"/>
    </row>
    <row r="3587" spans="1:5" ht="16">
      <c r="A3587" s="1" t="s">
        <v>3178</v>
      </c>
      <c r="B3587" s="1" t="s">
        <v>3376</v>
      </c>
      <c r="C3587" s="1" t="s">
        <v>319</v>
      </c>
      <c r="D3587" s="1" t="s">
        <v>229</v>
      </c>
      <c r="E3587" s="1"/>
    </row>
    <row r="3588" spans="1:5" ht="16">
      <c r="A3588" s="1" t="s">
        <v>3178</v>
      </c>
      <c r="B3588" s="1" t="s">
        <v>3376</v>
      </c>
      <c r="C3588" s="1" t="s">
        <v>319</v>
      </c>
      <c r="D3588" s="1" t="s">
        <v>229</v>
      </c>
      <c r="E3588" s="1"/>
    </row>
    <row r="3589" spans="1:5" ht="16">
      <c r="A3589" s="1" t="s">
        <v>3178</v>
      </c>
      <c r="B3589" s="1" t="s">
        <v>3376</v>
      </c>
      <c r="C3589" s="1" t="s">
        <v>319</v>
      </c>
      <c r="D3589" s="1" t="s">
        <v>229</v>
      </c>
      <c r="E3589" s="1"/>
    </row>
    <row r="3590" spans="1:5" ht="16">
      <c r="A3590" s="1" t="s">
        <v>3178</v>
      </c>
      <c r="B3590" s="1" t="s">
        <v>3376</v>
      </c>
      <c r="C3590" s="1" t="s">
        <v>319</v>
      </c>
      <c r="D3590" s="1" t="s">
        <v>229</v>
      </c>
      <c r="E3590" s="1"/>
    </row>
    <row r="3591" spans="1:5" ht="16">
      <c r="A3591" s="1" t="s">
        <v>3178</v>
      </c>
      <c r="B3591" s="1" t="s">
        <v>3376</v>
      </c>
      <c r="C3591" s="1" t="s">
        <v>319</v>
      </c>
      <c r="D3591" s="1" t="s">
        <v>229</v>
      </c>
      <c r="E3591" s="1"/>
    </row>
    <row r="3592" spans="1:5" ht="16">
      <c r="A3592" s="1" t="s">
        <v>3178</v>
      </c>
      <c r="B3592" s="1" t="s">
        <v>3376</v>
      </c>
      <c r="C3592" s="1" t="s">
        <v>319</v>
      </c>
      <c r="D3592" s="1" t="s">
        <v>229</v>
      </c>
      <c r="E3592" s="1"/>
    </row>
    <row r="3593" spans="1:5" ht="16">
      <c r="A3593" s="1" t="s">
        <v>3178</v>
      </c>
      <c r="B3593" s="1" t="s">
        <v>3394</v>
      </c>
      <c r="C3593" s="1" t="s">
        <v>319</v>
      </c>
      <c r="D3593" s="1" t="s">
        <v>229</v>
      </c>
      <c r="E3593" s="1"/>
    </row>
    <row r="3594" spans="1:5" ht="16">
      <c r="A3594" s="1" t="s">
        <v>3178</v>
      </c>
      <c r="B3594" s="1" t="s">
        <v>3394</v>
      </c>
      <c r="C3594" s="1" t="s">
        <v>319</v>
      </c>
      <c r="D3594" s="1" t="s">
        <v>229</v>
      </c>
      <c r="E3594" s="1"/>
    </row>
    <row r="3595" spans="1:5" ht="16">
      <c r="A3595" s="1" t="s">
        <v>3178</v>
      </c>
      <c r="B3595" s="1" t="s">
        <v>3394</v>
      </c>
      <c r="C3595" s="1" t="s">
        <v>319</v>
      </c>
      <c r="D3595" s="1" t="s">
        <v>229</v>
      </c>
      <c r="E3595" s="1"/>
    </row>
    <row r="3596" spans="1:5" ht="16">
      <c r="A3596" s="1" t="s">
        <v>3178</v>
      </c>
      <c r="B3596" s="1" t="s">
        <v>3394</v>
      </c>
      <c r="C3596" s="1" t="s">
        <v>319</v>
      </c>
      <c r="D3596" s="1" t="s">
        <v>229</v>
      </c>
      <c r="E3596" s="1"/>
    </row>
    <row r="3597" spans="1:5" ht="16">
      <c r="A3597" s="1" t="s">
        <v>3178</v>
      </c>
      <c r="B3597" s="1" t="s">
        <v>3394</v>
      </c>
      <c r="C3597" s="1" t="s">
        <v>319</v>
      </c>
      <c r="D3597" s="1" t="s">
        <v>229</v>
      </c>
      <c r="E3597" s="1"/>
    </row>
    <row r="3598" spans="1:5" ht="16">
      <c r="A3598" s="1" t="s">
        <v>3178</v>
      </c>
      <c r="B3598" s="1" t="s">
        <v>3394</v>
      </c>
      <c r="C3598" s="1" t="s">
        <v>319</v>
      </c>
      <c r="D3598" s="1" t="s">
        <v>229</v>
      </c>
      <c r="E3598" s="1"/>
    </row>
    <row r="3599" spans="1:5" ht="16">
      <c r="A3599" s="1" t="s">
        <v>3178</v>
      </c>
      <c r="B3599" s="1" t="s">
        <v>3394</v>
      </c>
      <c r="C3599" s="1" t="s">
        <v>319</v>
      </c>
      <c r="D3599" s="1" t="s">
        <v>229</v>
      </c>
      <c r="E3599" s="1"/>
    </row>
    <row r="3600" spans="1:5" ht="16">
      <c r="A3600" s="1" t="s">
        <v>3178</v>
      </c>
      <c r="B3600" s="1" t="s">
        <v>3394</v>
      </c>
      <c r="C3600" s="1" t="s">
        <v>319</v>
      </c>
      <c r="D3600" s="1" t="s">
        <v>229</v>
      </c>
      <c r="E3600" s="1"/>
    </row>
    <row r="3601" spans="1:5" ht="16">
      <c r="A3601" s="1" t="s">
        <v>3178</v>
      </c>
      <c r="B3601" s="1" t="s">
        <v>3394</v>
      </c>
      <c r="C3601" s="1" t="s">
        <v>319</v>
      </c>
      <c r="D3601" s="1" t="s">
        <v>229</v>
      </c>
      <c r="E3601" s="1"/>
    </row>
    <row r="3602" spans="1:5" ht="16">
      <c r="A3602" s="1" t="s">
        <v>3178</v>
      </c>
      <c r="B3602" s="1" t="s">
        <v>3394</v>
      </c>
      <c r="C3602" s="1" t="s">
        <v>319</v>
      </c>
      <c r="D3602" s="1" t="s">
        <v>229</v>
      </c>
      <c r="E3602" s="1"/>
    </row>
    <row r="3603" spans="1:5" ht="16">
      <c r="A3603" s="1" t="s">
        <v>3178</v>
      </c>
      <c r="B3603" s="1" t="s">
        <v>3375</v>
      </c>
      <c r="C3603" s="1" t="s">
        <v>319</v>
      </c>
      <c r="D3603" s="1" t="s">
        <v>229</v>
      </c>
      <c r="E3603" s="1"/>
    </row>
    <row r="3604" spans="1:5" ht="16">
      <c r="A3604" s="1" t="s">
        <v>3178</v>
      </c>
      <c r="B3604" s="1" t="s">
        <v>3375</v>
      </c>
      <c r="C3604" s="1" t="s">
        <v>319</v>
      </c>
      <c r="D3604" s="1" t="s">
        <v>229</v>
      </c>
      <c r="E3604" s="1"/>
    </row>
    <row r="3605" spans="1:5" ht="16">
      <c r="A3605" s="1" t="s">
        <v>3178</v>
      </c>
      <c r="B3605" s="1" t="s">
        <v>3395</v>
      </c>
      <c r="C3605" s="1" t="s">
        <v>319</v>
      </c>
      <c r="D3605" s="1" t="s">
        <v>229</v>
      </c>
      <c r="E3605" s="1"/>
    </row>
    <row r="3606" spans="1:5" ht="16">
      <c r="A3606" s="1" t="s">
        <v>3178</v>
      </c>
      <c r="B3606" s="1" t="s">
        <v>3376</v>
      </c>
      <c r="C3606" s="1" t="s">
        <v>319</v>
      </c>
      <c r="D3606" s="1" t="s">
        <v>229</v>
      </c>
      <c r="E3606" s="1"/>
    </row>
    <row r="3607" spans="1:5" ht="16">
      <c r="A3607" s="1" t="s">
        <v>3178</v>
      </c>
      <c r="B3607" s="1" t="s">
        <v>3396</v>
      </c>
      <c r="C3607" s="1" t="s">
        <v>334</v>
      </c>
      <c r="D3607" s="1" t="s">
        <v>229</v>
      </c>
      <c r="E3607" s="1"/>
    </row>
    <row r="3608" spans="1:5" ht="16">
      <c r="A3608" s="1" t="s">
        <v>3178</v>
      </c>
      <c r="B3608" s="1" t="s">
        <v>3397</v>
      </c>
      <c r="C3608" s="1" t="s">
        <v>332</v>
      </c>
      <c r="D3608" s="1" t="s">
        <v>229</v>
      </c>
      <c r="E3608" s="1"/>
    </row>
    <row r="3609" spans="1:5" ht="16">
      <c r="A3609" s="1" t="s">
        <v>3178</v>
      </c>
      <c r="B3609" s="1" t="s">
        <v>3398</v>
      </c>
      <c r="C3609" s="1" t="s">
        <v>332</v>
      </c>
      <c r="D3609" s="1" t="s">
        <v>229</v>
      </c>
      <c r="E3609" s="1"/>
    </row>
    <row r="3610" spans="1:5" ht="16">
      <c r="A3610" s="1" t="s">
        <v>3178</v>
      </c>
      <c r="B3610" s="1" t="s">
        <v>3399</v>
      </c>
      <c r="C3610" s="1" t="s">
        <v>332</v>
      </c>
      <c r="D3610" s="1" t="s">
        <v>229</v>
      </c>
      <c r="E3610" s="1"/>
    </row>
    <row r="3611" spans="1:5" ht="16">
      <c r="A3611" s="1" t="s">
        <v>3178</v>
      </c>
      <c r="B3611" s="1" t="s">
        <v>3400</v>
      </c>
      <c r="C3611" s="1" t="s">
        <v>332</v>
      </c>
      <c r="D3611" s="1" t="s">
        <v>229</v>
      </c>
      <c r="E3611" s="1"/>
    </row>
    <row r="3612" spans="1:5" ht="16">
      <c r="A3612" s="1" t="s">
        <v>3178</v>
      </c>
      <c r="B3612" s="1" t="s">
        <v>3401</v>
      </c>
      <c r="C3612" s="1" t="s">
        <v>332</v>
      </c>
      <c r="D3612" s="1" t="s">
        <v>229</v>
      </c>
      <c r="E3612" s="1"/>
    </row>
    <row r="3613" spans="1:5" ht="16">
      <c r="A3613" s="1" t="s">
        <v>3178</v>
      </c>
      <c r="B3613" s="1" t="s">
        <v>3402</v>
      </c>
      <c r="C3613" s="1" t="s">
        <v>332</v>
      </c>
      <c r="D3613" s="1" t="s">
        <v>229</v>
      </c>
      <c r="E3613" s="1"/>
    </row>
    <row r="3614" spans="1:5" ht="16">
      <c r="A3614" s="1" t="s">
        <v>3178</v>
      </c>
      <c r="B3614" s="1" t="s">
        <v>3403</v>
      </c>
      <c r="C3614" s="1" t="s">
        <v>332</v>
      </c>
      <c r="D3614" s="1" t="s">
        <v>229</v>
      </c>
      <c r="E3614" s="1"/>
    </row>
    <row r="3615" spans="1:5" ht="16">
      <c r="A3615" s="1" t="s">
        <v>3178</v>
      </c>
      <c r="B3615" s="1" t="s">
        <v>3404</v>
      </c>
      <c r="C3615" s="1" t="s">
        <v>332</v>
      </c>
      <c r="D3615" s="1" t="s">
        <v>229</v>
      </c>
      <c r="E3615" s="1"/>
    </row>
    <row r="3616" spans="1:5" ht="16">
      <c r="A3616" s="1" t="s">
        <v>3178</v>
      </c>
      <c r="B3616" s="1" t="s">
        <v>3405</v>
      </c>
      <c r="C3616" s="1" t="s">
        <v>332</v>
      </c>
      <c r="D3616" s="1" t="s">
        <v>229</v>
      </c>
      <c r="E3616" s="1"/>
    </row>
    <row r="3617" spans="1:5" ht="16">
      <c r="A3617" s="1" t="s">
        <v>3178</v>
      </c>
      <c r="B3617" s="1" t="s">
        <v>3406</v>
      </c>
      <c r="C3617" s="1" t="s">
        <v>332</v>
      </c>
      <c r="D3617" s="1" t="s">
        <v>229</v>
      </c>
      <c r="E3617" s="1"/>
    </row>
    <row r="3618" spans="1:5" ht="16">
      <c r="A3618" s="1" t="s">
        <v>3178</v>
      </c>
      <c r="B3618" s="1" t="s">
        <v>3407</v>
      </c>
      <c r="C3618" s="1" t="s">
        <v>1024</v>
      </c>
      <c r="D3618" s="1" t="s">
        <v>229</v>
      </c>
      <c r="E3618" s="1"/>
    </row>
    <row r="3619" spans="1:5" ht="16">
      <c r="A3619" s="1" t="s">
        <v>3178</v>
      </c>
      <c r="B3619" s="1" t="s">
        <v>3408</v>
      </c>
      <c r="C3619" s="1" t="s">
        <v>234</v>
      </c>
      <c r="D3619" s="1" t="s">
        <v>229</v>
      </c>
      <c r="E3619" s="1"/>
    </row>
    <row r="3620" spans="1:5" ht="16">
      <c r="A3620" s="1" t="s">
        <v>3178</v>
      </c>
      <c r="B3620" s="1" t="s">
        <v>3409</v>
      </c>
      <c r="C3620" s="1" t="s">
        <v>234</v>
      </c>
      <c r="D3620" s="1" t="s">
        <v>229</v>
      </c>
      <c r="E3620" s="1"/>
    </row>
    <row r="3621" spans="1:5" ht="16">
      <c r="A3621" s="1" t="s">
        <v>3178</v>
      </c>
      <c r="B3621" s="1" t="s">
        <v>3410</v>
      </c>
      <c r="C3621" s="1" t="s">
        <v>234</v>
      </c>
      <c r="D3621" s="1" t="s">
        <v>229</v>
      </c>
      <c r="E3621" s="1"/>
    </row>
    <row r="3622" spans="1:5" ht="16">
      <c r="A3622" s="1" t="s">
        <v>3178</v>
      </c>
      <c r="B3622" s="1" t="s">
        <v>3411</v>
      </c>
      <c r="C3622" s="1" t="s">
        <v>334</v>
      </c>
      <c r="D3622" s="1" t="s">
        <v>229</v>
      </c>
      <c r="E3622" s="1"/>
    </row>
    <row r="3623" spans="1:5" ht="16">
      <c r="A3623" s="1" t="s">
        <v>3178</v>
      </c>
      <c r="B3623" s="1" t="s">
        <v>3411</v>
      </c>
      <c r="C3623" s="1" t="s">
        <v>334</v>
      </c>
      <c r="D3623" s="1" t="s">
        <v>229</v>
      </c>
      <c r="E3623" s="1"/>
    </row>
    <row r="3624" spans="1:5" ht="16">
      <c r="A3624" s="1" t="s">
        <v>3178</v>
      </c>
      <c r="B3624" s="1" t="s">
        <v>3412</v>
      </c>
      <c r="C3624" s="1" t="s">
        <v>334</v>
      </c>
      <c r="D3624" s="1" t="s">
        <v>229</v>
      </c>
      <c r="E3624" s="1"/>
    </row>
    <row r="3625" spans="1:5" ht="16">
      <c r="A3625" s="1" t="s">
        <v>3178</v>
      </c>
      <c r="B3625" s="1" t="s">
        <v>3412</v>
      </c>
      <c r="C3625" s="1" t="s">
        <v>334</v>
      </c>
      <c r="D3625" s="1" t="s">
        <v>229</v>
      </c>
      <c r="E3625" s="1"/>
    </row>
    <row r="3626" spans="1:5" ht="16">
      <c r="A3626" s="1" t="s">
        <v>3178</v>
      </c>
      <c r="B3626" s="1" t="s">
        <v>3397</v>
      </c>
      <c r="C3626" s="1" t="s">
        <v>332</v>
      </c>
      <c r="D3626" s="1" t="s">
        <v>229</v>
      </c>
      <c r="E3626" s="1"/>
    </row>
    <row r="3627" spans="1:5" ht="16">
      <c r="A3627" s="1" t="s">
        <v>3178</v>
      </c>
      <c r="B3627" s="1" t="s">
        <v>3398</v>
      </c>
      <c r="C3627" s="1" t="s">
        <v>332</v>
      </c>
      <c r="D3627" s="1" t="s">
        <v>229</v>
      </c>
      <c r="E3627" s="1"/>
    </row>
    <row r="3628" spans="1:5" ht="16">
      <c r="A3628" s="1" t="s">
        <v>3178</v>
      </c>
      <c r="B3628" s="1" t="s">
        <v>3413</v>
      </c>
      <c r="C3628" s="1" t="s">
        <v>334</v>
      </c>
      <c r="D3628" s="1" t="s">
        <v>229</v>
      </c>
      <c r="E3628" s="1"/>
    </row>
    <row r="3629" spans="1:5" ht="16">
      <c r="A3629" s="1" t="s">
        <v>3178</v>
      </c>
      <c r="B3629" s="1" t="s">
        <v>3414</v>
      </c>
      <c r="C3629" s="1" t="s">
        <v>334</v>
      </c>
      <c r="D3629" s="1" t="s">
        <v>229</v>
      </c>
      <c r="E3629" s="1"/>
    </row>
    <row r="3630" spans="1:5" ht="16">
      <c r="A3630" s="1" t="s">
        <v>3178</v>
      </c>
      <c r="B3630" s="1" t="s">
        <v>3415</v>
      </c>
      <c r="C3630" s="1" t="s">
        <v>334</v>
      </c>
      <c r="D3630" s="1" t="s">
        <v>229</v>
      </c>
      <c r="E3630" s="1"/>
    </row>
    <row r="3631" spans="1:5" ht="16">
      <c r="A3631" s="1" t="s">
        <v>3178</v>
      </c>
      <c r="B3631" s="1" t="s">
        <v>3416</v>
      </c>
      <c r="C3631" s="1" t="s">
        <v>334</v>
      </c>
      <c r="D3631" s="1" t="s">
        <v>229</v>
      </c>
      <c r="E3631" s="1"/>
    </row>
    <row r="3632" spans="1:5" ht="16">
      <c r="A3632" s="1" t="s">
        <v>3178</v>
      </c>
      <c r="B3632" s="1" t="s">
        <v>3417</v>
      </c>
      <c r="C3632" s="1" t="s">
        <v>332</v>
      </c>
      <c r="D3632" s="1" t="s">
        <v>229</v>
      </c>
      <c r="E3632" s="1"/>
    </row>
    <row r="3633" spans="1:5" ht="16">
      <c r="A3633" s="1" t="s">
        <v>3178</v>
      </c>
      <c r="B3633" s="1" t="s">
        <v>3418</v>
      </c>
      <c r="C3633" s="1" t="s">
        <v>332</v>
      </c>
      <c r="D3633" s="1" t="s">
        <v>229</v>
      </c>
      <c r="E3633" s="1"/>
    </row>
    <row r="3634" spans="1:5" ht="16">
      <c r="A3634" s="1" t="s">
        <v>3178</v>
      </c>
      <c r="B3634" s="1" t="s">
        <v>3419</v>
      </c>
      <c r="C3634" s="1" t="s">
        <v>332</v>
      </c>
      <c r="D3634" s="1" t="s">
        <v>229</v>
      </c>
      <c r="E3634" s="1"/>
    </row>
    <row r="3635" spans="1:5" ht="16">
      <c r="A3635" s="1" t="s">
        <v>3178</v>
      </c>
      <c r="B3635" s="1" t="s">
        <v>3420</v>
      </c>
      <c r="C3635" s="1" t="s">
        <v>332</v>
      </c>
      <c r="D3635" s="1" t="s">
        <v>229</v>
      </c>
      <c r="E3635" s="1"/>
    </row>
    <row r="3636" spans="1:5" ht="16">
      <c r="A3636" s="1" t="s">
        <v>3178</v>
      </c>
      <c r="B3636" s="1" t="s">
        <v>3421</v>
      </c>
      <c r="C3636" s="1" t="s">
        <v>332</v>
      </c>
      <c r="D3636" s="1" t="s">
        <v>229</v>
      </c>
      <c r="E3636" s="1"/>
    </row>
    <row r="3637" spans="1:5" ht="16">
      <c r="A3637" s="1" t="s">
        <v>3178</v>
      </c>
      <c r="B3637" s="1" t="s">
        <v>3422</v>
      </c>
      <c r="C3637" s="1" t="s">
        <v>334</v>
      </c>
      <c r="D3637" s="1" t="s">
        <v>229</v>
      </c>
      <c r="E3637" s="1"/>
    </row>
    <row r="3638" spans="1:5" ht="16">
      <c r="A3638" s="1" t="s">
        <v>3178</v>
      </c>
      <c r="B3638" s="1" t="s">
        <v>3422</v>
      </c>
      <c r="C3638" s="1" t="s">
        <v>334</v>
      </c>
      <c r="D3638" s="1" t="s">
        <v>229</v>
      </c>
      <c r="E3638" s="1"/>
    </row>
    <row r="3639" spans="1:5" ht="16">
      <c r="A3639" s="1" t="s">
        <v>3178</v>
      </c>
      <c r="B3639" s="1" t="s">
        <v>3423</v>
      </c>
      <c r="C3639" s="1" t="s">
        <v>334</v>
      </c>
      <c r="D3639" s="1" t="s">
        <v>229</v>
      </c>
      <c r="E3639" s="1"/>
    </row>
    <row r="3640" spans="1:5" ht="16">
      <c r="A3640" s="1" t="s">
        <v>3178</v>
      </c>
      <c r="B3640" s="1" t="s">
        <v>3424</v>
      </c>
      <c r="C3640" s="1" t="s">
        <v>332</v>
      </c>
      <c r="D3640" s="1" t="s">
        <v>229</v>
      </c>
      <c r="E3640" s="1"/>
    </row>
    <row r="3641" spans="1:5" ht="16">
      <c r="A3641" s="1" t="s">
        <v>3178</v>
      </c>
      <c r="B3641" s="1" t="s">
        <v>3425</v>
      </c>
      <c r="C3641" s="1" t="s">
        <v>263</v>
      </c>
      <c r="D3641" s="1" t="s">
        <v>229</v>
      </c>
      <c r="E3641" s="1"/>
    </row>
    <row r="3642" spans="1:5" ht="16">
      <c r="A3642" s="1" t="s">
        <v>3178</v>
      </c>
      <c r="B3642" s="1" t="s">
        <v>3425</v>
      </c>
      <c r="C3642" s="1" t="s">
        <v>263</v>
      </c>
      <c r="D3642" s="1" t="s">
        <v>229</v>
      </c>
      <c r="E3642" s="1"/>
    </row>
    <row r="3643" spans="1:5" ht="16">
      <c r="A3643" s="1" t="s">
        <v>3178</v>
      </c>
      <c r="B3643" s="1" t="s">
        <v>3426</v>
      </c>
      <c r="C3643" s="1" t="s">
        <v>265</v>
      </c>
      <c r="D3643" s="1" t="s">
        <v>229</v>
      </c>
      <c r="E3643" s="1"/>
    </row>
    <row r="3644" spans="1:5" ht="16">
      <c r="A3644" s="1" t="s">
        <v>3178</v>
      </c>
      <c r="B3644" s="1" t="s">
        <v>3427</v>
      </c>
      <c r="C3644" s="1" t="s">
        <v>265</v>
      </c>
      <c r="D3644" s="1" t="s">
        <v>229</v>
      </c>
      <c r="E3644" s="1"/>
    </row>
    <row r="3645" spans="1:5" ht="16">
      <c r="A3645" s="1" t="s">
        <v>3178</v>
      </c>
      <c r="B3645" s="1" t="s">
        <v>3428</v>
      </c>
      <c r="C3645" s="1" t="s">
        <v>265</v>
      </c>
      <c r="D3645" s="1" t="s">
        <v>229</v>
      </c>
      <c r="E3645" s="1"/>
    </row>
    <row r="3646" spans="1:5" ht="16">
      <c r="A3646" s="1" t="s">
        <v>3178</v>
      </c>
      <c r="B3646" s="1" t="s">
        <v>3429</v>
      </c>
      <c r="C3646" s="1" t="s">
        <v>265</v>
      </c>
      <c r="D3646" s="1" t="s">
        <v>229</v>
      </c>
      <c r="E3646" s="1"/>
    </row>
    <row r="3647" spans="1:5" ht="16">
      <c r="A3647" s="1" t="s">
        <v>3178</v>
      </c>
      <c r="B3647" s="1" t="s">
        <v>3430</v>
      </c>
      <c r="C3647" s="1" t="s">
        <v>334</v>
      </c>
      <c r="D3647" s="1" t="s">
        <v>229</v>
      </c>
      <c r="E3647" s="1"/>
    </row>
    <row r="3648" spans="1:5" ht="16">
      <c r="A3648" s="1" t="s">
        <v>3178</v>
      </c>
      <c r="B3648" s="1" t="s">
        <v>3431</v>
      </c>
      <c r="C3648" s="1" t="s">
        <v>334</v>
      </c>
      <c r="D3648" s="1" t="s">
        <v>229</v>
      </c>
      <c r="E3648" s="1"/>
    </row>
    <row r="3649" spans="1:5" ht="16">
      <c r="A3649" s="1" t="s">
        <v>3178</v>
      </c>
      <c r="B3649" s="1" t="s">
        <v>3432</v>
      </c>
      <c r="C3649" s="1" t="s">
        <v>334</v>
      </c>
      <c r="D3649" s="1" t="s">
        <v>229</v>
      </c>
      <c r="E3649" s="1"/>
    </row>
    <row r="3650" spans="1:5" ht="16">
      <c r="A3650" s="1" t="s">
        <v>3178</v>
      </c>
      <c r="B3650" s="1" t="s">
        <v>3433</v>
      </c>
      <c r="C3650" s="1" t="s">
        <v>332</v>
      </c>
      <c r="D3650" s="1" t="s">
        <v>229</v>
      </c>
      <c r="E3650" s="1"/>
    </row>
    <row r="3651" spans="1:5" ht="16">
      <c r="A3651" s="1" t="s">
        <v>3178</v>
      </c>
      <c r="B3651" s="1" t="s">
        <v>3434</v>
      </c>
      <c r="C3651" s="1" t="s">
        <v>332</v>
      </c>
      <c r="D3651" s="1" t="s">
        <v>229</v>
      </c>
      <c r="E3651" s="1"/>
    </row>
    <row r="3652" spans="1:5" ht="16">
      <c r="A3652" s="1" t="s">
        <v>3178</v>
      </c>
      <c r="B3652" s="1" t="s">
        <v>3435</v>
      </c>
      <c r="C3652" s="1" t="s">
        <v>332</v>
      </c>
      <c r="D3652" s="1" t="s">
        <v>229</v>
      </c>
      <c r="E3652" s="1"/>
    </row>
    <row r="3653" spans="1:5" ht="16">
      <c r="A3653" s="1" t="s">
        <v>3178</v>
      </c>
      <c r="B3653" s="1" t="s">
        <v>3436</v>
      </c>
      <c r="C3653" s="1" t="s">
        <v>332</v>
      </c>
      <c r="D3653" s="1" t="s">
        <v>229</v>
      </c>
      <c r="E3653" s="1"/>
    </row>
    <row r="3654" spans="1:5" ht="16">
      <c r="A3654" s="1" t="s">
        <v>3178</v>
      </c>
      <c r="B3654" s="1" t="s">
        <v>3437</v>
      </c>
      <c r="C3654" s="1" t="s">
        <v>332</v>
      </c>
      <c r="D3654" s="1" t="s">
        <v>229</v>
      </c>
      <c r="E3654" s="1"/>
    </row>
    <row r="3655" spans="1:5" ht="16">
      <c r="A3655" s="1" t="s">
        <v>3178</v>
      </c>
      <c r="B3655" s="1" t="s">
        <v>3438</v>
      </c>
      <c r="C3655" s="1" t="s">
        <v>332</v>
      </c>
      <c r="D3655" s="1" t="s">
        <v>229</v>
      </c>
      <c r="E3655" s="1"/>
    </row>
    <row r="3656" spans="1:5" ht="16">
      <c r="A3656" s="1" t="s">
        <v>3178</v>
      </c>
      <c r="B3656" s="1" t="s">
        <v>3439</v>
      </c>
      <c r="C3656" s="1" t="s">
        <v>332</v>
      </c>
      <c r="D3656" s="1" t="s">
        <v>229</v>
      </c>
      <c r="E3656" s="1"/>
    </row>
    <row r="3657" spans="1:5" ht="16">
      <c r="A3657" s="1" t="s">
        <v>3178</v>
      </c>
      <c r="B3657" s="1" t="s">
        <v>3440</v>
      </c>
      <c r="C3657" s="1" t="s">
        <v>334</v>
      </c>
      <c r="D3657" s="1" t="s">
        <v>229</v>
      </c>
      <c r="E3657" s="1"/>
    </row>
    <row r="3658" spans="1:5" ht="16">
      <c r="A3658" s="1" t="s">
        <v>3178</v>
      </c>
      <c r="B3658" s="1" t="s">
        <v>3441</v>
      </c>
      <c r="C3658" s="1" t="s">
        <v>334</v>
      </c>
      <c r="D3658" s="1" t="s">
        <v>229</v>
      </c>
      <c r="E3658" s="1"/>
    </row>
    <row r="3659" spans="1:5" ht="16">
      <c r="A3659" s="1" t="s">
        <v>3178</v>
      </c>
      <c r="B3659" s="1" t="s">
        <v>3442</v>
      </c>
      <c r="C3659" s="1" t="s">
        <v>334</v>
      </c>
      <c r="D3659" s="1" t="s">
        <v>229</v>
      </c>
      <c r="E3659" s="1"/>
    </row>
    <row r="3660" spans="1:5" ht="16">
      <c r="A3660" s="1" t="s">
        <v>3178</v>
      </c>
      <c r="B3660" s="1" t="s">
        <v>3442</v>
      </c>
      <c r="C3660" s="1" t="s">
        <v>334</v>
      </c>
      <c r="D3660" s="1" t="s">
        <v>229</v>
      </c>
      <c r="E3660" s="1"/>
    </row>
    <row r="3661" spans="1:5" ht="16">
      <c r="A3661" s="1" t="s">
        <v>3178</v>
      </c>
      <c r="B3661" s="1" t="s">
        <v>3443</v>
      </c>
      <c r="C3661" s="1" t="s">
        <v>334</v>
      </c>
      <c r="D3661" s="1" t="s">
        <v>229</v>
      </c>
      <c r="E3661" s="1"/>
    </row>
    <row r="3662" spans="1:5" ht="16">
      <c r="A3662" s="1" t="s">
        <v>3178</v>
      </c>
      <c r="B3662" s="1" t="s">
        <v>3444</v>
      </c>
      <c r="C3662" s="1" t="s">
        <v>265</v>
      </c>
      <c r="D3662" s="1" t="s">
        <v>229</v>
      </c>
      <c r="E3662" s="1"/>
    </row>
    <row r="3663" spans="1:5" ht="16">
      <c r="A3663" s="1" t="s">
        <v>3178</v>
      </c>
      <c r="B3663" s="1" t="s">
        <v>3445</v>
      </c>
      <c r="C3663" s="1" t="s">
        <v>334</v>
      </c>
      <c r="D3663" s="1" t="s">
        <v>229</v>
      </c>
      <c r="E3663" s="1"/>
    </row>
    <row r="3664" spans="1:5" ht="16">
      <c r="A3664" s="1" t="s">
        <v>3178</v>
      </c>
      <c r="B3664" s="1" t="s">
        <v>3446</v>
      </c>
      <c r="C3664" s="1" t="s">
        <v>334</v>
      </c>
      <c r="D3664" s="1" t="s">
        <v>229</v>
      </c>
      <c r="E3664" s="1"/>
    </row>
    <row r="3665" spans="1:5" ht="16">
      <c r="A3665" s="1" t="s">
        <v>3178</v>
      </c>
      <c r="B3665" s="1" t="s">
        <v>3447</v>
      </c>
      <c r="C3665" s="1" t="s">
        <v>334</v>
      </c>
      <c r="D3665" s="1" t="s">
        <v>229</v>
      </c>
      <c r="E3665" s="1"/>
    </row>
    <row r="3666" spans="1:5" ht="16">
      <c r="A3666" s="1" t="s">
        <v>3178</v>
      </c>
      <c r="B3666" s="1" t="s">
        <v>3448</v>
      </c>
      <c r="C3666" s="1" t="s">
        <v>334</v>
      </c>
      <c r="D3666" s="1" t="s">
        <v>229</v>
      </c>
      <c r="E3666" s="1"/>
    </row>
    <row r="3667" spans="1:5" ht="16">
      <c r="A3667" s="1" t="s">
        <v>3178</v>
      </c>
      <c r="B3667" s="1" t="s">
        <v>3448</v>
      </c>
      <c r="C3667" s="1" t="s">
        <v>334</v>
      </c>
      <c r="D3667" s="1" t="s">
        <v>229</v>
      </c>
      <c r="E3667" s="1"/>
    </row>
    <row r="3668" spans="1:5" ht="16">
      <c r="A3668" s="1" t="s">
        <v>3178</v>
      </c>
      <c r="B3668" s="1" t="s">
        <v>3449</v>
      </c>
      <c r="C3668" s="1" t="s">
        <v>334</v>
      </c>
      <c r="D3668" s="1" t="s">
        <v>229</v>
      </c>
      <c r="E3668" s="1"/>
    </row>
    <row r="3669" spans="1:5" ht="16">
      <c r="A3669" s="1" t="s">
        <v>3178</v>
      </c>
      <c r="B3669" s="1" t="s">
        <v>3450</v>
      </c>
      <c r="C3669" s="1" t="s">
        <v>334</v>
      </c>
      <c r="D3669" s="1" t="s">
        <v>229</v>
      </c>
      <c r="E3669" s="1"/>
    </row>
    <row r="3670" spans="1:5" ht="16">
      <c r="A3670" s="1" t="s">
        <v>3178</v>
      </c>
      <c r="B3670" s="1" t="s">
        <v>3448</v>
      </c>
      <c r="C3670" s="1" t="s">
        <v>334</v>
      </c>
      <c r="D3670" s="1" t="s">
        <v>229</v>
      </c>
      <c r="E3670" s="1"/>
    </row>
    <row r="3671" spans="1:5" ht="16">
      <c r="A3671" s="1" t="s">
        <v>3178</v>
      </c>
      <c r="B3671" s="1" t="s">
        <v>3448</v>
      </c>
      <c r="C3671" s="1" t="s">
        <v>334</v>
      </c>
      <c r="D3671" s="1" t="s">
        <v>229</v>
      </c>
      <c r="E3671" s="1"/>
    </row>
    <row r="3672" spans="1:5" ht="16">
      <c r="A3672" s="1" t="s">
        <v>3178</v>
      </c>
      <c r="B3672" s="1" t="s">
        <v>3407</v>
      </c>
      <c r="C3672" s="1" t="s">
        <v>1024</v>
      </c>
      <c r="D3672" s="1" t="s">
        <v>229</v>
      </c>
      <c r="E3672" s="1"/>
    </row>
    <row r="3673" spans="1:5" ht="16">
      <c r="A3673" s="1" t="s">
        <v>3178</v>
      </c>
      <c r="B3673" s="1" t="s">
        <v>3451</v>
      </c>
      <c r="C3673" s="1" t="s">
        <v>234</v>
      </c>
      <c r="D3673" s="1" t="s">
        <v>229</v>
      </c>
      <c r="E3673" s="1"/>
    </row>
    <row r="3674" spans="1:5" ht="16">
      <c r="A3674" s="1" t="s">
        <v>3178</v>
      </c>
      <c r="B3674" s="1" t="s">
        <v>3452</v>
      </c>
      <c r="C3674" s="1" t="s">
        <v>332</v>
      </c>
      <c r="D3674" s="1" t="s">
        <v>229</v>
      </c>
      <c r="E3674" s="1"/>
    </row>
    <row r="3675" spans="1:5" ht="16">
      <c r="A3675" s="1" t="s">
        <v>3178</v>
      </c>
      <c r="B3675" s="1" t="s">
        <v>3453</v>
      </c>
      <c r="C3675" s="1" t="s">
        <v>332</v>
      </c>
      <c r="D3675" s="1" t="s">
        <v>229</v>
      </c>
      <c r="E3675" s="1"/>
    </row>
    <row r="3676" spans="1:5" ht="16">
      <c r="A3676" s="1" t="s">
        <v>3178</v>
      </c>
      <c r="B3676" s="1" t="s">
        <v>3454</v>
      </c>
      <c r="C3676" s="1" t="s">
        <v>332</v>
      </c>
      <c r="D3676" s="1" t="s">
        <v>229</v>
      </c>
      <c r="E3676" s="1"/>
    </row>
    <row r="3677" spans="1:5" ht="16">
      <c r="A3677" s="1" t="s">
        <v>3178</v>
      </c>
      <c r="B3677" s="1" t="s">
        <v>3455</v>
      </c>
      <c r="C3677" s="1" t="s">
        <v>332</v>
      </c>
      <c r="D3677" s="1" t="s">
        <v>229</v>
      </c>
      <c r="E3677" s="1"/>
    </row>
    <row r="3678" spans="1:5" ht="16">
      <c r="A3678" s="1" t="s">
        <v>3178</v>
      </c>
      <c r="B3678" s="1" t="s">
        <v>3456</v>
      </c>
      <c r="C3678" s="1" t="s">
        <v>332</v>
      </c>
      <c r="D3678" s="1" t="s">
        <v>229</v>
      </c>
      <c r="E3678" s="1"/>
    </row>
    <row r="3679" spans="1:5" ht="16">
      <c r="A3679" s="1" t="s">
        <v>3178</v>
      </c>
      <c r="B3679" s="1" t="s">
        <v>3457</v>
      </c>
      <c r="C3679" s="1" t="s">
        <v>332</v>
      </c>
      <c r="D3679" s="1" t="s">
        <v>229</v>
      </c>
      <c r="E3679" s="1"/>
    </row>
    <row r="3680" spans="1:5" ht="16">
      <c r="A3680" s="1" t="s">
        <v>3178</v>
      </c>
      <c r="B3680" s="1" t="s">
        <v>3458</v>
      </c>
      <c r="C3680" s="1" t="s">
        <v>334</v>
      </c>
      <c r="D3680" s="1" t="s">
        <v>229</v>
      </c>
      <c r="E3680" s="1"/>
    </row>
    <row r="3681" spans="1:5" ht="16">
      <c r="A3681" s="1" t="s">
        <v>3178</v>
      </c>
      <c r="B3681" s="1" t="s">
        <v>3459</v>
      </c>
      <c r="C3681" s="1" t="s">
        <v>334</v>
      </c>
      <c r="D3681" s="1" t="s">
        <v>229</v>
      </c>
      <c r="E3681" s="1"/>
    </row>
    <row r="3682" spans="1:5" ht="16">
      <c r="A3682" s="1" t="s">
        <v>3178</v>
      </c>
      <c r="B3682" s="1" t="s">
        <v>3460</v>
      </c>
      <c r="C3682" s="1" t="s">
        <v>334</v>
      </c>
      <c r="D3682" s="1" t="s">
        <v>229</v>
      </c>
      <c r="E3682" s="1"/>
    </row>
    <row r="3683" spans="1:5" ht="16">
      <c r="A3683" s="1" t="s">
        <v>3178</v>
      </c>
      <c r="B3683" s="1" t="s">
        <v>3461</v>
      </c>
      <c r="C3683" s="1" t="s">
        <v>334</v>
      </c>
      <c r="D3683" s="1" t="s">
        <v>229</v>
      </c>
      <c r="E3683" s="1"/>
    </row>
    <row r="3684" spans="1:5" ht="16">
      <c r="A3684" s="1" t="s">
        <v>3178</v>
      </c>
      <c r="B3684" s="1" t="s">
        <v>3462</v>
      </c>
      <c r="C3684" s="1" t="s">
        <v>334</v>
      </c>
      <c r="D3684" s="1" t="s">
        <v>229</v>
      </c>
      <c r="E3684" s="1"/>
    </row>
    <row r="3685" spans="1:5" ht="16">
      <c r="A3685" s="1" t="s">
        <v>3178</v>
      </c>
      <c r="B3685" s="1" t="s">
        <v>3463</v>
      </c>
      <c r="C3685" s="1" t="s">
        <v>334</v>
      </c>
      <c r="D3685" s="1" t="s">
        <v>229</v>
      </c>
      <c r="E3685" s="1"/>
    </row>
    <row r="3686" spans="1:5" ht="16">
      <c r="A3686" s="1" t="s">
        <v>3178</v>
      </c>
      <c r="B3686" s="1" t="s">
        <v>3463</v>
      </c>
      <c r="C3686" s="1" t="s">
        <v>334</v>
      </c>
      <c r="D3686" s="1" t="s">
        <v>229</v>
      </c>
      <c r="E3686" s="1"/>
    </row>
    <row r="3687" spans="1:5" ht="16">
      <c r="A3687" s="1" t="s">
        <v>3178</v>
      </c>
      <c r="B3687" s="1" t="s">
        <v>3464</v>
      </c>
      <c r="C3687" s="1" t="s">
        <v>334</v>
      </c>
      <c r="D3687" s="1" t="s">
        <v>229</v>
      </c>
      <c r="E3687" s="1"/>
    </row>
    <row r="3688" spans="1:5" ht="16">
      <c r="A3688" s="1" t="s">
        <v>3178</v>
      </c>
      <c r="B3688" s="1" t="s">
        <v>3464</v>
      </c>
      <c r="C3688" s="1" t="s">
        <v>334</v>
      </c>
      <c r="D3688" s="1" t="s">
        <v>229</v>
      </c>
      <c r="E3688" s="1"/>
    </row>
    <row r="3689" spans="1:5" ht="16">
      <c r="A3689" s="1" t="s">
        <v>3178</v>
      </c>
      <c r="B3689" s="1" t="s">
        <v>3465</v>
      </c>
      <c r="C3689" s="1" t="s">
        <v>332</v>
      </c>
      <c r="D3689" s="1" t="s">
        <v>229</v>
      </c>
      <c r="E3689" s="1"/>
    </row>
    <row r="3690" spans="1:5" ht="16">
      <c r="A3690" s="1" t="s">
        <v>3178</v>
      </c>
      <c r="B3690" s="1" t="s">
        <v>3466</v>
      </c>
      <c r="C3690" s="1" t="s">
        <v>332</v>
      </c>
      <c r="D3690" s="1" t="s">
        <v>229</v>
      </c>
      <c r="E3690" s="1"/>
    </row>
    <row r="3691" spans="1:5" ht="16">
      <c r="A3691" s="1" t="s">
        <v>3178</v>
      </c>
      <c r="B3691" s="1" t="s">
        <v>3467</v>
      </c>
      <c r="C3691" s="1" t="s">
        <v>332</v>
      </c>
      <c r="D3691" s="1" t="s">
        <v>229</v>
      </c>
      <c r="E3691" s="1"/>
    </row>
    <row r="3692" spans="1:5" ht="16">
      <c r="A3692" s="1" t="s">
        <v>3178</v>
      </c>
      <c r="B3692" s="1" t="s">
        <v>3468</v>
      </c>
      <c r="C3692" s="1" t="s">
        <v>332</v>
      </c>
      <c r="D3692" s="1" t="s">
        <v>229</v>
      </c>
      <c r="E3692" s="1"/>
    </row>
    <row r="3693" spans="1:5" ht="16">
      <c r="A3693" s="1" t="s">
        <v>3178</v>
      </c>
      <c r="B3693" s="1" t="s">
        <v>3469</v>
      </c>
      <c r="C3693" s="1" t="s">
        <v>334</v>
      </c>
      <c r="D3693" s="1" t="s">
        <v>229</v>
      </c>
      <c r="E3693" s="1"/>
    </row>
    <row r="3694" spans="1:5" ht="16">
      <c r="A3694" s="1" t="s">
        <v>3178</v>
      </c>
      <c r="B3694" s="1" t="s">
        <v>3469</v>
      </c>
      <c r="C3694" s="1" t="s">
        <v>334</v>
      </c>
      <c r="D3694" s="1" t="s">
        <v>229</v>
      </c>
      <c r="E3694" s="1"/>
    </row>
    <row r="3695" spans="1:5" ht="16">
      <c r="A3695" s="1" t="s">
        <v>3178</v>
      </c>
      <c r="B3695" s="1" t="s">
        <v>3470</v>
      </c>
      <c r="C3695" s="1" t="s">
        <v>334</v>
      </c>
      <c r="D3695" s="1" t="s">
        <v>229</v>
      </c>
      <c r="E3695" s="1"/>
    </row>
    <row r="3696" spans="1:5" ht="16">
      <c r="A3696" s="1" t="s">
        <v>3178</v>
      </c>
      <c r="B3696" s="1" t="s">
        <v>3470</v>
      </c>
      <c r="C3696" s="1" t="s">
        <v>334</v>
      </c>
      <c r="D3696" s="1" t="s">
        <v>229</v>
      </c>
      <c r="E3696" s="1"/>
    </row>
    <row r="3697" spans="1:5" ht="16">
      <c r="A3697" s="1" t="s">
        <v>3178</v>
      </c>
      <c r="B3697" s="1" t="s">
        <v>3435</v>
      </c>
      <c r="C3697" s="1" t="s">
        <v>332</v>
      </c>
      <c r="D3697" s="1" t="s">
        <v>229</v>
      </c>
      <c r="E3697" s="1"/>
    </row>
    <row r="3698" spans="1:5" ht="16">
      <c r="A3698" s="1" t="s">
        <v>3178</v>
      </c>
      <c r="B3698" s="1" t="s">
        <v>3436</v>
      </c>
      <c r="C3698" s="1" t="s">
        <v>332</v>
      </c>
      <c r="D3698" s="1" t="s">
        <v>229</v>
      </c>
      <c r="E3698" s="1"/>
    </row>
    <row r="3699" spans="1:5" ht="16">
      <c r="A3699" s="1" t="s">
        <v>3178</v>
      </c>
      <c r="B3699" s="1" t="s">
        <v>3471</v>
      </c>
      <c r="C3699" s="1" t="s">
        <v>265</v>
      </c>
      <c r="D3699" s="1" t="s">
        <v>229</v>
      </c>
      <c r="E3699" s="1"/>
    </row>
    <row r="3700" spans="1:5" ht="16">
      <c r="A3700" s="1" t="s">
        <v>3178</v>
      </c>
      <c r="B3700" s="1" t="s">
        <v>3472</v>
      </c>
      <c r="C3700" s="1" t="s">
        <v>265</v>
      </c>
      <c r="D3700" s="1" t="s">
        <v>229</v>
      </c>
      <c r="E3700" s="1"/>
    </row>
    <row r="3701" spans="1:5" ht="16">
      <c r="A3701" s="1" t="s">
        <v>3178</v>
      </c>
      <c r="B3701" s="1" t="s">
        <v>3473</v>
      </c>
      <c r="C3701" s="1" t="s">
        <v>332</v>
      </c>
      <c r="D3701" s="1" t="s">
        <v>229</v>
      </c>
      <c r="E3701" s="1"/>
    </row>
    <row r="3702" spans="1:5" ht="16">
      <c r="A3702" s="1" t="s">
        <v>3178</v>
      </c>
      <c r="B3702" s="1" t="s">
        <v>3474</v>
      </c>
      <c r="C3702" s="1" t="s">
        <v>332</v>
      </c>
      <c r="D3702" s="1" t="s">
        <v>229</v>
      </c>
      <c r="E3702" s="1"/>
    </row>
    <row r="3703" spans="1:5" ht="16">
      <c r="A3703" s="1" t="s">
        <v>3178</v>
      </c>
      <c r="B3703" s="1" t="s">
        <v>3475</v>
      </c>
      <c r="C3703" s="1" t="s">
        <v>334</v>
      </c>
      <c r="D3703" s="1" t="s">
        <v>229</v>
      </c>
      <c r="E3703" s="1"/>
    </row>
    <row r="3704" spans="1:5" ht="16">
      <c r="A3704" s="1" t="s">
        <v>3178</v>
      </c>
      <c r="B3704" s="1" t="s">
        <v>3476</v>
      </c>
      <c r="C3704" s="1" t="s">
        <v>334</v>
      </c>
      <c r="D3704" s="1" t="s">
        <v>229</v>
      </c>
      <c r="E3704" s="1"/>
    </row>
    <row r="3705" spans="1:5" ht="16">
      <c r="A3705" s="1" t="s">
        <v>3178</v>
      </c>
      <c r="B3705" s="1" t="s">
        <v>3477</v>
      </c>
      <c r="C3705" s="1" t="s">
        <v>334</v>
      </c>
      <c r="D3705" s="1" t="s">
        <v>229</v>
      </c>
      <c r="E3705" s="1"/>
    </row>
    <row r="3706" spans="1:5" ht="16">
      <c r="A3706" s="1" t="s">
        <v>3178</v>
      </c>
      <c r="B3706" s="1" t="s">
        <v>3478</v>
      </c>
      <c r="C3706" s="1" t="s">
        <v>332</v>
      </c>
      <c r="D3706" s="1" t="s">
        <v>229</v>
      </c>
      <c r="E3706" s="1"/>
    </row>
    <row r="3707" spans="1:5" ht="16">
      <c r="A3707" s="1" t="s">
        <v>3178</v>
      </c>
      <c r="B3707" s="1" t="s">
        <v>3479</v>
      </c>
      <c r="C3707" s="1" t="s">
        <v>332</v>
      </c>
      <c r="D3707" s="1" t="s">
        <v>229</v>
      </c>
      <c r="E3707" s="1"/>
    </row>
    <row r="3708" spans="1:5" ht="16">
      <c r="A3708" s="1" t="s">
        <v>3178</v>
      </c>
      <c r="B3708" s="1" t="s">
        <v>3480</v>
      </c>
      <c r="C3708" s="1" t="s">
        <v>332</v>
      </c>
      <c r="D3708" s="1" t="s">
        <v>229</v>
      </c>
      <c r="E3708" s="1"/>
    </row>
    <row r="3709" spans="1:5" ht="16">
      <c r="A3709" s="1" t="s">
        <v>3178</v>
      </c>
      <c r="B3709" s="1" t="s">
        <v>3481</v>
      </c>
      <c r="C3709" s="1" t="s">
        <v>332</v>
      </c>
      <c r="D3709" s="1" t="s">
        <v>229</v>
      </c>
      <c r="E3709" s="1"/>
    </row>
    <row r="3710" spans="1:5" ht="16">
      <c r="A3710" s="1" t="s">
        <v>3178</v>
      </c>
      <c r="B3710" s="1" t="s">
        <v>3482</v>
      </c>
      <c r="C3710" s="1" t="s">
        <v>307</v>
      </c>
      <c r="D3710" s="1" t="s">
        <v>229</v>
      </c>
      <c r="E3710" s="1"/>
    </row>
    <row r="3711" spans="1:5" ht="16">
      <c r="A3711" s="1" t="s">
        <v>3178</v>
      </c>
      <c r="B3711" s="1" t="s">
        <v>3483</v>
      </c>
      <c r="C3711" s="1" t="s">
        <v>332</v>
      </c>
      <c r="D3711" s="1" t="s">
        <v>229</v>
      </c>
      <c r="E3711" s="1"/>
    </row>
    <row r="3712" spans="1:5" ht="16">
      <c r="A3712" s="1" t="s">
        <v>3178</v>
      </c>
      <c r="B3712" s="1" t="s">
        <v>3484</v>
      </c>
      <c r="C3712" s="1" t="s">
        <v>332</v>
      </c>
      <c r="D3712" s="1" t="s">
        <v>229</v>
      </c>
      <c r="E3712" s="1"/>
    </row>
    <row r="3713" spans="1:5" ht="16">
      <c r="A3713" s="1" t="s">
        <v>3178</v>
      </c>
      <c r="B3713" s="1" t="s">
        <v>3485</v>
      </c>
      <c r="C3713" s="1" t="s">
        <v>332</v>
      </c>
      <c r="D3713" s="1" t="s">
        <v>229</v>
      </c>
      <c r="E3713" s="1"/>
    </row>
    <row r="3714" spans="1:5" ht="16">
      <c r="A3714" s="1" t="s">
        <v>3178</v>
      </c>
      <c r="B3714" s="1" t="s">
        <v>3486</v>
      </c>
      <c r="C3714" s="1" t="s">
        <v>332</v>
      </c>
      <c r="D3714" s="1" t="s">
        <v>229</v>
      </c>
      <c r="E3714" s="1"/>
    </row>
    <row r="3715" spans="1:5" ht="16">
      <c r="A3715" s="1" t="s">
        <v>3178</v>
      </c>
      <c r="B3715" s="1" t="s">
        <v>3487</v>
      </c>
      <c r="C3715" s="1" t="s">
        <v>265</v>
      </c>
      <c r="D3715" s="1" t="s">
        <v>229</v>
      </c>
      <c r="E3715" s="1"/>
    </row>
    <row r="3716" spans="1:5" ht="16">
      <c r="A3716" s="1" t="s">
        <v>3178</v>
      </c>
      <c r="B3716" s="1" t="s">
        <v>3488</v>
      </c>
      <c r="C3716" s="1" t="s">
        <v>265</v>
      </c>
      <c r="D3716" s="1" t="s">
        <v>229</v>
      </c>
      <c r="E3716" s="1"/>
    </row>
    <row r="3717" spans="1:5" ht="16">
      <c r="A3717" s="1" t="s">
        <v>3178</v>
      </c>
      <c r="B3717" s="1" t="s">
        <v>3489</v>
      </c>
      <c r="C3717" s="1" t="s">
        <v>334</v>
      </c>
      <c r="D3717" s="1" t="s">
        <v>229</v>
      </c>
      <c r="E3717" s="1"/>
    </row>
    <row r="3718" spans="1:5" ht="16">
      <c r="A3718" s="1" t="s">
        <v>3178</v>
      </c>
      <c r="B3718" s="1" t="s">
        <v>3490</v>
      </c>
      <c r="C3718" s="1" t="s">
        <v>334</v>
      </c>
      <c r="D3718" s="1" t="s">
        <v>229</v>
      </c>
      <c r="E3718" s="1"/>
    </row>
    <row r="3719" spans="1:5" ht="16">
      <c r="A3719" s="1" t="s">
        <v>3178</v>
      </c>
      <c r="B3719" s="1" t="s">
        <v>3491</v>
      </c>
      <c r="C3719" s="1" t="s">
        <v>334</v>
      </c>
      <c r="D3719" s="1" t="s">
        <v>229</v>
      </c>
      <c r="E3719" s="1"/>
    </row>
    <row r="3720" spans="1:5" ht="16">
      <c r="A3720" s="1" t="s">
        <v>3178</v>
      </c>
      <c r="B3720" s="1" t="s">
        <v>3492</v>
      </c>
      <c r="C3720" s="1" t="s">
        <v>334</v>
      </c>
      <c r="D3720" s="1" t="s">
        <v>229</v>
      </c>
      <c r="E3720" s="1"/>
    </row>
    <row r="3721" spans="1:5" ht="16">
      <c r="A3721" s="1" t="s">
        <v>3178</v>
      </c>
      <c r="B3721" s="1" t="s">
        <v>3493</v>
      </c>
      <c r="C3721" s="1" t="s">
        <v>334</v>
      </c>
      <c r="D3721" s="1" t="s">
        <v>229</v>
      </c>
      <c r="E3721" s="1"/>
    </row>
    <row r="3722" spans="1:5" ht="16">
      <c r="A3722" s="1" t="s">
        <v>3178</v>
      </c>
      <c r="B3722" s="1" t="s">
        <v>3494</v>
      </c>
      <c r="C3722" s="1" t="s">
        <v>334</v>
      </c>
      <c r="D3722" s="1" t="s">
        <v>229</v>
      </c>
      <c r="E3722" s="1"/>
    </row>
    <row r="3723" spans="1:5" ht="16">
      <c r="A3723" s="1" t="s">
        <v>3178</v>
      </c>
      <c r="B3723" s="1" t="s">
        <v>3495</v>
      </c>
      <c r="C3723" s="1" t="s">
        <v>334</v>
      </c>
      <c r="D3723" s="1" t="s">
        <v>229</v>
      </c>
      <c r="E3723" s="1"/>
    </row>
    <row r="3724" spans="1:5" ht="16">
      <c r="A3724" s="1" t="s">
        <v>3178</v>
      </c>
      <c r="B3724" s="1" t="s">
        <v>3496</v>
      </c>
      <c r="C3724" s="1" t="s">
        <v>334</v>
      </c>
      <c r="D3724" s="1" t="s">
        <v>229</v>
      </c>
      <c r="E3724" s="1"/>
    </row>
    <row r="3725" spans="1:5" ht="16">
      <c r="A3725" s="1" t="s">
        <v>3178</v>
      </c>
      <c r="B3725" s="1" t="s">
        <v>3497</v>
      </c>
      <c r="C3725" s="1" t="s">
        <v>334</v>
      </c>
      <c r="D3725" s="1" t="s">
        <v>229</v>
      </c>
      <c r="E3725" s="1"/>
    </row>
    <row r="3726" spans="1:5" ht="16">
      <c r="A3726" s="1" t="s">
        <v>3178</v>
      </c>
      <c r="B3726" s="1" t="s">
        <v>3498</v>
      </c>
      <c r="C3726" s="1" t="s">
        <v>334</v>
      </c>
      <c r="D3726" s="1" t="s">
        <v>229</v>
      </c>
      <c r="E3726" s="1"/>
    </row>
    <row r="3727" spans="1:5" ht="16">
      <c r="A3727" s="1" t="s">
        <v>3178</v>
      </c>
      <c r="B3727" s="1" t="s">
        <v>3499</v>
      </c>
      <c r="C3727" s="1" t="s">
        <v>334</v>
      </c>
      <c r="D3727" s="1" t="s">
        <v>229</v>
      </c>
      <c r="E3727" s="1"/>
    </row>
    <row r="3728" spans="1:5" ht="16">
      <c r="A3728" s="1" t="s">
        <v>3178</v>
      </c>
      <c r="B3728" s="1" t="s">
        <v>3500</v>
      </c>
      <c r="C3728" s="1" t="s">
        <v>332</v>
      </c>
      <c r="D3728" s="1" t="s">
        <v>229</v>
      </c>
      <c r="E3728" s="1"/>
    </row>
    <row r="3729" spans="1:5" ht="16">
      <c r="A3729" s="1" t="s">
        <v>3178</v>
      </c>
      <c r="B3729" s="1" t="s">
        <v>3501</v>
      </c>
      <c r="C3729" s="1" t="s">
        <v>332</v>
      </c>
      <c r="D3729" s="1" t="s">
        <v>229</v>
      </c>
      <c r="E3729" s="1"/>
    </row>
    <row r="3730" spans="1:5" ht="16">
      <c r="A3730" s="1" t="s">
        <v>3178</v>
      </c>
      <c r="B3730" s="1" t="s">
        <v>3502</v>
      </c>
      <c r="C3730" s="1" t="s">
        <v>332</v>
      </c>
      <c r="D3730" s="1" t="s">
        <v>229</v>
      </c>
      <c r="E3730" s="1"/>
    </row>
    <row r="3731" spans="1:5" ht="16">
      <c r="A3731" s="1" t="s">
        <v>3178</v>
      </c>
      <c r="B3731" s="1" t="s">
        <v>3503</v>
      </c>
      <c r="C3731" s="1" t="s">
        <v>332</v>
      </c>
      <c r="D3731" s="1" t="s">
        <v>229</v>
      </c>
      <c r="E3731" s="1"/>
    </row>
    <row r="3732" spans="1:5" ht="16">
      <c r="A3732" s="1" t="s">
        <v>3178</v>
      </c>
      <c r="B3732" s="1" t="s">
        <v>3504</v>
      </c>
      <c r="C3732" s="1" t="s">
        <v>332</v>
      </c>
      <c r="D3732" s="1" t="s">
        <v>229</v>
      </c>
      <c r="E3732" s="1"/>
    </row>
    <row r="3733" spans="1:5" ht="16">
      <c r="A3733" s="1" t="s">
        <v>3178</v>
      </c>
      <c r="B3733" s="1" t="s">
        <v>3505</v>
      </c>
      <c r="C3733" s="1" t="s">
        <v>332</v>
      </c>
      <c r="D3733" s="1" t="s">
        <v>229</v>
      </c>
      <c r="E3733" s="1"/>
    </row>
    <row r="3734" spans="1:5" ht="16">
      <c r="A3734" s="1" t="s">
        <v>3178</v>
      </c>
      <c r="B3734" s="1" t="s">
        <v>3506</v>
      </c>
      <c r="C3734" s="1" t="s">
        <v>332</v>
      </c>
      <c r="D3734" s="1" t="s">
        <v>229</v>
      </c>
      <c r="E3734" s="1"/>
    </row>
    <row r="3735" spans="1:5" ht="16">
      <c r="A3735" s="1" t="s">
        <v>3178</v>
      </c>
      <c r="B3735" s="1" t="s">
        <v>3507</v>
      </c>
      <c r="C3735" s="1" t="s">
        <v>332</v>
      </c>
      <c r="D3735" s="1" t="s">
        <v>229</v>
      </c>
      <c r="E3735" s="1"/>
    </row>
    <row r="3736" spans="1:5" ht="16">
      <c r="A3736" s="1" t="s">
        <v>3178</v>
      </c>
      <c r="B3736" s="1" t="s">
        <v>3508</v>
      </c>
      <c r="C3736" s="1" t="s">
        <v>332</v>
      </c>
      <c r="D3736" s="1" t="s">
        <v>229</v>
      </c>
      <c r="E3736" s="1"/>
    </row>
    <row r="3737" spans="1:5" ht="16">
      <c r="A3737" s="1" t="s">
        <v>3178</v>
      </c>
      <c r="B3737" s="1" t="s">
        <v>3509</v>
      </c>
      <c r="C3737" s="1" t="s">
        <v>332</v>
      </c>
      <c r="D3737" s="1" t="s">
        <v>229</v>
      </c>
      <c r="E3737" s="1"/>
    </row>
    <row r="3738" spans="1:5" ht="16">
      <c r="A3738" s="1" t="s">
        <v>3178</v>
      </c>
      <c r="B3738" s="1" t="s">
        <v>3510</v>
      </c>
      <c r="C3738" s="1" t="s">
        <v>332</v>
      </c>
      <c r="D3738" s="1" t="s">
        <v>229</v>
      </c>
      <c r="E3738" s="1"/>
    </row>
    <row r="3739" spans="1:5" ht="16">
      <c r="A3739" s="1" t="s">
        <v>3178</v>
      </c>
      <c r="B3739" s="1" t="s">
        <v>3511</v>
      </c>
      <c r="C3739" s="1" t="s">
        <v>332</v>
      </c>
      <c r="D3739" s="1" t="s">
        <v>229</v>
      </c>
      <c r="E3739" s="1"/>
    </row>
    <row r="3740" spans="1:5" ht="16">
      <c r="A3740" s="1" t="s">
        <v>3178</v>
      </c>
      <c r="B3740" s="1" t="s">
        <v>3512</v>
      </c>
      <c r="C3740" s="1" t="s">
        <v>332</v>
      </c>
      <c r="D3740" s="1" t="s">
        <v>229</v>
      </c>
      <c r="E3740" s="1"/>
    </row>
    <row r="3741" spans="1:5" ht="16">
      <c r="A3741" s="1" t="s">
        <v>3178</v>
      </c>
      <c r="B3741" s="1" t="s">
        <v>3513</v>
      </c>
      <c r="C3741" s="1" t="s">
        <v>332</v>
      </c>
      <c r="D3741" s="1" t="s">
        <v>229</v>
      </c>
      <c r="E3741" s="1"/>
    </row>
    <row r="3742" spans="1:5" ht="16">
      <c r="A3742" s="1" t="s">
        <v>3178</v>
      </c>
      <c r="B3742" s="1" t="s">
        <v>3514</v>
      </c>
      <c r="C3742" s="1" t="s">
        <v>332</v>
      </c>
      <c r="D3742" s="1" t="s">
        <v>229</v>
      </c>
      <c r="E3742" s="1"/>
    </row>
    <row r="3743" spans="1:5" ht="16">
      <c r="A3743" s="1" t="s">
        <v>3178</v>
      </c>
      <c r="B3743" s="1" t="s">
        <v>3515</v>
      </c>
      <c r="C3743" s="1" t="s">
        <v>332</v>
      </c>
      <c r="D3743" s="1" t="s">
        <v>229</v>
      </c>
      <c r="E3743" s="1"/>
    </row>
    <row r="3744" spans="1:5" ht="16">
      <c r="A3744" s="1" t="s">
        <v>3178</v>
      </c>
      <c r="B3744" s="1" t="s">
        <v>3516</v>
      </c>
      <c r="C3744" s="1" t="s">
        <v>334</v>
      </c>
      <c r="D3744" s="1" t="s">
        <v>229</v>
      </c>
      <c r="E3744" s="1"/>
    </row>
    <row r="3745" spans="1:5" ht="16">
      <c r="A3745" s="1" t="s">
        <v>3178</v>
      </c>
      <c r="B3745" s="1" t="s">
        <v>3517</v>
      </c>
      <c r="C3745" s="1" t="s">
        <v>332</v>
      </c>
      <c r="D3745" s="1" t="s">
        <v>229</v>
      </c>
      <c r="E3745" s="1"/>
    </row>
    <row r="3746" spans="1:5" ht="16">
      <c r="A3746" s="1" t="s">
        <v>3178</v>
      </c>
      <c r="B3746" s="1" t="s">
        <v>3518</v>
      </c>
      <c r="C3746" s="1" t="s">
        <v>332</v>
      </c>
      <c r="D3746" s="1" t="s">
        <v>229</v>
      </c>
      <c r="E3746" s="1"/>
    </row>
    <row r="3747" spans="1:5" ht="16">
      <c r="A3747" s="1" t="s">
        <v>3178</v>
      </c>
      <c r="B3747" s="1" t="s">
        <v>3519</v>
      </c>
      <c r="C3747" s="1" t="s">
        <v>332</v>
      </c>
      <c r="D3747" s="1" t="s">
        <v>229</v>
      </c>
      <c r="E3747" s="1"/>
    </row>
    <row r="3748" spans="1:5" ht="16">
      <c r="A3748" s="1" t="s">
        <v>3178</v>
      </c>
      <c r="B3748" s="1" t="s">
        <v>3520</v>
      </c>
      <c r="C3748" s="1" t="s">
        <v>332</v>
      </c>
      <c r="D3748" s="1" t="s">
        <v>229</v>
      </c>
      <c r="E3748" s="1"/>
    </row>
    <row r="3749" spans="1:5" ht="16">
      <c r="A3749" s="1" t="s">
        <v>3178</v>
      </c>
      <c r="B3749" s="1" t="s">
        <v>3521</v>
      </c>
      <c r="C3749" s="1" t="s">
        <v>332</v>
      </c>
      <c r="D3749" s="1" t="s">
        <v>229</v>
      </c>
      <c r="E3749" s="1"/>
    </row>
    <row r="3750" spans="1:5" ht="16">
      <c r="A3750" s="1" t="s">
        <v>3178</v>
      </c>
      <c r="B3750" s="1" t="s">
        <v>3522</v>
      </c>
      <c r="C3750" s="1" t="s">
        <v>332</v>
      </c>
      <c r="D3750" s="1" t="s">
        <v>229</v>
      </c>
      <c r="E3750" s="1"/>
    </row>
    <row r="3751" spans="1:5" ht="16">
      <c r="A3751" s="1" t="s">
        <v>3178</v>
      </c>
      <c r="B3751" s="1" t="s">
        <v>3523</v>
      </c>
      <c r="C3751" s="1" t="s">
        <v>332</v>
      </c>
      <c r="D3751" s="1" t="s">
        <v>229</v>
      </c>
      <c r="E3751" s="1"/>
    </row>
    <row r="3752" spans="1:5" ht="16">
      <c r="A3752" s="1" t="s">
        <v>3178</v>
      </c>
      <c r="B3752" s="1" t="s">
        <v>3524</v>
      </c>
      <c r="C3752" s="1" t="s">
        <v>332</v>
      </c>
      <c r="D3752" s="1" t="s">
        <v>229</v>
      </c>
      <c r="E3752" s="1"/>
    </row>
    <row r="3753" spans="1:5" ht="16">
      <c r="A3753" s="1" t="s">
        <v>3178</v>
      </c>
      <c r="B3753" s="1" t="s">
        <v>3525</v>
      </c>
      <c r="C3753" s="1" t="s">
        <v>332</v>
      </c>
      <c r="D3753" s="1" t="s">
        <v>229</v>
      </c>
      <c r="E3753" s="1"/>
    </row>
    <row r="3754" spans="1:5" ht="16">
      <c r="A3754" s="1" t="s">
        <v>3178</v>
      </c>
      <c r="B3754" s="1" t="s">
        <v>3526</v>
      </c>
      <c r="C3754" s="1" t="s">
        <v>332</v>
      </c>
      <c r="D3754" s="1" t="s">
        <v>229</v>
      </c>
      <c r="E3754" s="1"/>
    </row>
    <row r="3755" spans="1:5" ht="16">
      <c r="A3755" s="1" t="s">
        <v>3178</v>
      </c>
      <c r="B3755" s="1" t="s">
        <v>3527</v>
      </c>
      <c r="C3755" s="1" t="s">
        <v>332</v>
      </c>
      <c r="D3755" s="1" t="s">
        <v>229</v>
      </c>
      <c r="E3755" s="1"/>
    </row>
    <row r="3756" spans="1:5" ht="16">
      <c r="A3756" s="1" t="s">
        <v>3178</v>
      </c>
      <c r="B3756" s="1" t="s">
        <v>3528</v>
      </c>
      <c r="C3756" s="1" t="s">
        <v>332</v>
      </c>
      <c r="D3756" s="1" t="s">
        <v>229</v>
      </c>
      <c r="E3756" s="1"/>
    </row>
    <row r="3757" spans="1:5" ht="16">
      <c r="A3757" s="1" t="s">
        <v>3178</v>
      </c>
      <c r="B3757" s="1" t="s">
        <v>3450</v>
      </c>
      <c r="C3757" s="1" t="s">
        <v>334</v>
      </c>
      <c r="D3757" s="1" t="s">
        <v>229</v>
      </c>
      <c r="E3757" s="1"/>
    </row>
    <row r="3758" spans="1:5" ht="16">
      <c r="A3758" s="1" t="s">
        <v>3178</v>
      </c>
      <c r="B3758" s="1" t="s">
        <v>3529</v>
      </c>
      <c r="C3758" s="1" t="s">
        <v>334</v>
      </c>
      <c r="D3758" s="1" t="s">
        <v>229</v>
      </c>
      <c r="E3758" s="1"/>
    </row>
    <row r="3759" spans="1:5" ht="16">
      <c r="A3759" s="1" t="s">
        <v>3178</v>
      </c>
      <c r="B3759" s="1" t="s">
        <v>3530</v>
      </c>
      <c r="C3759" s="1" t="s">
        <v>334</v>
      </c>
      <c r="D3759" s="1" t="s">
        <v>229</v>
      </c>
      <c r="E3759" s="1"/>
    </row>
    <row r="3760" spans="1:5" ht="16">
      <c r="A3760" s="1" t="s">
        <v>3178</v>
      </c>
      <c r="B3760" s="1" t="s">
        <v>3531</v>
      </c>
      <c r="C3760" s="1" t="s">
        <v>334</v>
      </c>
      <c r="D3760" s="1" t="s">
        <v>229</v>
      </c>
      <c r="E3760" s="1"/>
    </row>
    <row r="3761" spans="1:5" ht="16">
      <c r="A3761" s="1" t="s">
        <v>3178</v>
      </c>
      <c r="B3761" s="1" t="s">
        <v>3532</v>
      </c>
      <c r="C3761" s="1" t="s">
        <v>334</v>
      </c>
      <c r="D3761" s="1" t="s">
        <v>229</v>
      </c>
      <c r="E3761" s="1"/>
    </row>
    <row r="3762" spans="1:5" ht="16">
      <c r="A3762" s="1" t="s">
        <v>3178</v>
      </c>
      <c r="B3762" s="1" t="s">
        <v>3533</v>
      </c>
      <c r="C3762" s="1" t="s">
        <v>334</v>
      </c>
      <c r="D3762" s="1" t="s">
        <v>229</v>
      </c>
      <c r="E3762" s="1"/>
    </row>
    <row r="3763" spans="1:5" ht="16">
      <c r="A3763" s="1" t="s">
        <v>3178</v>
      </c>
      <c r="B3763" s="1" t="s">
        <v>3534</v>
      </c>
      <c r="C3763" s="1" t="s">
        <v>334</v>
      </c>
      <c r="D3763" s="1" t="s">
        <v>229</v>
      </c>
      <c r="E3763" s="1"/>
    </row>
    <row r="3764" spans="1:5" ht="16">
      <c r="A3764" s="1" t="s">
        <v>3178</v>
      </c>
      <c r="B3764" s="1" t="s">
        <v>3535</v>
      </c>
      <c r="C3764" s="1" t="s">
        <v>334</v>
      </c>
      <c r="D3764" s="1" t="s">
        <v>229</v>
      </c>
      <c r="E3764" s="1"/>
    </row>
    <row r="3765" spans="1:5" ht="16">
      <c r="A3765" s="1" t="s">
        <v>3178</v>
      </c>
      <c r="B3765" s="1" t="s">
        <v>3536</v>
      </c>
      <c r="C3765" s="1" t="s">
        <v>334</v>
      </c>
      <c r="D3765" s="1" t="s">
        <v>229</v>
      </c>
      <c r="E3765" s="1"/>
    </row>
    <row r="3766" spans="1:5" ht="16">
      <c r="A3766" s="1" t="s">
        <v>3178</v>
      </c>
      <c r="B3766" s="1" t="s">
        <v>3537</v>
      </c>
      <c r="C3766" s="1" t="s">
        <v>334</v>
      </c>
      <c r="D3766" s="1" t="s">
        <v>229</v>
      </c>
      <c r="E3766" s="1"/>
    </row>
    <row r="3767" spans="1:5" ht="16">
      <c r="A3767" s="1" t="s">
        <v>3178</v>
      </c>
      <c r="B3767" s="1" t="s">
        <v>3538</v>
      </c>
      <c r="C3767" s="1" t="s">
        <v>334</v>
      </c>
      <c r="D3767" s="1" t="s">
        <v>229</v>
      </c>
      <c r="E3767" s="1"/>
    </row>
    <row r="3768" spans="1:5" ht="16">
      <c r="A3768" s="1" t="s">
        <v>3178</v>
      </c>
      <c r="B3768" s="1" t="s">
        <v>3539</v>
      </c>
      <c r="C3768" s="1" t="s">
        <v>334</v>
      </c>
      <c r="D3768" s="1" t="s">
        <v>229</v>
      </c>
      <c r="E3768" s="1"/>
    </row>
    <row r="3769" spans="1:5" ht="16">
      <c r="A3769" s="1" t="s">
        <v>3178</v>
      </c>
      <c r="B3769" s="1" t="s">
        <v>3540</v>
      </c>
      <c r="C3769" s="1" t="s">
        <v>334</v>
      </c>
      <c r="D3769" s="1" t="s">
        <v>229</v>
      </c>
      <c r="E3769" s="1"/>
    </row>
    <row r="3770" spans="1:5" ht="16">
      <c r="A3770" s="1" t="s">
        <v>3178</v>
      </c>
      <c r="B3770" s="1" t="s">
        <v>3541</v>
      </c>
      <c r="C3770" s="1" t="s">
        <v>334</v>
      </c>
      <c r="D3770" s="1" t="s">
        <v>229</v>
      </c>
      <c r="E3770" s="1"/>
    </row>
    <row r="3771" spans="1:5" ht="16">
      <c r="A3771" s="1" t="s">
        <v>3178</v>
      </c>
      <c r="B3771" s="1" t="s">
        <v>3542</v>
      </c>
      <c r="C3771" s="1" t="s">
        <v>334</v>
      </c>
      <c r="D3771" s="1" t="s">
        <v>229</v>
      </c>
      <c r="E3771" s="1"/>
    </row>
    <row r="3772" spans="1:5" ht="16">
      <c r="A3772" s="1" t="s">
        <v>3178</v>
      </c>
      <c r="B3772" s="1" t="s">
        <v>3543</v>
      </c>
      <c r="C3772" s="1" t="s">
        <v>334</v>
      </c>
      <c r="D3772" s="1" t="s">
        <v>229</v>
      </c>
      <c r="E3772" s="1"/>
    </row>
    <row r="3773" spans="1:5" ht="16">
      <c r="A3773" s="1" t="s">
        <v>3178</v>
      </c>
      <c r="B3773" s="1" t="s">
        <v>3544</v>
      </c>
      <c r="C3773" s="1" t="s">
        <v>334</v>
      </c>
      <c r="D3773" s="1" t="s">
        <v>229</v>
      </c>
      <c r="E3773" s="1"/>
    </row>
    <row r="3774" spans="1:5" ht="16">
      <c r="A3774" s="1" t="s">
        <v>3178</v>
      </c>
      <c r="B3774" s="1" t="s">
        <v>3545</v>
      </c>
      <c r="C3774" s="1" t="s">
        <v>334</v>
      </c>
      <c r="D3774" s="1" t="s">
        <v>229</v>
      </c>
      <c r="E3774" s="1"/>
    </row>
    <row r="3775" spans="1:5" ht="16">
      <c r="A3775" s="1" t="s">
        <v>3178</v>
      </c>
      <c r="B3775" s="1" t="s">
        <v>3546</v>
      </c>
      <c r="C3775" s="1" t="s">
        <v>334</v>
      </c>
      <c r="D3775" s="1" t="s">
        <v>229</v>
      </c>
      <c r="E3775" s="1"/>
    </row>
    <row r="3776" spans="1:5" ht="16">
      <c r="A3776" s="1" t="s">
        <v>3178</v>
      </c>
      <c r="B3776" s="1" t="s">
        <v>3547</v>
      </c>
      <c r="C3776" s="1" t="s">
        <v>334</v>
      </c>
      <c r="D3776" s="1" t="s">
        <v>229</v>
      </c>
      <c r="E3776" s="1"/>
    </row>
    <row r="3777" spans="1:5" ht="16">
      <c r="A3777" s="1" t="s">
        <v>3178</v>
      </c>
      <c r="B3777" s="1" t="s">
        <v>3548</v>
      </c>
      <c r="C3777" s="1" t="s">
        <v>334</v>
      </c>
      <c r="D3777" s="1" t="s">
        <v>229</v>
      </c>
      <c r="E3777" s="1"/>
    </row>
    <row r="3778" spans="1:5" ht="16">
      <c r="A3778" s="1" t="s">
        <v>3178</v>
      </c>
      <c r="B3778" s="1" t="s">
        <v>3549</v>
      </c>
      <c r="C3778" s="1" t="s">
        <v>334</v>
      </c>
      <c r="D3778" s="1" t="s">
        <v>229</v>
      </c>
      <c r="E3778" s="1"/>
    </row>
    <row r="3779" spans="1:5" ht="16">
      <c r="A3779" s="1" t="s">
        <v>3178</v>
      </c>
      <c r="B3779" s="1" t="s">
        <v>3550</v>
      </c>
      <c r="C3779" s="1" t="s">
        <v>334</v>
      </c>
      <c r="D3779" s="1" t="s">
        <v>229</v>
      </c>
      <c r="E3779" s="1"/>
    </row>
    <row r="3780" spans="1:5" ht="16">
      <c r="A3780" s="1" t="s">
        <v>3178</v>
      </c>
      <c r="B3780" s="1" t="s">
        <v>3551</v>
      </c>
      <c r="C3780" s="1" t="s">
        <v>334</v>
      </c>
      <c r="D3780" s="1" t="s">
        <v>229</v>
      </c>
      <c r="E3780" s="1"/>
    </row>
    <row r="3781" spans="1:5" ht="16">
      <c r="A3781" s="1" t="s">
        <v>3178</v>
      </c>
      <c r="B3781" s="1" t="s">
        <v>3552</v>
      </c>
      <c r="C3781" s="1" t="s">
        <v>334</v>
      </c>
      <c r="D3781" s="1" t="s">
        <v>229</v>
      </c>
      <c r="E3781" s="1"/>
    </row>
    <row r="3782" spans="1:5" ht="16">
      <c r="A3782" s="1" t="s">
        <v>3178</v>
      </c>
      <c r="B3782" s="1" t="s">
        <v>3553</v>
      </c>
      <c r="C3782" s="1" t="s">
        <v>334</v>
      </c>
      <c r="D3782" s="1" t="s">
        <v>229</v>
      </c>
      <c r="E3782" s="1"/>
    </row>
    <row r="3783" spans="1:5" ht="16">
      <c r="A3783" s="1" t="s">
        <v>3178</v>
      </c>
      <c r="B3783" s="1" t="s">
        <v>3554</v>
      </c>
      <c r="C3783" s="1" t="s">
        <v>334</v>
      </c>
      <c r="D3783" s="1" t="s">
        <v>229</v>
      </c>
      <c r="E3783" s="1"/>
    </row>
    <row r="3784" spans="1:5" ht="16">
      <c r="A3784" s="1" t="s">
        <v>3178</v>
      </c>
      <c r="B3784" s="1" t="s">
        <v>3555</v>
      </c>
      <c r="C3784" s="1" t="s">
        <v>334</v>
      </c>
      <c r="D3784" s="1" t="s">
        <v>229</v>
      </c>
      <c r="E3784" s="1"/>
    </row>
    <row r="3785" spans="1:5" ht="16">
      <c r="A3785" s="1" t="s">
        <v>3178</v>
      </c>
      <c r="B3785" s="1" t="s">
        <v>3556</v>
      </c>
      <c r="C3785" s="1" t="s">
        <v>334</v>
      </c>
      <c r="D3785" s="1" t="s">
        <v>229</v>
      </c>
      <c r="E3785" s="1"/>
    </row>
    <row r="3786" spans="1:5" ht="16">
      <c r="A3786" s="1" t="s">
        <v>3178</v>
      </c>
      <c r="B3786" s="1" t="s">
        <v>3557</v>
      </c>
      <c r="C3786" s="1" t="s">
        <v>334</v>
      </c>
      <c r="D3786" s="1" t="s">
        <v>229</v>
      </c>
      <c r="E3786" s="1"/>
    </row>
    <row r="3787" spans="1:5" ht="16">
      <c r="A3787" s="1" t="s">
        <v>3178</v>
      </c>
      <c r="B3787" s="1" t="s">
        <v>3558</v>
      </c>
      <c r="C3787" s="1" t="s">
        <v>334</v>
      </c>
      <c r="D3787" s="1" t="s">
        <v>229</v>
      </c>
      <c r="E3787" s="1"/>
    </row>
    <row r="3788" spans="1:5" ht="16">
      <c r="A3788" s="1" t="s">
        <v>3178</v>
      </c>
      <c r="B3788" s="1" t="s">
        <v>3559</v>
      </c>
      <c r="C3788" s="1" t="s">
        <v>334</v>
      </c>
      <c r="D3788" s="1" t="s">
        <v>229</v>
      </c>
      <c r="E3788" s="1"/>
    </row>
    <row r="3789" spans="1:5" ht="16">
      <c r="A3789" s="1" t="s">
        <v>3178</v>
      </c>
      <c r="B3789" s="1" t="s">
        <v>3560</v>
      </c>
      <c r="C3789" s="1" t="s">
        <v>334</v>
      </c>
      <c r="D3789" s="1" t="s">
        <v>229</v>
      </c>
      <c r="E3789" s="1"/>
    </row>
    <row r="3790" spans="1:5" ht="16">
      <c r="A3790" s="1" t="s">
        <v>3178</v>
      </c>
      <c r="B3790" s="1" t="s">
        <v>827</v>
      </c>
      <c r="C3790" s="1" t="s">
        <v>334</v>
      </c>
      <c r="D3790" s="1" t="s">
        <v>229</v>
      </c>
      <c r="E3790" s="1"/>
    </row>
    <row r="3791" spans="1:5" ht="16">
      <c r="A3791" s="1" t="s">
        <v>3178</v>
      </c>
      <c r="B3791" s="1" t="s">
        <v>826</v>
      </c>
      <c r="C3791" s="1" t="s">
        <v>334</v>
      </c>
      <c r="D3791" s="1" t="s">
        <v>229</v>
      </c>
      <c r="E3791" s="1"/>
    </row>
    <row r="3792" spans="1:5" ht="16">
      <c r="A3792" s="1" t="s">
        <v>3178</v>
      </c>
      <c r="B3792" s="1" t="s">
        <v>3561</v>
      </c>
      <c r="C3792" s="1" t="s">
        <v>334</v>
      </c>
      <c r="D3792" s="1" t="s">
        <v>229</v>
      </c>
      <c r="E3792" s="1"/>
    </row>
    <row r="3793" spans="1:5" ht="16">
      <c r="A3793" s="1" t="s">
        <v>3178</v>
      </c>
      <c r="B3793" s="1" t="s">
        <v>825</v>
      </c>
      <c r="C3793" s="1" t="s">
        <v>334</v>
      </c>
      <c r="D3793" s="1" t="s">
        <v>229</v>
      </c>
      <c r="E3793" s="1"/>
    </row>
    <row r="3794" spans="1:5" ht="16">
      <c r="A3794" s="1" t="s">
        <v>3178</v>
      </c>
      <c r="B3794" s="1" t="s">
        <v>3562</v>
      </c>
      <c r="C3794" s="1" t="s">
        <v>334</v>
      </c>
      <c r="D3794" s="1" t="s">
        <v>229</v>
      </c>
      <c r="E3794" s="1"/>
    </row>
    <row r="3795" spans="1:5" ht="16">
      <c r="A3795" s="1" t="s">
        <v>3178</v>
      </c>
      <c r="B3795" s="1" t="s">
        <v>3563</v>
      </c>
      <c r="C3795" s="1" t="s">
        <v>334</v>
      </c>
      <c r="D3795" s="1" t="s">
        <v>229</v>
      </c>
      <c r="E3795" s="1"/>
    </row>
    <row r="3796" spans="1:5" ht="16">
      <c r="A3796" s="1" t="s">
        <v>3178</v>
      </c>
      <c r="B3796" s="1" t="s">
        <v>3564</v>
      </c>
      <c r="C3796" s="1" t="s">
        <v>334</v>
      </c>
      <c r="D3796" s="1" t="s">
        <v>229</v>
      </c>
      <c r="E3796" s="1"/>
    </row>
    <row r="3797" spans="1:5" ht="16">
      <c r="A3797" s="1" t="s">
        <v>3178</v>
      </c>
      <c r="B3797" s="1" t="s">
        <v>3565</v>
      </c>
      <c r="C3797" s="1" t="s">
        <v>334</v>
      </c>
      <c r="D3797" s="1" t="s">
        <v>229</v>
      </c>
      <c r="E3797" s="1"/>
    </row>
    <row r="3798" spans="1:5" ht="16">
      <c r="A3798" s="1" t="s">
        <v>3178</v>
      </c>
      <c r="B3798" s="1" t="s">
        <v>3566</v>
      </c>
      <c r="C3798" s="1" t="s">
        <v>334</v>
      </c>
      <c r="D3798" s="1" t="s">
        <v>229</v>
      </c>
      <c r="E3798" s="1"/>
    </row>
    <row r="3799" spans="1:5" ht="16">
      <c r="A3799" s="1" t="s">
        <v>3178</v>
      </c>
      <c r="B3799" s="1" t="s">
        <v>3567</v>
      </c>
      <c r="C3799" s="1" t="s">
        <v>334</v>
      </c>
      <c r="D3799" s="1" t="s">
        <v>229</v>
      </c>
      <c r="E3799" s="1"/>
    </row>
    <row r="3800" spans="1:5" ht="16">
      <c r="A3800" s="1" t="s">
        <v>3178</v>
      </c>
      <c r="B3800" s="1" t="s">
        <v>3568</v>
      </c>
      <c r="C3800" s="1" t="s">
        <v>334</v>
      </c>
      <c r="D3800" s="1" t="s">
        <v>229</v>
      </c>
      <c r="E3800" s="1"/>
    </row>
    <row r="3801" spans="1:5" ht="16">
      <c r="A3801" s="1" t="s">
        <v>3178</v>
      </c>
      <c r="B3801" s="1" t="s">
        <v>3569</v>
      </c>
      <c r="C3801" s="1" t="s">
        <v>334</v>
      </c>
      <c r="D3801" s="1" t="s">
        <v>229</v>
      </c>
      <c r="E3801" s="1" t="s">
        <v>500</v>
      </c>
    </row>
    <row r="3802" spans="1:5" ht="16">
      <c r="A3802" s="1" t="s">
        <v>3178</v>
      </c>
      <c r="B3802" s="1" t="s">
        <v>3570</v>
      </c>
      <c r="C3802" s="1" t="s">
        <v>334</v>
      </c>
      <c r="D3802" s="1" t="s">
        <v>229</v>
      </c>
      <c r="E3802" s="1" t="s">
        <v>500</v>
      </c>
    </row>
    <row r="3803" spans="1:5" ht="16">
      <c r="A3803" s="1" t="s">
        <v>3178</v>
      </c>
      <c r="B3803" s="1" t="s">
        <v>3571</v>
      </c>
      <c r="C3803" s="1" t="s">
        <v>334</v>
      </c>
      <c r="D3803" s="1" t="s">
        <v>229</v>
      </c>
      <c r="E3803" s="1" t="s">
        <v>500</v>
      </c>
    </row>
    <row r="3804" spans="1:5" ht="16">
      <c r="A3804" s="1" t="s">
        <v>3178</v>
      </c>
      <c r="B3804" s="1" t="s">
        <v>3572</v>
      </c>
      <c r="C3804" s="1" t="s">
        <v>334</v>
      </c>
      <c r="D3804" s="1" t="s">
        <v>229</v>
      </c>
      <c r="E3804" s="1" t="s">
        <v>500</v>
      </c>
    </row>
    <row r="3805" spans="1:5" ht="16">
      <c r="A3805" s="1" t="s">
        <v>3178</v>
      </c>
      <c r="B3805" s="1" t="s">
        <v>3573</v>
      </c>
      <c r="C3805" s="1" t="s">
        <v>332</v>
      </c>
      <c r="D3805" s="1" t="s">
        <v>229</v>
      </c>
      <c r="E3805" s="1"/>
    </row>
    <row r="3806" spans="1:5" ht="16">
      <c r="A3806" s="1" t="s">
        <v>3178</v>
      </c>
      <c r="B3806" s="1" t="s">
        <v>3574</v>
      </c>
      <c r="C3806" s="1" t="s">
        <v>334</v>
      </c>
      <c r="D3806" s="1" t="s">
        <v>229</v>
      </c>
      <c r="E3806" s="1"/>
    </row>
    <row r="3807" spans="1:5" ht="16">
      <c r="A3807" s="1" t="s">
        <v>3178</v>
      </c>
      <c r="B3807" s="1" t="s">
        <v>3575</v>
      </c>
      <c r="C3807" s="1" t="s">
        <v>334</v>
      </c>
      <c r="D3807" s="1" t="s">
        <v>229</v>
      </c>
      <c r="E3807" s="1"/>
    </row>
    <row r="3808" spans="1:5" ht="16">
      <c r="A3808" s="1" t="s">
        <v>3178</v>
      </c>
      <c r="B3808" s="1" t="s">
        <v>3576</v>
      </c>
      <c r="C3808" s="1" t="s">
        <v>334</v>
      </c>
      <c r="D3808" s="1" t="s">
        <v>229</v>
      </c>
      <c r="E3808" s="1"/>
    </row>
    <row r="3809" spans="1:5" ht="16">
      <c r="A3809" s="1" t="s">
        <v>3178</v>
      </c>
      <c r="B3809" s="1" t="s">
        <v>3577</v>
      </c>
      <c r="C3809" s="1" t="s">
        <v>334</v>
      </c>
      <c r="D3809" s="1" t="s">
        <v>229</v>
      </c>
      <c r="E3809" s="1"/>
    </row>
    <row r="3810" spans="1:5" ht="16">
      <c r="A3810" s="1" t="s">
        <v>3178</v>
      </c>
      <c r="B3810" s="1" t="s">
        <v>3578</v>
      </c>
      <c r="C3810" s="1" t="s">
        <v>334</v>
      </c>
      <c r="D3810" s="1" t="s">
        <v>229</v>
      </c>
      <c r="E3810" s="1"/>
    </row>
    <row r="3811" spans="1:5" ht="16">
      <c r="A3811" s="1" t="s">
        <v>3178</v>
      </c>
      <c r="B3811" s="1" t="s">
        <v>3579</v>
      </c>
      <c r="C3811" s="1" t="s">
        <v>334</v>
      </c>
      <c r="D3811" s="1" t="s">
        <v>229</v>
      </c>
      <c r="E3811" s="1"/>
    </row>
    <row r="3812" spans="1:5" ht="16">
      <c r="A3812" s="1" t="s">
        <v>3178</v>
      </c>
      <c r="B3812" s="1" t="s">
        <v>3580</v>
      </c>
      <c r="C3812" s="1" t="s">
        <v>334</v>
      </c>
      <c r="D3812" s="1" t="s">
        <v>229</v>
      </c>
      <c r="E3812" s="1"/>
    </row>
    <row r="3813" spans="1:5" ht="16">
      <c r="A3813" s="1" t="s">
        <v>3178</v>
      </c>
      <c r="B3813" s="1" t="s">
        <v>3581</v>
      </c>
      <c r="C3813" s="1" t="s">
        <v>334</v>
      </c>
      <c r="D3813" s="1" t="s">
        <v>229</v>
      </c>
      <c r="E3813" s="1"/>
    </row>
    <row r="3814" spans="1:5" ht="16">
      <c r="A3814" s="1" t="s">
        <v>3178</v>
      </c>
      <c r="B3814" s="1" t="s">
        <v>3582</v>
      </c>
      <c r="C3814" s="1" t="s">
        <v>334</v>
      </c>
      <c r="D3814" s="1" t="s">
        <v>229</v>
      </c>
      <c r="E3814" s="1"/>
    </row>
    <row r="3815" spans="1:5" ht="16">
      <c r="A3815" s="1" t="s">
        <v>3178</v>
      </c>
      <c r="B3815" s="1" t="s">
        <v>3583</v>
      </c>
      <c r="C3815" s="1" t="s">
        <v>334</v>
      </c>
      <c r="D3815" s="1" t="s">
        <v>229</v>
      </c>
      <c r="E3815" s="1"/>
    </row>
    <row r="3816" spans="1:5" ht="16">
      <c r="A3816" s="1" t="s">
        <v>3178</v>
      </c>
      <c r="B3816" s="1" t="s">
        <v>3584</v>
      </c>
      <c r="C3816" s="1" t="s">
        <v>334</v>
      </c>
      <c r="D3816" s="1" t="s">
        <v>229</v>
      </c>
      <c r="E3816" s="1"/>
    </row>
    <row r="3817" spans="1:5" ht="16">
      <c r="A3817" s="1" t="s">
        <v>3178</v>
      </c>
      <c r="B3817" s="1" t="s">
        <v>3585</v>
      </c>
      <c r="C3817" s="1" t="s">
        <v>334</v>
      </c>
      <c r="D3817" s="1" t="s">
        <v>229</v>
      </c>
      <c r="E3817" s="1"/>
    </row>
    <row r="3818" spans="1:5" ht="16">
      <c r="A3818" s="1" t="s">
        <v>3178</v>
      </c>
      <c r="B3818" s="1" t="s">
        <v>3586</v>
      </c>
      <c r="C3818" s="1" t="s">
        <v>334</v>
      </c>
      <c r="D3818" s="1" t="s">
        <v>229</v>
      </c>
      <c r="E3818" s="1"/>
    </row>
    <row r="3819" spans="1:5" ht="16">
      <c r="A3819" s="1" t="s">
        <v>3178</v>
      </c>
      <c r="B3819" s="1" t="s">
        <v>3587</v>
      </c>
      <c r="C3819" s="1" t="s">
        <v>334</v>
      </c>
      <c r="D3819" s="1" t="s">
        <v>229</v>
      </c>
      <c r="E3819" s="1"/>
    </row>
    <row r="3820" spans="1:5" ht="16">
      <c r="A3820" s="1" t="s">
        <v>3178</v>
      </c>
      <c r="B3820" s="1" t="s">
        <v>3588</v>
      </c>
      <c r="C3820" s="1" t="s">
        <v>334</v>
      </c>
      <c r="D3820" s="1" t="s">
        <v>229</v>
      </c>
      <c r="E3820" s="1"/>
    </row>
    <row r="3821" spans="1:5" ht="16">
      <c r="A3821" s="1" t="s">
        <v>3178</v>
      </c>
      <c r="B3821" s="1" t="s">
        <v>3589</v>
      </c>
      <c r="C3821" s="1" t="s">
        <v>334</v>
      </c>
      <c r="D3821" s="1" t="s">
        <v>229</v>
      </c>
      <c r="E3821" s="1"/>
    </row>
    <row r="3822" spans="1:5" ht="16">
      <c r="A3822" s="1" t="s">
        <v>3178</v>
      </c>
      <c r="B3822" s="1" t="s">
        <v>3590</v>
      </c>
      <c r="C3822" s="1" t="s">
        <v>334</v>
      </c>
      <c r="D3822" s="1" t="s">
        <v>229</v>
      </c>
      <c r="E3822" s="1"/>
    </row>
    <row r="3823" spans="1:5" ht="16">
      <c r="A3823" s="1" t="s">
        <v>3178</v>
      </c>
      <c r="B3823" s="1" t="s">
        <v>3591</v>
      </c>
      <c r="C3823" s="1" t="s">
        <v>334</v>
      </c>
      <c r="D3823" s="1" t="s">
        <v>229</v>
      </c>
      <c r="E3823" s="1"/>
    </row>
    <row r="3824" spans="1:5" ht="16">
      <c r="A3824" s="1" t="s">
        <v>3178</v>
      </c>
      <c r="B3824" s="1" t="s">
        <v>3592</v>
      </c>
      <c r="C3824" s="1" t="s">
        <v>334</v>
      </c>
      <c r="D3824" s="1" t="s">
        <v>229</v>
      </c>
      <c r="E3824" s="1"/>
    </row>
    <row r="3825" spans="1:5" ht="16">
      <c r="A3825" s="1" t="s">
        <v>3178</v>
      </c>
      <c r="B3825" s="1" t="s">
        <v>3593</v>
      </c>
      <c r="C3825" s="1" t="s">
        <v>334</v>
      </c>
      <c r="D3825" s="1" t="s">
        <v>229</v>
      </c>
      <c r="E3825" s="1"/>
    </row>
    <row r="3826" spans="1:5" ht="16">
      <c r="A3826" s="1" t="s">
        <v>3178</v>
      </c>
      <c r="B3826" s="1" t="s">
        <v>3594</v>
      </c>
      <c r="C3826" s="1" t="s">
        <v>332</v>
      </c>
      <c r="D3826" s="1" t="s">
        <v>229</v>
      </c>
      <c r="E3826" s="1"/>
    </row>
    <row r="3827" spans="1:5" ht="16">
      <c r="A3827" s="1" t="s">
        <v>3178</v>
      </c>
      <c r="B3827" s="1" t="s">
        <v>3594</v>
      </c>
      <c r="C3827" s="1" t="s">
        <v>332</v>
      </c>
      <c r="D3827" s="1" t="s">
        <v>229</v>
      </c>
      <c r="E3827" s="1"/>
    </row>
    <row r="3828" spans="1:5" ht="16">
      <c r="A3828" s="1" t="s">
        <v>3178</v>
      </c>
      <c r="B3828" s="1" t="s">
        <v>3595</v>
      </c>
      <c r="C3828" s="1" t="s">
        <v>334</v>
      </c>
      <c r="D3828" s="1" t="s">
        <v>229</v>
      </c>
      <c r="E3828" s="1"/>
    </row>
    <row r="3829" spans="1:5" ht="16">
      <c r="A3829" s="1" t="s">
        <v>3178</v>
      </c>
      <c r="B3829" s="1" t="s">
        <v>3596</v>
      </c>
      <c r="C3829" s="1" t="s">
        <v>334</v>
      </c>
      <c r="D3829" s="1" t="s">
        <v>229</v>
      </c>
      <c r="E3829" s="1"/>
    </row>
    <row r="3830" spans="1:5" ht="16">
      <c r="A3830" s="1" t="s">
        <v>3178</v>
      </c>
      <c r="B3830" s="1" t="s">
        <v>3597</v>
      </c>
      <c r="C3830" s="1" t="s">
        <v>334</v>
      </c>
      <c r="D3830" s="1" t="s">
        <v>229</v>
      </c>
      <c r="E3830" s="1"/>
    </row>
    <row r="3831" spans="1:5" ht="16">
      <c r="A3831" s="1" t="s">
        <v>3178</v>
      </c>
      <c r="B3831" s="1" t="s">
        <v>3598</v>
      </c>
      <c r="C3831" s="1" t="s">
        <v>334</v>
      </c>
      <c r="D3831" s="1" t="s">
        <v>229</v>
      </c>
      <c r="E3831" s="1"/>
    </row>
    <row r="3832" spans="1:5" ht="16">
      <c r="A3832" s="1" t="s">
        <v>3178</v>
      </c>
      <c r="B3832" s="1" t="s">
        <v>3599</v>
      </c>
      <c r="C3832" s="1" t="s">
        <v>334</v>
      </c>
      <c r="D3832" s="1" t="s">
        <v>229</v>
      </c>
      <c r="E3832" s="1"/>
    </row>
    <row r="3833" spans="1:5" ht="16">
      <c r="A3833" s="1" t="s">
        <v>3178</v>
      </c>
      <c r="B3833" s="1" t="s">
        <v>3600</v>
      </c>
      <c r="C3833" s="1" t="s">
        <v>334</v>
      </c>
      <c r="D3833" s="1" t="s">
        <v>229</v>
      </c>
      <c r="E3833" s="1"/>
    </row>
    <row r="3834" spans="1:5" ht="16">
      <c r="A3834" s="1" t="s">
        <v>3178</v>
      </c>
      <c r="B3834" s="1" t="s">
        <v>3601</v>
      </c>
      <c r="C3834" s="1" t="s">
        <v>334</v>
      </c>
      <c r="D3834" s="1" t="s">
        <v>229</v>
      </c>
      <c r="E3834" s="1"/>
    </row>
    <row r="3835" spans="1:5" ht="16">
      <c r="A3835" s="1" t="s">
        <v>3178</v>
      </c>
      <c r="B3835" s="1" t="s">
        <v>3602</v>
      </c>
      <c r="C3835" s="1" t="s">
        <v>334</v>
      </c>
      <c r="D3835" s="1" t="s">
        <v>229</v>
      </c>
      <c r="E3835" s="1"/>
    </row>
    <row r="3836" spans="1:5" ht="16">
      <c r="A3836" s="1" t="s">
        <v>3178</v>
      </c>
      <c r="B3836" s="1" t="s">
        <v>3568</v>
      </c>
      <c r="C3836" s="1" t="s">
        <v>334</v>
      </c>
      <c r="D3836" s="1" t="s">
        <v>229</v>
      </c>
      <c r="E3836" s="1"/>
    </row>
    <row r="3837" spans="1:5" ht="16">
      <c r="A3837" s="1" t="s">
        <v>3178</v>
      </c>
      <c r="B3837" s="1" t="s">
        <v>3595</v>
      </c>
      <c r="C3837" s="1" t="s">
        <v>334</v>
      </c>
      <c r="D3837" s="1" t="s">
        <v>229</v>
      </c>
      <c r="E3837" s="1"/>
    </row>
    <row r="3838" spans="1:5" ht="16">
      <c r="A3838" s="1" t="s">
        <v>3178</v>
      </c>
      <c r="B3838" s="1" t="s">
        <v>3599</v>
      </c>
      <c r="C3838" s="1" t="s">
        <v>334</v>
      </c>
      <c r="D3838" s="1" t="s">
        <v>229</v>
      </c>
      <c r="E3838" s="1"/>
    </row>
    <row r="3839" spans="1:5" ht="16">
      <c r="A3839" s="1" t="s">
        <v>3178</v>
      </c>
      <c r="B3839" s="1" t="s">
        <v>3603</v>
      </c>
      <c r="C3839" s="1" t="s">
        <v>334</v>
      </c>
      <c r="D3839" s="1" t="s">
        <v>229</v>
      </c>
      <c r="E3839" s="1"/>
    </row>
    <row r="3840" spans="1:5" ht="16">
      <c r="A3840" s="1" t="s">
        <v>3604</v>
      </c>
      <c r="B3840" s="1" t="s">
        <v>3605</v>
      </c>
      <c r="C3840" s="1" t="s">
        <v>263</v>
      </c>
      <c r="D3840" s="1" t="s">
        <v>229</v>
      </c>
      <c r="E3840" s="1"/>
    </row>
    <row r="3841" spans="1:5" ht="16">
      <c r="A3841" s="1" t="s">
        <v>3606</v>
      </c>
      <c r="B3841" s="1" t="s">
        <v>3607</v>
      </c>
      <c r="C3841" s="1" t="s">
        <v>332</v>
      </c>
      <c r="D3841" s="1" t="s">
        <v>229</v>
      </c>
      <c r="E3841" s="1"/>
    </row>
    <row r="3842" spans="1:5" ht="16">
      <c r="A3842" s="1" t="s">
        <v>3606</v>
      </c>
      <c r="B3842" s="1" t="s">
        <v>3608</v>
      </c>
      <c r="C3842" s="1" t="s">
        <v>332</v>
      </c>
      <c r="D3842" s="1" t="s">
        <v>229</v>
      </c>
      <c r="E3842" s="1"/>
    </row>
    <row r="3843" spans="1:5" ht="16">
      <c r="A3843" s="1" t="s">
        <v>3606</v>
      </c>
      <c r="B3843" s="1" t="s">
        <v>3609</v>
      </c>
      <c r="C3843" s="1" t="s">
        <v>332</v>
      </c>
      <c r="D3843" s="1" t="s">
        <v>229</v>
      </c>
      <c r="E3843" s="1"/>
    </row>
    <row r="3844" spans="1:5" ht="16">
      <c r="A3844" s="1" t="s">
        <v>3606</v>
      </c>
      <c r="B3844" s="1" t="s">
        <v>3610</v>
      </c>
      <c r="C3844" s="1" t="s">
        <v>332</v>
      </c>
      <c r="D3844" s="1" t="s">
        <v>229</v>
      </c>
      <c r="E3844" s="1"/>
    </row>
    <row r="3845" spans="1:5" ht="16">
      <c r="A3845" s="1" t="s">
        <v>3606</v>
      </c>
      <c r="B3845" s="1" t="s">
        <v>3611</v>
      </c>
      <c r="C3845" s="1" t="s">
        <v>332</v>
      </c>
      <c r="D3845" s="1" t="s">
        <v>229</v>
      </c>
      <c r="E3845" s="1"/>
    </row>
    <row r="3846" spans="1:5" ht="16">
      <c r="A3846" s="1" t="s">
        <v>3606</v>
      </c>
      <c r="B3846" s="1" t="s">
        <v>3612</v>
      </c>
      <c r="C3846" s="1" t="s">
        <v>332</v>
      </c>
      <c r="D3846" s="1" t="s">
        <v>229</v>
      </c>
      <c r="E3846" s="1"/>
    </row>
    <row r="3847" spans="1:5" ht="16">
      <c r="A3847" s="1" t="s">
        <v>3606</v>
      </c>
      <c r="B3847" s="1" t="s">
        <v>3613</v>
      </c>
      <c r="C3847" s="1" t="s">
        <v>332</v>
      </c>
      <c r="D3847" s="1" t="s">
        <v>229</v>
      </c>
      <c r="E3847" s="1"/>
    </row>
    <row r="3848" spans="1:5" ht="16">
      <c r="A3848" s="1" t="s">
        <v>3606</v>
      </c>
      <c r="B3848" s="1" t="s">
        <v>3614</v>
      </c>
      <c r="C3848" s="1" t="s">
        <v>332</v>
      </c>
      <c r="D3848" s="1" t="s">
        <v>229</v>
      </c>
      <c r="E3848" s="1"/>
    </row>
    <row r="3849" spans="1:5" ht="16">
      <c r="A3849" s="1" t="s">
        <v>3606</v>
      </c>
      <c r="B3849" s="1" t="s">
        <v>3615</v>
      </c>
      <c r="C3849" s="1" t="s">
        <v>332</v>
      </c>
      <c r="D3849" s="1" t="s">
        <v>229</v>
      </c>
      <c r="E3849" s="1"/>
    </row>
    <row r="3850" spans="1:5" ht="16">
      <c r="A3850" s="1" t="s">
        <v>3606</v>
      </c>
      <c r="B3850" s="1" t="s">
        <v>3616</v>
      </c>
      <c r="C3850" s="1" t="s">
        <v>332</v>
      </c>
      <c r="D3850" s="1" t="s">
        <v>229</v>
      </c>
      <c r="E3850" s="1"/>
    </row>
    <row r="3851" spans="1:5" ht="16">
      <c r="A3851" s="1" t="s">
        <v>3606</v>
      </c>
      <c r="B3851" s="1" t="s">
        <v>3617</v>
      </c>
      <c r="C3851" s="1" t="s">
        <v>332</v>
      </c>
      <c r="D3851" s="1" t="s">
        <v>229</v>
      </c>
      <c r="E3851" s="1"/>
    </row>
    <row r="3852" spans="1:5" ht="16">
      <c r="A3852" s="1" t="s">
        <v>3606</v>
      </c>
      <c r="B3852" s="1" t="s">
        <v>3618</v>
      </c>
      <c r="C3852" s="1" t="s">
        <v>332</v>
      </c>
      <c r="D3852" s="1" t="s">
        <v>229</v>
      </c>
      <c r="E3852" s="1"/>
    </row>
    <row r="3853" spans="1:5" ht="16">
      <c r="A3853" s="1" t="s">
        <v>3606</v>
      </c>
      <c r="B3853" s="1" t="s">
        <v>3619</v>
      </c>
      <c r="C3853" s="1" t="s">
        <v>332</v>
      </c>
      <c r="D3853" s="1" t="s">
        <v>229</v>
      </c>
      <c r="E3853" s="1"/>
    </row>
    <row r="3854" spans="1:5" ht="16">
      <c r="A3854" s="1" t="s">
        <v>3606</v>
      </c>
      <c r="B3854" s="1" t="s">
        <v>3620</v>
      </c>
      <c r="C3854" s="1" t="s">
        <v>332</v>
      </c>
      <c r="D3854" s="1" t="s">
        <v>229</v>
      </c>
      <c r="E3854" s="1"/>
    </row>
    <row r="3855" spans="1:5" ht="16">
      <c r="A3855" s="1" t="s">
        <v>3606</v>
      </c>
      <c r="B3855" s="1" t="s">
        <v>3621</v>
      </c>
      <c r="C3855" s="1" t="s">
        <v>332</v>
      </c>
      <c r="D3855" s="1" t="s">
        <v>229</v>
      </c>
      <c r="E3855" s="1"/>
    </row>
    <row r="3856" spans="1:5" ht="16">
      <c r="A3856" s="1" t="s">
        <v>3606</v>
      </c>
      <c r="B3856" s="1" t="s">
        <v>3622</v>
      </c>
      <c r="C3856" s="1" t="s">
        <v>332</v>
      </c>
      <c r="D3856" s="1" t="s">
        <v>229</v>
      </c>
      <c r="E3856" s="1"/>
    </row>
    <row r="3857" spans="1:5" ht="16">
      <c r="A3857" s="1" t="s">
        <v>3606</v>
      </c>
      <c r="B3857" s="1" t="s">
        <v>3623</v>
      </c>
      <c r="C3857" s="1" t="s">
        <v>332</v>
      </c>
      <c r="D3857" s="1" t="s">
        <v>229</v>
      </c>
      <c r="E3857" s="1"/>
    </row>
    <row r="3858" spans="1:5" ht="16">
      <c r="A3858" s="1" t="s">
        <v>3606</v>
      </c>
      <c r="B3858" s="1" t="s">
        <v>3624</v>
      </c>
      <c r="C3858" s="1" t="s">
        <v>332</v>
      </c>
      <c r="D3858" s="1" t="s">
        <v>229</v>
      </c>
      <c r="E3858" s="1"/>
    </row>
    <row r="3859" spans="1:5" ht="16">
      <c r="A3859" s="1" t="s">
        <v>3606</v>
      </c>
      <c r="B3859" s="1" t="s">
        <v>2255</v>
      </c>
      <c r="C3859" s="1" t="s">
        <v>332</v>
      </c>
      <c r="D3859" s="1" t="s">
        <v>229</v>
      </c>
      <c r="E3859" s="1"/>
    </row>
    <row r="3860" spans="1:5" ht="16">
      <c r="A3860" s="1" t="s">
        <v>3606</v>
      </c>
      <c r="B3860" s="1" t="s">
        <v>3625</v>
      </c>
      <c r="C3860" s="1" t="s">
        <v>332</v>
      </c>
      <c r="D3860" s="1" t="s">
        <v>229</v>
      </c>
      <c r="E3860" s="1"/>
    </row>
    <row r="3861" spans="1:5" ht="16">
      <c r="A3861" s="1" t="s">
        <v>3606</v>
      </c>
      <c r="B3861" s="1" t="s">
        <v>3626</v>
      </c>
      <c r="C3861" s="1" t="s">
        <v>332</v>
      </c>
      <c r="D3861" s="1" t="s">
        <v>229</v>
      </c>
      <c r="E3861" s="1"/>
    </row>
    <row r="3862" spans="1:5" ht="16">
      <c r="A3862" s="1" t="s">
        <v>3606</v>
      </c>
      <c r="B3862" s="1" t="s">
        <v>3627</v>
      </c>
      <c r="C3862" s="1" t="s">
        <v>332</v>
      </c>
      <c r="D3862" s="1" t="s">
        <v>229</v>
      </c>
      <c r="E3862" s="1"/>
    </row>
    <row r="3863" spans="1:5" ht="16">
      <c r="A3863" s="1" t="s">
        <v>3606</v>
      </c>
      <c r="B3863" s="1" t="s">
        <v>3628</v>
      </c>
      <c r="C3863" s="1" t="s">
        <v>332</v>
      </c>
      <c r="D3863" s="1" t="s">
        <v>229</v>
      </c>
      <c r="E3863" s="1"/>
    </row>
    <row r="3864" spans="1:5" ht="16">
      <c r="A3864" s="1" t="s">
        <v>3606</v>
      </c>
      <c r="B3864" s="1" t="s">
        <v>3629</v>
      </c>
      <c r="C3864" s="1" t="s">
        <v>332</v>
      </c>
      <c r="D3864" s="1" t="s">
        <v>229</v>
      </c>
      <c r="E3864" s="1"/>
    </row>
    <row r="3865" spans="1:5" ht="16">
      <c r="A3865" s="1" t="s">
        <v>3606</v>
      </c>
      <c r="B3865" s="1" t="s">
        <v>3630</v>
      </c>
      <c r="C3865" s="1" t="s">
        <v>332</v>
      </c>
      <c r="D3865" s="1" t="s">
        <v>229</v>
      </c>
      <c r="E3865" s="1"/>
    </row>
    <row r="3866" spans="1:5" ht="16">
      <c r="A3866" s="1" t="s">
        <v>3606</v>
      </c>
      <c r="B3866" s="1" t="s">
        <v>3631</v>
      </c>
      <c r="C3866" s="1" t="s">
        <v>332</v>
      </c>
      <c r="D3866" s="1" t="s">
        <v>229</v>
      </c>
      <c r="E3866" s="1"/>
    </row>
    <row r="3867" spans="1:5" ht="16">
      <c r="A3867" s="1" t="s">
        <v>3606</v>
      </c>
      <c r="B3867" s="1" t="s">
        <v>3632</v>
      </c>
      <c r="C3867" s="1" t="s">
        <v>332</v>
      </c>
      <c r="D3867" s="1" t="s">
        <v>229</v>
      </c>
      <c r="E3867" s="1"/>
    </row>
    <row r="3868" spans="1:5" ht="16">
      <c r="A3868" s="1" t="s">
        <v>3606</v>
      </c>
      <c r="B3868" s="1" t="s">
        <v>3633</v>
      </c>
      <c r="C3868" s="1" t="s">
        <v>332</v>
      </c>
      <c r="D3868" s="1" t="s">
        <v>229</v>
      </c>
      <c r="E3868" s="1"/>
    </row>
    <row r="3869" spans="1:5" ht="16">
      <c r="A3869" s="1" t="s">
        <v>3606</v>
      </c>
      <c r="B3869" s="1" t="s">
        <v>3634</v>
      </c>
      <c r="C3869" s="1" t="s">
        <v>332</v>
      </c>
      <c r="D3869" s="1" t="s">
        <v>229</v>
      </c>
      <c r="E3869" s="1"/>
    </row>
    <row r="3870" spans="1:5" ht="16">
      <c r="A3870" s="1" t="s">
        <v>3606</v>
      </c>
      <c r="B3870" s="1" t="s">
        <v>3635</v>
      </c>
      <c r="C3870" s="1" t="s">
        <v>332</v>
      </c>
      <c r="D3870" s="1" t="s">
        <v>229</v>
      </c>
      <c r="E3870" s="1"/>
    </row>
    <row r="3871" spans="1:5" ht="16">
      <c r="A3871" s="1" t="s">
        <v>3606</v>
      </c>
      <c r="B3871" s="1" t="s">
        <v>3636</v>
      </c>
      <c r="C3871" s="1" t="s">
        <v>332</v>
      </c>
      <c r="D3871" s="1" t="s">
        <v>229</v>
      </c>
      <c r="E3871" s="1"/>
    </row>
    <row r="3872" spans="1:5" ht="16">
      <c r="A3872" s="1" t="s">
        <v>3606</v>
      </c>
      <c r="B3872" s="1" t="s">
        <v>3637</v>
      </c>
      <c r="C3872" s="1" t="s">
        <v>332</v>
      </c>
      <c r="D3872" s="1" t="s">
        <v>229</v>
      </c>
      <c r="E3872" s="1"/>
    </row>
    <row r="3873" spans="1:5" ht="16">
      <c r="A3873" s="1" t="s">
        <v>3606</v>
      </c>
      <c r="B3873" s="1" t="s">
        <v>3638</v>
      </c>
      <c r="C3873" s="1" t="s">
        <v>332</v>
      </c>
      <c r="D3873" s="1" t="s">
        <v>229</v>
      </c>
      <c r="E3873" s="1"/>
    </row>
    <row r="3874" spans="1:5" ht="16">
      <c r="A3874" s="1" t="s">
        <v>3606</v>
      </c>
      <c r="B3874" s="1" t="s">
        <v>3639</v>
      </c>
      <c r="C3874" s="1" t="s">
        <v>332</v>
      </c>
      <c r="D3874" s="1" t="s">
        <v>229</v>
      </c>
      <c r="E3874" s="1"/>
    </row>
    <row r="3875" spans="1:5" ht="16">
      <c r="A3875" s="1" t="s">
        <v>3606</v>
      </c>
      <c r="B3875" s="1" t="s">
        <v>3640</v>
      </c>
      <c r="C3875" s="1" t="s">
        <v>332</v>
      </c>
      <c r="D3875" s="1" t="s">
        <v>229</v>
      </c>
      <c r="E3875" s="1"/>
    </row>
    <row r="3876" spans="1:5" ht="16">
      <c r="A3876" s="1" t="s">
        <v>3606</v>
      </c>
      <c r="B3876" s="1" t="s">
        <v>3641</v>
      </c>
      <c r="C3876" s="1" t="s">
        <v>332</v>
      </c>
      <c r="D3876" s="1" t="s">
        <v>229</v>
      </c>
      <c r="E3876" s="1"/>
    </row>
    <row r="3877" spans="1:5" ht="16">
      <c r="A3877" s="1" t="s">
        <v>3606</v>
      </c>
      <c r="B3877" s="1" t="s">
        <v>3642</v>
      </c>
      <c r="C3877" s="1" t="s">
        <v>332</v>
      </c>
      <c r="D3877" s="1" t="s">
        <v>229</v>
      </c>
      <c r="E3877" s="1"/>
    </row>
    <row r="3878" spans="1:5" ht="16">
      <c r="A3878" s="1" t="s">
        <v>3606</v>
      </c>
      <c r="B3878" s="1" t="s">
        <v>3643</v>
      </c>
      <c r="C3878" s="1" t="s">
        <v>332</v>
      </c>
      <c r="D3878" s="1" t="s">
        <v>229</v>
      </c>
      <c r="E3878" s="1"/>
    </row>
    <row r="3879" spans="1:5" ht="16">
      <c r="A3879" s="1" t="s">
        <v>3606</v>
      </c>
      <c r="B3879" s="1" t="s">
        <v>3644</v>
      </c>
      <c r="C3879" s="1" t="s">
        <v>332</v>
      </c>
      <c r="D3879" s="1" t="s">
        <v>229</v>
      </c>
      <c r="E3879" s="1"/>
    </row>
    <row r="3880" spans="1:5" ht="16">
      <c r="A3880" s="1" t="s">
        <v>3606</v>
      </c>
      <c r="B3880" s="1" t="s">
        <v>3645</v>
      </c>
      <c r="C3880" s="1" t="s">
        <v>332</v>
      </c>
      <c r="D3880" s="1" t="s">
        <v>229</v>
      </c>
      <c r="E3880" s="1"/>
    </row>
    <row r="3881" spans="1:5" ht="16">
      <c r="A3881" s="1" t="s">
        <v>3606</v>
      </c>
      <c r="B3881" s="1" t="s">
        <v>3646</v>
      </c>
      <c r="C3881" s="1" t="s">
        <v>332</v>
      </c>
      <c r="D3881" s="1" t="s">
        <v>229</v>
      </c>
      <c r="E3881" s="1"/>
    </row>
    <row r="3882" spans="1:5" ht="16">
      <c r="A3882" s="1" t="s">
        <v>3606</v>
      </c>
      <c r="B3882" s="1" t="s">
        <v>3647</v>
      </c>
      <c r="C3882" s="1" t="s">
        <v>332</v>
      </c>
      <c r="D3882" s="1" t="s">
        <v>229</v>
      </c>
      <c r="E3882" s="1"/>
    </row>
    <row r="3883" spans="1:5" ht="16">
      <c r="A3883" s="1" t="s">
        <v>3606</v>
      </c>
      <c r="B3883" s="1" t="s">
        <v>3648</v>
      </c>
      <c r="C3883" s="1" t="s">
        <v>332</v>
      </c>
      <c r="D3883" s="1" t="s">
        <v>229</v>
      </c>
      <c r="E3883" s="1"/>
    </row>
    <row r="3884" spans="1:5" ht="16">
      <c r="A3884" s="1" t="s">
        <v>3606</v>
      </c>
      <c r="B3884" s="1" t="s">
        <v>3649</v>
      </c>
      <c r="C3884" s="1" t="s">
        <v>332</v>
      </c>
      <c r="D3884" s="1" t="s">
        <v>229</v>
      </c>
      <c r="E3884" s="1"/>
    </row>
    <row r="3885" spans="1:5" ht="16">
      <c r="A3885" s="1" t="s">
        <v>3606</v>
      </c>
      <c r="B3885" s="1" t="s">
        <v>3650</v>
      </c>
      <c r="C3885" s="1" t="s">
        <v>332</v>
      </c>
      <c r="D3885" s="1" t="s">
        <v>229</v>
      </c>
      <c r="E3885" s="1"/>
    </row>
    <row r="3886" spans="1:5" ht="16">
      <c r="A3886" s="1" t="s">
        <v>3606</v>
      </c>
      <c r="B3886" s="1" t="s">
        <v>3651</v>
      </c>
      <c r="C3886" s="1" t="s">
        <v>332</v>
      </c>
      <c r="D3886" s="1" t="s">
        <v>229</v>
      </c>
      <c r="E3886" s="1"/>
    </row>
    <row r="3887" spans="1:5" ht="16">
      <c r="A3887" s="1" t="s">
        <v>3606</v>
      </c>
      <c r="B3887" s="1" t="s">
        <v>3652</v>
      </c>
      <c r="C3887" s="1" t="s">
        <v>332</v>
      </c>
      <c r="D3887" s="1" t="s">
        <v>229</v>
      </c>
      <c r="E3887" s="1"/>
    </row>
    <row r="3888" spans="1:5" ht="16">
      <c r="A3888" s="1" t="s">
        <v>3606</v>
      </c>
      <c r="B3888" s="1" t="s">
        <v>3653</v>
      </c>
      <c r="C3888" s="1" t="s">
        <v>332</v>
      </c>
      <c r="D3888" s="1" t="s">
        <v>229</v>
      </c>
      <c r="E3888" s="1"/>
    </row>
    <row r="3889" spans="1:5" ht="16">
      <c r="A3889" s="1" t="s">
        <v>3606</v>
      </c>
      <c r="B3889" s="1" t="s">
        <v>3654</v>
      </c>
      <c r="C3889" s="1" t="s">
        <v>332</v>
      </c>
      <c r="D3889" s="1" t="s">
        <v>229</v>
      </c>
      <c r="E3889" s="1"/>
    </row>
    <row r="3890" spans="1:5" ht="16">
      <c r="A3890" s="1" t="s">
        <v>3606</v>
      </c>
      <c r="B3890" s="1" t="s">
        <v>3655</v>
      </c>
      <c r="C3890" s="1" t="s">
        <v>332</v>
      </c>
      <c r="D3890" s="1" t="s">
        <v>229</v>
      </c>
      <c r="E3890" s="1"/>
    </row>
    <row r="3891" spans="1:5" ht="16">
      <c r="A3891" s="1" t="s">
        <v>3606</v>
      </c>
      <c r="B3891" s="1" t="s">
        <v>3656</v>
      </c>
      <c r="C3891" s="1" t="s">
        <v>332</v>
      </c>
      <c r="D3891" s="1" t="s">
        <v>229</v>
      </c>
      <c r="E3891" s="1"/>
    </row>
    <row r="3892" spans="1:5" ht="16">
      <c r="A3892" s="1" t="s">
        <v>3606</v>
      </c>
      <c r="B3892" s="1" t="s">
        <v>3657</v>
      </c>
      <c r="C3892" s="1" t="s">
        <v>332</v>
      </c>
      <c r="D3892" s="1" t="s">
        <v>229</v>
      </c>
      <c r="E3892" s="1"/>
    </row>
    <row r="3893" spans="1:5" ht="16">
      <c r="A3893" s="1" t="s">
        <v>3606</v>
      </c>
      <c r="B3893" s="1" t="s">
        <v>3658</v>
      </c>
      <c r="C3893" s="1" t="s">
        <v>332</v>
      </c>
      <c r="D3893" s="1" t="s">
        <v>229</v>
      </c>
      <c r="E3893" s="1"/>
    </row>
    <row r="3894" spans="1:5" ht="16">
      <c r="A3894" s="1" t="s">
        <v>3606</v>
      </c>
      <c r="B3894" s="1" t="s">
        <v>3659</v>
      </c>
      <c r="C3894" s="1" t="s">
        <v>332</v>
      </c>
      <c r="D3894" s="1" t="s">
        <v>229</v>
      </c>
      <c r="E3894" s="1"/>
    </row>
    <row r="3895" spans="1:5" ht="16">
      <c r="A3895" s="1" t="s">
        <v>3606</v>
      </c>
      <c r="B3895" s="1" t="s">
        <v>3660</v>
      </c>
      <c r="C3895" s="1" t="s">
        <v>332</v>
      </c>
      <c r="D3895" s="1" t="s">
        <v>229</v>
      </c>
      <c r="E3895" s="1"/>
    </row>
    <row r="3896" spans="1:5" ht="16">
      <c r="A3896" s="1" t="s">
        <v>3606</v>
      </c>
      <c r="B3896" s="1" t="s">
        <v>3661</v>
      </c>
      <c r="C3896" s="1" t="s">
        <v>332</v>
      </c>
      <c r="D3896" s="1" t="s">
        <v>229</v>
      </c>
      <c r="E3896" s="1"/>
    </row>
    <row r="3897" spans="1:5" ht="16">
      <c r="A3897" s="1" t="s">
        <v>3606</v>
      </c>
      <c r="B3897" s="1" t="s">
        <v>3662</v>
      </c>
      <c r="C3897" s="1" t="s">
        <v>332</v>
      </c>
      <c r="D3897" s="1" t="s">
        <v>229</v>
      </c>
      <c r="E3897" s="1"/>
    </row>
    <row r="3898" spans="1:5" ht="16">
      <c r="A3898" s="1" t="s">
        <v>3606</v>
      </c>
      <c r="B3898" s="1" t="s">
        <v>3663</v>
      </c>
      <c r="C3898" s="1" t="s">
        <v>332</v>
      </c>
      <c r="D3898" s="1" t="s">
        <v>229</v>
      </c>
      <c r="E3898" s="1"/>
    </row>
    <row r="3899" spans="1:5" ht="16">
      <c r="A3899" s="1" t="s">
        <v>3606</v>
      </c>
      <c r="B3899" s="1" t="s">
        <v>3664</v>
      </c>
      <c r="C3899" s="1" t="s">
        <v>332</v>
      </c>
      <c r="D3899" s="1" t="s">
        <v>229</v>
      </c>
      <c r="E3899" s="1"/>
    </row>
    <row r="3900" spans="1:5" ht="16">
      <c r="A3900" s="1" t="s">
        <v>3606</v>
      </c>
      <c r="B3900" s="1" t="s">
        <v>3665</v>
      </c>
      <c r="C3900" s="1" t="s">
        <v>332</v>
      </c>
      <c r="D3900" s="1" t="s">
        <v>229</v>
      </c>
      <c r="E3900" s="1"/>
    </row>
    <row r="3901" spans="1:5" ht="16">
      <c r="A3901" s="1" t="s">
        <v>3606</v>
      </c>
      <c r="B3901" s="1" t="s">
        <v>3666</v>
      </c>
      <c r="C3901" s="1" t="s">
        <v>332</v>
      </c>
      <c r="D3901" s="1" t="s">
        <v>229</v>
      </c>
      <c r="E3901" s="1"/>
    </row>
    <row r="3902" spans="1:5" ht="16">
      <c r="A3902" s="1" t="s">
        <v>3606</v>
      </c>
      <c r="B3902" s="1" t="s">
        <v>3667</v>
      </c>
      <c r="C3902" s="1" t="s">
        <v>332</v>
      </c>
      <c r="D3902" s="1" t="s">
        <v>229</v>
      </c>
      <c r="E3902" s="1"/>
    </row>
    <row r="3903" spans="1:5" ht="16">
      <c r="A3903" s="1" t="s">
        <v>3606</v>
      </c>
      <c r="B3903" s="1" t="s">
        <v>3668</v>
      </c>
      <c r="C3903" s="1" t="s">
        <v>332</v>
      </c>
      <c r="D3903" s="1" t="s">
        <v>229</v>
      </c>
      <c r="E3903" s="1"/>
    </row>
    <row r="3904" spans="1:5" ht="16">
      <c r="A3904" s="1" t="s">
        <v>3606</v>
      </c>
      <c r="B3904" s="1" t="s">
        <v>3669</v>
      </c>
      <c r="C3904" s="1" t="s">
        <v>332</v>
      </c>
      <c r="D3904" s="1" t="s">
        <v>229</v>
      </c>
      <c r="E3904" s="1"/>
    </row>
    <row r="3905" spans="1:5" ht="16">
      <c r="A3905" s="1" t="s">
        <v>3606</v>
      </c>
      <c r="B3905" s="1" t="s">
        <v>3670</v>
      </c>
      <c r="C3905" s="1" t="s">
        <v>332</v>
      </c>
      <c r="D3905" s="1" t="s">
        <v>229</v>
      </c>
      <c r="E3905" s="1"/>
    </row>
    <row r="3906" spans="1:5" ht="16">
      <c r="A3906" s="1" t="s">
        <v>3606</v>
      </c>
      <c r="B3906" s="1" t="s">
        <v>3671</v>
      </c>
      <c r="C3906" s="1" t="s">
        <v>332</v>
      </c>
      <c r="D3906" s="1" t="s">
        <v>229</v>
      </c>
      <c r="E3906" s="1"/>
    </row>
    <row r="3907" spans="1:5" ht="16">
      <c r="A3907" s="1" t="s">
        <v>3606</v>
      </c>
      <c r="B3907" s="1" t="s">
        <v>3672</v>
      </c>
      <c r="C3907" s="1" t="s">
        <v>332</v>
      </c>
      <c r="D3907" s="1" t="s">
        <v>229</v>
      </c>
      <c r="E3907" s="1"/>
    </row>
    <row r="3908" spans="1:5" ht="16">
      <c r="A3908" s="1" t="s">
        <v>3606</v>
      </c>
      <c r="B3908" s="1" t="s">
        <v>3673</v>
      </c>
      <c r="C3908" s="1" t="s">
        <v>332</v>
      </c>
      <c r="D3908" s="1" t="s">
        <v>229</v>
      </c>
      <c r="E3908" s="1"/>
    </row>
    <row r="3909" spans="1:5" ht="16">
      <c r="A3909" s="1" t="s">
        <v>3606</v>
      </c>
      <c r="B3909" s="1" t="s">
        <v>3674</v>
      </c>
      <c r="C3909" s="1" t="s">
        <v>332</v>
      </c>
      <c r="D3909" s="1" t="s">
        <v>229</v>
      </c>
      <c r="E3909" s="1"/>
    </row>
    <row r="3910" spans="1:5" ht="16">
      <c r="A3910" s="1" t="s">
        <v>3606</v>
      </c>
      <c r="B3910" s="1" t="s">
        <v>3675</v>
      </c>
      <c r="C3910" s="1" t="s">
        <v>332</v>
      </c>
      <c r="D3910" s="1" t="s">
        <v>229</v>
      </c>
      <c r="E3910" s="1"/>
    </row>
    <row r="3911" spans="1:5" ht="16">
      <c r="A3911" s="1" t="s">
        <v>3606</v>
      </c>
      <c r="B3911" s="1" t="s">
        <v>3676</v>
      </c>
      <c r="C3911" s="1" t="s">
        <v>332</v>
      </c>
      <c r="D3911" s="1" t="s">
        <v>229</v>
      </c>
      <c r="E3911" s="1"/>
    </row>
    <row r="3912" spans="1:5" ht="16">
      <c r="A3912" s="1" t="s">
        <v>3606</v>
      </c>
      <c r="B3912" s="1" t="s">
        <v>3677</v>
      </c>
      <c r="C3912" s="1" t="s">
        <v>332</v>
      </c>
      <c r="D3912" s="1" t="s">
        <v>229</v>
      </c>
      <c r="E3912" s="1"/>
    </row>
    <row r="3913" spans="1:5" ht="16">
      <c r="A3913" s="1" t="s">
        <v>3606</v>
      </c>
      <c r="B3913" s="1" t="s">
        <v>3678</v>
      </c>
      <c r="C3913" s="1" t="s">
        <v>332</v>
      </c>
      <c r="D3913" s="1" t="s">
        <v>229</v>
      </c>
      <c r="E3913" s="1"/>
    </row>
    <row r="3914" spans="1:5" ht="16">
      <c r="A3914" s="1" t="s">
        <v>3606</v>
      </c>
      <c r="B3914" s="1" t="s">
        <v>3679</v>
      </c>
      <c r="C3914" s="1" t="s">
        <v>332</v>
      </c>
      <c r="D3914" s="1" t="s">
        <v>229</v>
      </c>
      <c r="E3914" s="1"/>
    </row>
    <row r="3915" spans="1:5" ht="16">
      <c r="A3915" s="1" t="s">
        <v>3606</v>
      </c>
      <c r="B3915" s="1" t="s">
        <v>3680</v>
      </c>
      <c r="C3915" s="1" t="s">
        <v>332</v>
      </c>
      <c r="D3915" s="1" t="s">
        <v>229</v>
      </c>
      <c r="E3915" s="1"/>
    </row>
    <row r="3916" spans="1:5" ht="16">
      <c r="A3916" s="1" t="s">
        <v>3606</v>
      </c>
      <c r="B3916" s="1" t="s">
        <v>3681</v>
      </c>
      <c r="C3916" s="1" t="s">
        <v>332</v>
      </c>
      <c r="D3916" s="1" t="s">
        <v>229</v>
      </c>
      <c r="E3916" s="1"/>
    </row>
    <row r="3917" spans="1:5" ht="16">
      <c r="A3917" s="1" t="s">
        <v>3606</v>
      </c>
      <c r="B3917" s="1" t="s">
        <v>3682</v>
      </c>
      <c r="C3917" s="1" t="s">
        <v>332</v>
      </c>
      <c r="D3917" s="1" t="s">
        <v>229</v>
      </c>
      <c r="E3917" s="1"/>
    </row>
    <row r="3918" spans="1:5" ht="16">
      <c r="A3918" s="1" t="s">
        <v>3606</v>
      </c>
      <c r="B3918" s="1" t="s">
        <v>3683</v>
      </c>
      <c r="C3918" s="1" t="s">
        <v>332</v>
      </c>
      <c r="D3918" s="1" t="s">
        <v>229</v>
      </c>
      <c r="E3918" s="1"/>
    </row>
    <row r="3919" spans="1:5" ht="16">
      <c r="A3919" s="1" t="s">
        <v>3606</v>
      </c>
      <c r="B3919" s="1" t="s">
        <v>3684</v>
      </c>
      <c r="C3919" s="1" t="s">
        <v>332</v>
      </c>
      <c r="D3919" s="1" t="s">
        <v>229</v>
      </c>
      <c r="E3919" s="1"/>
    </row>
    <row r="3920" spans="1:5" ht="16">
      <c r="A3920" s="1" t="s">
        <v>3606</v>
      </c>
      <c r="B3920" s="1" t="s">
        <v>3685</v>
      </c>
      <c r="C3920" s="1" t="s">
        <v>332</v>
      </c>
      <c r="D3920" s="1" t="s">
        <v>229</v>
      </c>
      <c r="E3920" s="1"/>
    </row>
    <row r="3921" spans="1:5" ht="16">
      <c r="A3921" s="1" t="s">
        <v>3606</v>
      </c>
      <c r="B3921" s="1" t="s">
        <v>3686</v>
      </c>
      <c r="C3921" s="1" t="s">
        <v>332</v>
      </c>
      <c r="D3921" s="1" t="s">
        <v>229</v>
      </c>
      <c r="E3921" s="1"/>
    </row>
    <row r="3922" spans="1:5" ht="16">
      <c r="A3922" s="1" t="s">
        <v>3606</v>
      </c>
      <c r="B3922" s="1" t="s">
        <v>3687</v>
      </c>
      <c r="C3922" s="1" t="s">
        <v>332</v>
      </c>
      <c r="D3922" s="1" t="s">
        <v>229</v>
      </c>
      <c r="E3922" s="1"/>
    </row>
    <row r="3923" spans="1:5" ht="16">
      <c r="A3923" s="1" t="s">
        <v>3606</v>
      </c>
      <c r="B3923" s="1" t="s">
        <v>3688</v>
      </c>
      <c r="C3923" s="1" t="s">
        <v>332</v>
      </c>
      <c r="D3923" s="1" t="s">
        <v>229</v>
      </c>
      <c r="E3923" s="1"/>
    </row>
    <row r="3924" spans="1:5" ht="16">
      <c r="A3924" s="1" t="s">
        <v>3606</v>
      </c>
      <c r="B3924" s="1" t="s">
        <v>3689</v>
      </c>
      <c r="C3924" s="1" t="s">
        <v>332</v>
      </c>
      <c r="D3924" s="1" t="s">
        <v>229</v>
      </c>
      <c r="E3924" s="1"/>
    </row>
    <row r="3925" spans="1:5" ht="16">
      <c r="A3925" s="1" t="s">
        <v>3606</v>
      </c>
      <c r="B3925" s="1" t="s">
        <v>3690</v>
      </c>
      <c r="C3925" s="1" t="s">
        <v>332</v>
      </c>
      <c r="D3925" s="1" t="s">
        <v>229</v>
      </c>
      <c r="E3925" s="1"/>
    </row>
    <row r="3926" spans="1:5" ht="16">
      <c r="A3926" s="1" t="s">
        <v>3606</v>
      </c>
      <c r="B3926" s="1" t="s">
        <v>3691</v>
      </c>
      <c r="C3926" s="1" t="s">
        <v>332</v>
      </c>
      <c r="D3926" s="1" t="s">
        <v>229</v>
      </c>
      <c r="E3926" s="1"/>
    </row>
    <row r="3927" spans="1:5" ht="16">
      <c r="A3927" s="1" t="s">
        <v>3606</v>
      </c>
      <c r="B3927" s="1" t="s">
        <v>3692</v>
      </c>
      <c r="C3927" s="1" t="s">
        <v>332</v>
      </c>
      <c r="D3927" s="1" t="s">
        <v>229</v>
      </c>
      <c r="E3927" s="1"/>
    </row>
    <row r="3928" spans="1:5" ht="16">
      <c r="A3928" s="1" t="s">
        <v>3606</v>
      </c>
      <c r="B3928" s="1" t="s">
        <v>3693</v>
      </c>
      <c r="C3928" s="1" t="s">
        <v>332</v>
      </c>
      <c r="D3928" s="1" t="s">
        <v>229</v>
      </c>
      <c r="E3928" s="1"/>
    </row>
    <row r="3929" spans="1:5" ht="16">
      <c r="A3929" s="1" t="s">
        <v>3606</v>
      </c>
      <c r="B3929" s="1" t="s">
        <v>3694</v>
      </c>
      <c r="C3929" s="1" t="s">
        <v>332</v>
      </c>
      <c r="D3929" s="1" t="s">
        <v>229</v>
      </c>
      <c r="E3929" s="1"/>
    </row>
    <row r="3930" spans="1:5" ht="16">
      <c r="A3930" s="1" t="s">
        <v>3606</v>
      </c>
      <c r="B3930" s="1" t="s">
        <v>3695</v>
      </c>
      <c r="C3930" s="1" t="s">
        <v>332</v>
      </c>
      <c r="D3930" s="1" t="s">
        <v>229</v>
      </c>
      <c r="E3930" s="1"/>
    </row>
    <row r="3931" spans="1:5" ht="16">
      <c r="A3931" s="1" t="s">
        <v>3606</v>
      </c>
      <c r="B3931" s="1" t="s">
        <v>3696</v>
      </c>
      <c r="C3931" s="1" t="s">
        <v>332</v>
      </c>
      <c r="D3931" s="1" t="s">
        <v>229</v>
      </c>
      <c r="E3931" s="1"/>
    </row>
    <row r="3932" spans="1:5" ht="16">
      <c r="A3932" s="1" t="s">
        <v>3606</v>
      </c>
      <c r="B3932" s="1" t="s">
        <v>3697</v>
      </c>
      <c r="C3932" s="1" t="s">
        <v>332</v>
      </c>
      <c r="D3932" s="1" t="s">
        <v>229</v>
      </c>
      <c r="E3932" s="1"/>
    </row>
    <row r="3933" spans="1:5" ht="16">
      <c r="A3933" s="1" t="s">
        <v>3606</v>
      </c>
      <c r="B3933" s="1" t="s">
        <v>3698</v>
      </c>
      <c r="C3933" s="1" t="s">
        <v>332</v>
      </c>
      <c r="D3933" s="1" t="s">
        <v>229</v>
      </c>
      <c r="E3933" s="1"/>
    </row>
    <row r="3934" spans="1:5" ht="16">
      <c r="A3934" s="1" t="s">
        <v>3606</v>
      </c>
      <c r="B3934" s="1" t="s">
        <v>3699</v>
      </c>
      <c r="C3934" s="1" t="s">
        <v>332</v>
      </c>
      <c r="D3934" s="1" t="s">
        <v>229</v>
      </c>
      <c r="E3934" s="1"/>
    </row>
    <row r="3935" spans="1:5" ht="16">
      <c r="A3935" s="1" t="s">
        <v>3606</v>
      </c>
      <c r="B3935" s="1" t="s">
        <v>3700</v>
      </c>
      <c r="C3935" s="1" t="s">
        <v>332</v>
      </c>
      <c r="D3935" s="1" t="s">
        <v>229</v>
      </c>
      <c r="E3935" s="1"/>
    </row>
    <row r="3936" spans="1:5" ht="16">
      <c r="A3936" s="1" t="s">
        <v>3606</v>
      </c>
      <c r="B3936" s="1" t="s">
        <v>3701</v>
      </c>
      <c r="C3936" s="1" t="s">
        <v>332</v>
      </c>
      <c r="D3936" s="1" t="s">
        <v>229</v>
      </c>
      <c r="E3936" s="1"/>
    </row>
    <row r="3937" spans="1:5" ht="16">
      <c r="A3937" s="1" t="s">
        <v>3606</v>
      </c>
      <c r="B3937" s="1" t="s">
        <v>3702</v>
      </c>
      <c r="C3937" s="1" t="s">
        <v>332</v>
      </c>
      <c r="D3937" s="1" t="s">
        <v>229</v>
      </c>
      <c r="E3937" s="1"/>
    </row>
    <row r="3938" spans="1:5" ht="16">
      <c r="A3938" s="1" t="s">
        <v>3606</v>
      </c>
      <c r="B3938" s="1" t="s">
        <v>3703</v>
      </c>
      <c r="C3938" s="1" t="s">
        <v>332</v>
      </c>
      <c r="D3938" s="1" t="s">
        <v>229</v>
      </c>
      <c r="E3938" s="1"/>
    </row>
    <row r="3939" spans="1:5" ht="16">
      <c r="A3939" s="1" t="s">
        <v>3606</v>
      </c>
      <c r="B3939" s="1" t="s">
        <v>3704</v>
      </c>
      <c r="C3939" s="1" t="s">
        <v>332</v>
      </c>
      <c r="D3939" s="1" t="s">
        <v>229</v>
      </c>
      <c r="E3939" s="1"/>
    </row>
    <row r="3940" spans="1:5" ht="16">
      <c r="A3940" s="1" t="s">
        <v>3606</v>
      </c>
      <c r="B3940" s="1" t="s">
        <v>3705</v>
      </c>
      <c r="C3940" s="1" t="s">
        <v>332</v>
      </c>
      <c r="D3940" s="1" t="s">
        <v>229</v>
      </c>
      <c r="E3940" s="1"/>
    </row>
    <row r="3941" spans="1:5" ht="16">
      <c r="A3941" s="1" t="s">
        <v>3606</v>
      </c>
      <c r="B3941" s="1" t="s">
        <v>3706</v>
      </c>
      <c r="C3941" s="1" t="s">
        <v>332</v>
      </c>
      <c r="D3941" s="1" t="s">
        <v>229</v>
      </c>
      <c r="E3941" s="1"/>
    </row>
    <row r="3942" spans="1:5" ht="16">
      <c r="A3942" s="1" t="s">
        <v>3606</v>
      </c>
      <c r="B3942" s="1" t="s">
        <v>3707</v>
      </c>
      <c r="C3942" s="1" t="s">
        <v>332</v>
      </c>
      <c r="D3942" s="1" t="s">
        <v>229</v>
      </c>
      <c r="E3942" s="1"/>
    </row>
    <row r="3943" spans="1:5" ht="16">
      <c r="A3943" s="1" t="s">
        <v>3606</v>
      </c>
      <c r="B3943" s="1" t="s">
        <v>3708</v>
      </c>
      <c r="C3943" s="1" t="s">
        <v>332</v>
      </c>
      <c r="D3943" s="1" t="s">
        <v>229</v>
      </c>
      <c r="E3943" s="1"/>
    </row>
    <row r="3944" spans="1:5" ht="16">
      <c r="A3944" s="1" t="s">
        <v>3606</v>
      </c>
      <c r="B3944" s="1" t="s">
        <v>3709</v>
      </c>
      <c r="C3944" s="1" t="s">
        <v>332</v>
      </c>
      <c r="D3944" s="1" t="s">
        <v>229</v>
      </c>
      <c r="E3944" s="1"/>
    </row>
    <row r="3945" spans="1:5" ht="16">
      <c r="A3945" s="1" t="s">
        <v>3606</v>
      </c>
      <c r="B3945" s="1" t="s">
        <v>3710</v>
      </c>
      <c r="C3945" s="1" t="s">
        <v>332</v>
      </c>
      <c r="D3945" s="1" t="s">
        <v>229</v>
      </c>
      <c r="E3945" s="1"/>
    </row>
    <row r="3946" spans="1:5" ht="16">
      <c r="A3946" s="1" t="s">
        <v>3606</v>
      </c>
      <c r="B3946" s="1" t="s">
        <v>3711</v>
      </c>
      <c r="C3946" s="1" t="s">
        <v>332</v>
      </c>
      <c r="D3946" s="1" t="s">
        <v>229</v>
      </c>
      <c r="E3946" s="1"/>
    </row>
    <row r="3947" spans="1:5" ht="16">
      <c r="A3947" s="1" t="s">
        <v>3606</v>
      </c>
      <c r="B3947" s="1" t="s">
        <v>3712</v>
      </c>
      <c r="C3947" s="1" t="s">
        <v>332</v>
      </c>
      <c r="D3947" s="1" t="s">
        <v>229</v>
      </c>
      <c r="E3947" s="1"/>
    </row>
    <row r="3948" spans="1:5" ht="16">
      <c r="A3948" s="1" t="s">
        <v>3606</v>
      </c>
      <c r="B3948" s="1" t="s">
        <v>3713</v>
      </c>
      <c r="C3948" s="1" t="s">
        <v>332</v>
      </c>
      <c r="D3948" s="1" t="s">
        <v>229</v>
      </c>
      <c r="E3948" s="1"/>
    </row>
    <row r="3949" spans="1:5" ht="16">
      <c r="A3949" s="1" t="s">
        <v>3606</v>
      </c>
      <c r="B3949" s="1" t="s">
        <v>3714</v>
      </c>
      <c r="C3949" s="1" t="s">
        <v>332</v>
      </c>
      <c r="D3949" s="1" t="s">
        <v>229</v>
      </c>
      <c r="E3949" s="1"/>
    </row>
    <row r="3950" spans="1:5" ht="16">
      <c r="A3950" s="1" t="s">
        <v>3606</v>
      </c>
      <c r="B3950" s="1" t="s">
        <v>3715</v>
      </c>
      <c r="C3950" s="1" t="s">
        <v>332</v>
      </c>
      <c r="D3950" s="1" t="s">
        <v>229</v>
      </c>
      <c r="E3950" s="1"/>
    </row>
    <row r="3951" spans="1:5" ht="16">
      <c r="A3951" s="1" t="s">
        <v>3606</v>
      </c>
      <c r="B3951" s="1" t="s">
        <v>3716</v>
      </c>
      <c r="C3951" s="1" t="s">
        <v>332</v>
      </c>
      <c r="D3951" s="1" t="s">
        <v>229</v>
      </c>
      <c r="E3951" s="1"/>
    </row>
    <row r="3952" spans="1:5" ht="16">
      <c r="A3952" s="1" t="s">
        <v>3606</v>
      </c>
      <c r="B3952" s="1" t="s">
        <v>3717</v>
      </c>
      <c r="C3952" s="1" t="s">
        <v>332</v>
      </c>
      <c r="D3952" s="1" t="s">
        <v>229</v>
      </c>
      <c r="E3952" s="1"/>
    </row>
    <row r="3953" spans="1:5" ht="16">
      <c r="A3953" s="1" t="s">
        <v>3606</v>
      </c>
      <c r="B3953" s="1" t="s">
        <v>3718</v>
      </c>
      <c r="C3953" s="1" t="s">
        <v>332</v>
      </c>
      <c r="D3953" s="1" t="s">
        <v>229</v>
      </c>
      <c r="E3953" s="1"/>
    </row>
    <row r="3954" spans="1:5" ht="16">
      <c r="A3954" s="1" t="s">
        <v>3606</v>
      </c>
      <c r="B3954" s="1" t="s">
        <v>3719</v>
      </c>
      <c r="C3954" s="1" t="s">
        <v>332</v>
      </c>
      <c r="D3954" s="1" t="s">
        <v>229</v>
      </c>
      <c r="E3954" s="1"/>
    </row>
    <row r="3955" spans="1:5" ht="16">
      <c r="A3955" s="1" t="s">
        <v>3606</v>
      </c>
      <c r="B3955" s="1" t="s">
        <v>3720</v>
      </c>
      <c r="C3955" s="1" t="s">
        <v>332</v>
      </c>
      <c r="D3955" s="1" t="s">
        <v>229</v>
      </c>
      <c r="E3955" s="1"/>
    </row>
    <row r="3956" spans="1:5" ht="16">
      <c r="A3956" s="1" t="s">
        <v>3606</v>
      </c>
      <c r="B3956" s="1" t="s">
        <v>3721</v>
      </c>
      <c r="C3956" s="1" t="s">
        <v>332</v>
      </c>
      <c r="D3956" s="1" t="s">
        <v>229</v>
      </c>
      <c r="E3956" s="1"/>
    </row>
    <row r="3957" spans="1:5" ht="16">
      <c r="A3957" s="1" t="s">
        <v>3606</v>
      </c>
      <c r="B3957" s="1" t="s">
        <v>3722</v>
      </c>
      <c r="C3957" s="1" t="s">
        <v>332</v>
      </c>
      <c r="D3957" s="1" t="s">
        <v>229</v>
      </c>
      <c r="E3957" s="1"/>
    </row>
    <row r="3958" spans="1:5" ht="16">
      <c r="A3958" s="1" t="s">
        <v>3606</v>
      </c>
      <c r="B3958" s="1" t="s">
        <v>3723</v>
      </c>
      <c r="C3958" s="1" t="s">
        <v>332</v>
      </c>
      <c r="D3958" s="1" t="s">
        <v>229</v>
      </c>
      <c r="E3958" s="1"/>
    </row>
    <row r="3959" spans="1:5" ht="16">
      <c r="A3959" s="1" t="s">
        <v>3606</v>
      </c>
      <c r="B3959" s="1" t="s">
        <v>3724</v>
      </c>
      <c r="C3959" s="1" t="s">
        <v>332</v>
      </c>
      <c r="D3959" s="1" t="s">
        <v>229</v>
      </c>
      <c r="E3959" s="1"/>
    </row>
    <row r="3960" spans="1:5" ht="16">
      <c r="A3960" s="1" t="s">
        <v>3606</v>
      </c>
      <c r="B3960" s="1" t="s">
        <v>3725</v>
      </c>
      <c r="C3960" s="1" t="s">
        <v>332</v>
      </c>
      <c r="D3960" s="1" t="s">
        <v>229</v>
      </c>
      <c r="E3960" s="1"/>
    </row>
    <row r="3961" spans="1:5" ht="16">
      <c r="A3961" s="1" t="s">
        <v>3606</v>
      </c>
      <c r="B3961" s="1" t="s">
        <v>3726</v>
      </c>
      <c r="C3961" s="1" t="s">
        <v>332</v>
      </c>
      <c r="D3961" s="1" t="s">
        <v>229</v>
      </c>
      <c r="E3961" s="1"/>
    </row>
    <row r="3962" spans="1:5" ht="16">
      <c r="A3962" s="1" t="s">
        <v>3606</v>
      </c>
      <c r="B3962" s="1" t="s">
        <v>3727</v>
      </c>
      <c r="C3962" s="1" t="s">
        <v>332</v>
      </c>
      <c r="D3962" s="1" t="s">
        <v>229</v>
      </c>
      <c r="E3962" s="1"/>
    </row>
    <row r="3963" spans="1:5" ht="16">
      <c r="A3963" s="1" t="s">
        <v>3606</v>
      </c>
      <c r="B3963" s="1" t="s">
        <v>3728</v>
      </c>
      <c r="C3963" s="1" t="s">
        <v>332</v>
      </c>
      <c r="D3963" s="1" t="s">
        <v>229</v>
      </c>
      <c r="E3963" s="1"/>
    </row>
    <row r="3964" spans="1:5" ht="16">
      <c r="A3964" s="1" t="s">
        <v>3606</v>
      </c>
      <c r="B3964" s="1" t="s">
        <v>3729</v>
      </c>
      <c r="C3964" s="1" t="s">
        <v>332</v>
      </c>
      <c r="D3964" s="1" t="s">
        <v>229</v>
      </c>
      <c r="E3964" s="1"/>
    </row>
    <row r="3965" spans="1:5" ht="16">
      <c r="A3965" s="1" t="s">
        <v>3606</v>
      </c>
      <c r="B3965" s="1" t="s">
        <v>3730</v>
      </c>
      <c r="C3965" s="1" t="s">
        <v>332</v>
      </c>
      <c r="D3965" s="1" t="s">
        <v>229</v>
      </c>
      <c r="E3965" s="1"/>
    </row>
    <row r="3966" spans="1:5" ht="16">
      <c r="A3966" s="1" t="s">
        <v>3606</v>
      </c>
      <c r="B3966" s="1" t="s">
        <v>3731</v>
      </c>
      <c r="C3966" s="1" t="s">
        <v>332</v>
      </c>
      <c r="D3966" s="1" t="s">
        <v>229</v>
      </c>
      <c r="E3966" s="1"/>
    </row>
    <row r="3967" spans="1:5" ht="16">
      <c r="A3967" s="1" t="s">
        <v>3606</v>
      </c>
      <c r="B3967" s="1" t="s">
        <v>3732</v>
      </c>
      <c r="C3967" s="1" t="s">
        <v>332</v>
      </c>
      <c r="D3967" s="1" t="s">
        <v>229</v>
      </c>
      <c r="E3967" s="1"/>
    </row>
    <row r="3968" spans="1:5" ht="16">
      <c r="A3968" s="1" t="s">
        <v>3606</v>
      </c>
      <c r="B3968" s="1" t="s">
        <v>3733</v>
      </c>
      <c r="C3968" s="1" t="s">
        <v>332</v>
      </c>
      <c r="D3968" s="1" t="s">
        <v>229</v>
      </c>
      <c r="E3968" s="1"/>
    </row>
    <row r="3969" spans="1:5" ht="16">
      <c r="A3969" s="1" t="s">
        <v>3606</v>
      </c>
      <c r="B3969" s="1" t="s">
        <v>3734</v>
      </c>
      <c r="C3969" s="1" t="s">
        <v>332</v>
      </c>
      <c r="D3969" s="1" t="s">
        <v>229</v>
      </c>
      <c r="E3969" s="1"/>
    </row>
    <row r="3970" spans="1:5" ht="16">
      <c r="A3970" s="1" t="s">
        <v>3606</v>
      </c>
      <c r="B3970" s="1" t="s">
        <v>3735</v>
      </c>
      <c r="C3970" s="1" t="s">
        <v>332</v>
      </c>
      <c r="D3970" s="1" t="s">
        <v>229</v>
      </c>
      <c r="E3970" s="1"/>
    </row>
    <row r="3971" spans="1:5" ht="16">
      <c r="A3971" s="1" t="s">
        <v>3606</v>
      </c>
      <c r="B3971" s="1" t="s">
        <v>3736</v>
      </c>
      <c r="C3971" s="1" t="s">
        <v>332</v>
      </c>
      <c r="D3971" s="1" t="s">
        <v>229</v>
      </c>
      <c r="E3971" s="1"/>
    </row>
    <row r="3972" spans="1:5" ht="16">
      <c r="A3972" s="1" t="s">
        <v>3606</v>
      </c>
      <c r="B3972" s="1" t="s">
        <v>3737</v>
      </c>
      <c r="C3972" s="1" t="s">
        <v>332</v>
      </c>
      <c r="D3972" s="1" t="s">
        <v>229</v>
      </c>
      <c r="E3972" s="1"/>
    </row>
    <row r="3973" spans="1:5" ht="16">
      <c r="A3973" s="1" t="s">
        <v>3606</v>
      </c>
      <c r="B3973" s="1" t="s">
        <v>3738</v>
      </c>
      <c r="C3973" s="1" t="s">
        <v>332</v>
      </c>
      <c r="D3973" s="1" t="s">
        <v>229</v>
      </c>
      <c r="E3973" s="1"/>
    </row>
    <row r="3974" spans="1:5" ht="16">
      <c r="A3974" s="1" t="s">
        <v>3606</v>
      </c>
      <c r="B3974" s="1" t="s">
        <v>3739</v>
      </c>
      <c r="C3974" s="1" t="s">
        <v>332</v>
      </c>
      <c r="D3974" s="1" t="s">
        <v>229</v>
      </c>
      <c r="E3974" s="1"/>
    </row>
    <row r="3975" spans="1:5" ht="16">
      <c r="A3975" s="1" t="s">
        <v>3606</v>
      </c>
      <c r="B3975" s="1" t="s">
        <v>3740</v>
      </c>
      <c r="C3975" s="1" t="s">
        <v>332</v>
      </c>
      <c r="D3975" s="1" t="s">
        <v>229</v>
      </c>
      <c r="E3975" s="1"/>
    </row>
    <row r="3976" spans="1:5" ht="16">
      <c r="A3976" s="1" t="s">
        <v>3606</v>
      </c>
      <c r="B3976" s="1" t="s">
        <v>3741</v>
      </c>
      <c r="C3976" s="1" t="s">
        <v>332</v>
      </c>
      <c r="D3976" s="1" t="s">
        <v>229</v>
      </c>
      <c r="E3976" s="1"/>
    </row>
    <row r="3977" spans="1:5" ht="16">
      <c r="A3977" s="1" t="s">
        <v>3606</v>
      </c>
      <c r="B3977" s="1" t="s">
        <v>3742</v>
      </c>
      <c r="C3977" s="1" t="s">
        <v>332</v>
      </c>
      <c r="D3977" s="1" t="s">
        <v>229</v>
      </c>
      <c r="E3977" s="1"/>
    </row>
    <row r="3978" spans="1:5" ht="16">
      <c r="A3978" s="1" t="s">
        <v>3606</v>
      </c>
      <c r="B3978" s="1" t="s">
        <v>3743</v>
      </c>
      <c r="C3978" s="1" t="s">
        <v>332</v>
      </c>
      <c r="D3978" s="1" t="s">
        <v>229</v>
      </c>
      <c r="E3978" s="1"/>
    </row>
    <row r="3979" spans="1:5" ht="16">
      <c r="A3979" s="1" t="s">
        <v>3606</v>
      </c>
      <c r="B3979" s="1" t="s">
        <v>3744</v>
      </c>
      <c r="C3979" s="1" t="s">
        <v>332</v>
      </c>
      <c r="D3979" s="1" t="s">
        <v>229</v>
      </c>
      <c r="E3979" s="1"/>
    </row>
    <row r="3980" spans="1:5" ht="16">
      <c r="A3980" s="1" t="s">
        <v>3606</v>
      </c>
      <c r="B3980" s="1" t="s">
        <v>3745</v>
      </c>
      <c r="C3980" s="1" t="s">
        <v>332</v>
      </c>
      <c r="D3980" s="1" t="s">
        <v>229</v>
      </c>
      <c r="E3980" s="1"/>
    </row>
    <row r="3981" spans="1:5" ht="16">
      <c r="A3981" s="1" t="s">
        <v>3606</v>
      </c>
      <c r="B3981" s="1" t="s">
        <v>3746</v>
      </c>
      <c r="C3981" s="1" t="s">
        <v>332</v>
      </c>
      <c r="D3981" s="1" t="s">
        <v>229</v>
      </c>
      <c r="E3981" s="1"/>
    </row>
    <row r="3982" spans="1:5" ht="16">
      <c r="A3982" s="1" t="s">
        <v>3606</v>
      </c>
      <c r="B3982" s="1" t="s">
        <v>3747</v>
      </c>
      <c r="C3982" s="1" t="s">
        <v>332</v>
      </c>
      <c r="D3982" s="1" t="s">
        <v>229</v>
      </c>
      <c r="E3982" s="1"/>
    </row>
    <row r="3983" spans="1:5" ht="16">
      <c r="A3983" s="1" t="s">
        <v>3606</v>
      </c>
      <c r="B3983" s="1" t="s">
        <v>3748</v>
      </c>
      <c r="C3983" s="1" t="s">
        <v>332</v>
      </c>
      <c r="D3983" s="1" t="s">
        <v>229</v>
      </c>
      <c r="E3983" s="1"/>
    </row>
    <row r="3984" spans="1:5" ht="16">
      <c r="A3984" s="1" t="s">
        <v>3606</v>
      </c>
      <c r="B3984" s="1" t="s">
        <v>3749</v>
      </c>
      <c r="C3984" s="1" t="s">
        <v>332</v>
      </c>
      <c r="D3984" s="1" t="s">
        <v>229</v>
      </c>
      <c r="E3984" s="1"/>
    </row>
    <row r="3985" spans="1:5" ht="16">
      <c r="A3985" s="1" t="s">
        <v>3606</v>
      </c>
      <c r="B3985" s="1" t="s">
        <v>3750</v>
      </c>
      <c r="C3985" s="1" t="s">
        <v>332</v>
      </c>
      <c r="D3985" s="1" t="s">
        <v>229</v>
      </c>
      <c r="E3985" s="1"/>
    </row>
    <row r="3986" spans="1:5" ht="16">
      <c r="A3986" s="1" t="s">
        <v>3606</v>
      </c>
      <c r="B3986" s="1" t="s">
        <v>3751</v>
      </c>
      <c r="C3986" s="1" t="s">
        <v>332</v>
      </c>
      <c r="D3986" s="1" t="s">
        <v>229</v>
      </c>
      <c r="E3986" s="1"/>
    </row>
    <row r="3987" spans="1:5" ht="16">
      <c r="A3987" s="1" t="s">
        <v>3606</v>
      </c>
      <c r="B3987" s="1" t="s">
        <v>3752</v>
      </c>
      <c r="C3987" s="1" t="s">
        <v>332</v>
      </c>
      <c r="D3987" s="1" t="s">
        <v>229</v>
      </c>
      <c r="E3987" s="1"/>
    </row>
    <row r="3988" spans="1:5" ht="16">
      <c r="A3988" s="1" t="s">
        <v>3606</v>
      </c>
      <c r="B3988" s="1" t="s">
        <v>3753</v>
      </c>
      <c r="C3988" s="1" t="s">
        <v>332</v>
      </c>
      <c r="D3988" s="1" t="s">
        <v>229</v>
      </c>
      <c r="E3988" s="1"/>
    </row>
    <row r="3989" spans="1:5" ht="16">
      <c r="A3989" s="1" t="s">
        <v>3606</v>
      </c>
      <c r="B3989" s="1" t="s">
        <v>3754</v>
      </c>
      <c r="C3989" s="1" t="s">
        <v>332</v>
      </c>
      <c r="D3989" s="1" t="s">
        <v>229</v>
      </c>
      <c r="E3989" s="1"/>
    </row>
    <row r="3990" spans="1:5" ht="16">
      <c r="A3990" s="1" t="s">
        <v>3606</v>
      </c>
      <c r="B3990" s="1" t="s">
        <v>3755</v>
      </c>
      <c r="C3990" s="1" t="s">
        <v>332</v>
      </c>
      <c r="D3990" s="1" t="s">
        <v>229</v>
      </c>
      <c r="E3990" s="1"/>
    </row>
    <row r="3991" spans="1:5" ht="16">
      <c r="A3991" s="1" t="s">
        <v>3606</v>
      </c>
      <c r="B3991" s="1" t="s">
        <v>3756</v>
      </c>
      <c r="C3991" s="1" t="s">
        <v>332</v>
      </c>
      <c r="D3991" s="1" t="s">
        <v>229</v>
      </c>
      <c r="E3991" s="1"/>
    </row>
    <row r="3992" spans="1:5" ht="16">
      <c r="A3992" s="1" t="s">
        <v>3606</v>
      </c>
      <c r="B3992" s="1" t="s">
        <v>3757</v>
      </c>
      <c r="C3992" s="1" t="s">
        <v>332</v>
      </c>
      <c r="D3992" s="1" t="s">
        <v>229</v>
      </c>
      <c r="E3992" s="1"/>
    </row>
    <row r="3993" spans="1:5" ht="16">
      <c r="A3993" s="1" t="s">
        <v>3606</v>
      </c>
      <c r="B3993" s="1" t="s">
        <v>3758</v>
      </c>
      <c r="C3993" s="1" t="s">
        <v>332</v>
      </c>
      <c r="D3993" s="1" t="s">
        <v>229</v>
      </c>
      <c r="E3993" s="1"/>
    </row>
    <row r="3994" spans="1:5" ht="16">
      <c r="A3994" s="1" t="s">
        <v>3606</v>
      </c>
      <c r="B3994" s="1" t="s">
        <v>3759</v>
      </c>
      <c r="C3994" s="1" t="s">
        <v>332</v>
      </c>
      <c r="D3994" s="1" t="s">
        <v>229</v>
      </c>
      <c r="E3994" s="1"/>
    </row>
    <row r="3995" spans="1:5" ht="16">
      <c r="A3995" s="1" t="s">
        <v>3606</v>
      </c>
      <c r="B3995" s="1" t="s">
        <v>3760</v>
      </c>
      <c r="C3995" s="1" t="s">
        <v>332</v>
      </c>
      <c r="D3995" s="1" t="s">
        <v>229</v>
      </c>
      <c r="E3995" s="1"/>
    </row>
    <row r="3996" spans="1:5" ht="16">
      <c r="A3996" s="1" t="s">
        <v>3606</v>
      </c>
      <c r="B3996" s="1" t="s">
        <v>3761</v>
      </c>
      <c r="C3996" s="1" t="s">
        <v>332</v>
      </c>
      <c r="D3996" s="1" t="s">
        <v>229</v>
      </c>
      <c r="E3996" s="1"/>
    </row>
    <row r="3997" spans="1:5" ht="16">
      <c r="A3997" s="1" t="s">
        <v>3606</v>
      </c>
      <c r="B3997" s="1" t="s">
        <v>3762</v>
      </c>
      <c r="C3997" s="1" t="s">
        <v>332</v>
      </c>
      <c r="D3997" s="1" t="s">
        <v>229</v>
      </c>
      <c r="E3997" s="1"/>
    </row>
    <row r="3998" spans="1:5" ht="16">
      <c r="A3998" s="1" t="s">
        <v>3606</v>
      </c>
      <c r="B3998" s="1" t="s">
        <v>3763</v>
      </c>
      <c r="C3998" s="1" t="s">
        <v>332</v>
      </c>
      <c r="D3998" s="1" t="s">
        <v>229</v>
      </c>
      <c r="E3998" s="1"/>
    </row>
    <row r="3999" spans="1:5" ht="16">
      <c r="A3999" s="1" t="s">
        <v>3606</v>
      </c>
      <c r="B3999" s="1" t="s">
        <v>3764</v>
      </c>
      <c r="C3999" s="1" t="s">
        <v>332</v>
      </c>
      <c r="D3999" s="1" t="s">
        <v>229</v>
      </c>
      <c r="E3999" s="1"/>
    </row>
    <row r="4000" spans="1:5" ht="16">
      <c r="A4000" s="1" t="s">
        <v>3606</v>
      </c>
      <c r="B4000" s="1" t="s">
        <v>3765</v>
      </c>
      <c r="C4000" s="1" t="s">
        <v>332</v>
      </c>
      <c r="D4000" s="1" t="s">
        <v>229</v>
      </c>
      <c r="E4000" s="1"/>
    </row>
    <row r="4001" spans="1:5" ht="16">
      <c r="A4001" s="1" t="s">
        <v>3606</v>
      </c>
      <c r="B4001" s="1" t="s">
        <v>3766</v>
      </c>
      <c r="C4001" s="1" t="s">
        <v>332</v>
      </c>
      <c r="D4001" s="1" t="s">
        <v>229</v>
      </c>
      <c r="E4001" s="1"/>
    </row>
    <row r="4002" spans="1:5" ht="16">
      <c r="A4002" s="1" t="s">
        <v>3606</v>
      </c>
      <c r="B4002" s="1" t="s">
        <v>3767</v>
      </c>
      <c r="C4002" s="1" t="s">
        <v>332</v>
      </c>
      <c r="D4002" s="1" t="s">
        <v>229</v>
      </c>
      <c r="E4002" s="1"/>
    </row>
    <row r="4003" spans="1:5" ht="16">
      <c r="A4003" s="1" t="s">
        <v>3606</v>
      </c>
      <c r="B4003" s="1" t="s">
        <v>3768</v>
      </c>
      <c r="C4003" s="1" t="s">
        <v>332</v>
      </c>
      <c r="D4003" s="1" t="s">
        <v>229</v>
      </c>
      <c r="E4003" s="1"/>
    </row>
    <row r="4004" spans="1:5" ht="16">
      <c r="A4004" s="1" t="s">
        <v>3606</v>
      </c>
      <c r="B4004" s="1" t="s">
        <v>3769</v>
      </c>
      <c r="C4004" s="1" t="s">
        <v>332</v>
      </c>
      <c r="D4004" s="1" t="s">
        <v>229</v>
      </c>
      <c r="E4004" s="1"/>
    </row>
    <row r="4005" spans="1:5" ht="16">
      <c r="A4005" s="1" t="s">
        <v>3606</v>
      </c>
      <c r="B4005" s="1" t="s">
        <v>3770</v>
      </c>
      <c r="C4005" s="1" t="s">
        <v>332</v>
      </c>
      <c r="D4005" s="1" t="s">
        <v>229</v>
      </c>
      <c r="E4005" s="1"/>
    </row>
    <row r="4006" spans="1:5" ht="16">
      <c r="A4006" s="1" t="s">
        <v>3606</v>
      </c>
      <c r="B4006" s="1" t="s">
        <v>3771</v>
      </c>
      <c r="C4006" s="1" t="s">
        <v>332</v>
      </c>
      <c r="D4006" s="1" t="s">
        <v>229</v>
      </c>
      <c r="E4006" s="1"/>
    </row>
    <row r="4007" spans="1:5" ht="16">
      <c r="A4007" s="1" t="s">
        <v>3606</v>
      </c>
      <c r="B4007" s="1" t="s">
        <v>3772</v>
      </c>
      <c r="C4007" s="1" t="s">
        <v>332</v>
      </c>
      <c r="D4007" s="1" t="s">
        <v>229</v>
      </c>
      <c r="E4007" s="1"/>
    </row>
    <row r="4008" spans="1:5" ht="16">
      <c r="A4008" s="1" t="s">
        <v>3606</v>
      </c>
      <c r="B4008" s="1" t="s">
        <v>3773</v>
      </c>
      <c r="C4008" s="1" t="s">
        <v>332</v>
      </c>
      <c r="D4008" s="1" t="s">
        <v>229</v>
      </c>
      <c r="E4008" s="1"/>
    </row>
    <row r="4009" spans="1:5" ht="16">
      <c r="A4009" s="1" t="s">
        <v>3606</v>
      </c>
      <c r="B4009" s="1" t="s">
        <v>3774</v>
      </c>
      <c r="C4009" s="1" t="s">
        <v>332</v>
      </c>
      <c r="D4009" s="1" t="s">
        <v>229</v>
      </c>
      <c r="E4009" s="1"/>
    </row>
    <row r="4010" spans="1:5" ht="16">
      <c r="A4010" s="1" t="s">
        <v>3606</v>
      </c>
      <c r="B4010" s="1" t="s">
        <v>3775</v>
      </c>
      <c r="C4010" s="1" t="s">
        <v>332</v>
      </c>
      <c r="D4010" s="1" t="s">
        <v>229</v>
      </c>
      <c r="E4010" s="1"/>
    </row>
    <row r="4011" spans="1:5" ht="16">
      <c r="A4011" s="1" t="s">
        <v>3606</v>
      </c>
      <c r="B4011" s="1" t="s">
        <v>3776</v>
      </c>
      <c r="C4011" s="1" t="s">
        <v>332</v>
      </c>
      <c r="D4011" s="1" t="s">
        <v>229</v>
      </c>
      <c r="E4011" s="1"/>
    </row>
    <row r="4012" spans="1:5" ht="16">
      <c r="A4012" s="1" t="s">
        <v>3606</v>
      </c>
      <c r="B4012" s="1" t="s">
        <v>3777</v>
      </c>
      <c r="C4012" s="1" t="s">
        <v>332</v>
      </c>
      <c r="D4012" s="1" t="s">
        <v>229</v>
      </c>
      <c r="E4012" s="1"/>
    </row>
    <row r="4013" spans="1:5" ht="16">
      <c r="A4013" s="1" t="s">
        <v>3606</v>
      </c>
      <c r="B4013" s="1" t="s">
        <v>3778</v>
      </c>
      <c r="C4013" s="1" t="s">
        <v>332</v>
      </c>
      <c r="D4013" s="1" t="s">
        <v>229</v>
      </c>
      <c r="E4013" s="1"/>
    </row>
    <row r="4014" spans="1:5" ht="16">
      <c r="A4014" s="1" t="s">
        <v>3606</v>
      </c>
      <c r="B4014" s="1" t="s">
        <v>3779</v>
      </c>
      <c r="C4014" s="1" t="s">
        <v>332</v>
      </c>
      <c r="D4014" s="1" t="s">
        <v>229</v>
      </c>
      <c r="E4014" s="1"/>
    </row>
    <row r="4015" spans="1:5" ht="16">
      <c r="A4015" s="1" t="s">
        <v>3606</v>
      </c>
      <c r="B4015" s="1" t="s">
        <v>3780</v>
      </c>
      <c r="C4015" s="1" t="s">
        <v>332</v>
      </c>
      <c r="D4015" s="1" t="s">
        <v>229</v>
      </c>
      <c r="E4015" s="1"/>
    </row>
    <row r="4016" spans="1:5" ht="16">
      <c r="A4016" s="1" t="s">
        <v>3606</v>
      </c>
      <c r="B4016" s="1" t="s">
        <v>3781</v>
      </c>
      <c r="C4016" s="1" t="s">
        <v>332</v>
      </c>
      <c r="D4016" s="1" t="s">
        <v>229</v>
      </c>
      <c r="E4016" s="1"/>
    </row>
    <row r="4017" spans="1:5" ht="16">
      <c r="A4017" s="1" t="s">
        <v>3606</v>
      </c>
      <c r="B4017" s="1" t="s">
        <v>3782</v>
      </c>
      <c r="C4017" s="1" t="s">
        <v>332</v>
      </c>
      <c r="D4017" s="1" t="s">
        <v>229</v>
      </c>
      <c r="E4017" s="1"/>
    </row>
    <row r="4018" spans="1:5" ht="16">
      <c r="A4018" s="1" t="s">
        <v>3606</v>
      </c>
      <c r="B4018" s="1" t="s">
        <v>3783</v>
      </c>
      <c r="C4018" s="1" t="s">
        <v>332</v>
      </c>
      <c r="D4018" s="1" t="s">
        <v>229</v>
      </c>
      <c r="E4018" s="1"/>
    </row>
    <row r="4019" spans="1:5" ht="16">
      <c r="A4019" s="1" t="s">
        <v>3606</v>
      </c>
      <c r="B4019" s="1" t="s">
        <v>3784</v>
      </c>
      <c r="C4019" s="1" t="s">
        <v>332</v>
      </c>
      <c r="D4019" s="1" t="s">
        <v>229</v>
      </c>
      <c r="E4019" s="1"/>
    </row>
    <row r="4020" spans="1:5" ht="16">
      <c r="A4020" s="1" t="s">
        <v>3606</v>
      </c>
      <c r="B4020" s="1" t="s">
        <v>3785</v>
      </c>
      <c r="C4020" s="1" t="s">
        <v>332</v>
      </c>
      <c r="D4020" s="1" t="s">
        <v>229</v>
      </c>
      <c r="E4020" s="1"/>
    </row>
    <row r="4021" spans="1:5" ht="16">
      <c r="A4021" s="1" t="s">
        <v>3606</v>
      </c>
      <c r="B4021" s="1" t="s">
        <v>3786</v>
      </c>
      <c r="C4021" s="1" t="s">
        <v>332</v>
      </c>
      <c r="D4021" s="1" t="s">
        <v>229</v>
      </c>
      <c r="E4021" s="1"/>
    </row>
    <row r="4022" spans="1:5" ht="16">
      <c r="A4022" s="1" t="s">
        <v>3606</v>
      </c>
      <c r="B4022" s="1" t="s">
        <v>3787</v>
      </c>
      <c r="C4022" s="1" t="s">
        <v>332</v>
      </c>
      <c r="D4022" s="1" t="s">
        <v>229</v>
      </c>
      <c r="E4022" s="1"/>
    </row>
    <row r="4023" spans="1:5" ht="16">
      <c r="A4023" s="1" t="s">
        <v>3606</v>
      </c>
      <c r="B4023" s="1" t="s">
        <v>3788</v>
      </c>
      <c r="C4023" s="1" t="s">
        <v>332</v>
      </c>
      <c r="D4023" s="1" t="s">
        <v>229</v>
      </c>
      <c r="E4023" s="1"/>
    </row>
    <row r="4024" spans="1:5" ht="16">
      <c r="A4024" s="1" t="s">
        <v>3606</v>
      </c>
      <c r="B4024" s="1" t="s">
        <v>3789</v>
      </c>
      <c r="C4024" s="1" t="s">
        <v>332</v>
      </c>
      <c r="D4024" s="1" t="s">
        <v>229</v>
      </c>
      <c r="E4024" s="1"/>
    </row>
    <row r="4025" spans="1:5" ht="16">
      <c r="A4025" s="1" t="s">
        <v>3606</v>
      </c>
      <c r="B4025" s="1" t="s">
        <v>3790</v>
      </c>
      <c r="C4025" s="1" t="s">
        <v>332</v>
      </c>
      <c r="D4025" s="1" t="s">
        <v>229</v>
      </c>
      <c r="E4025" s="1"/>
    </row>
    <row r="4026" spans="1:5" ht="16">
      <c r="A4026" s="1" t="s">
        <v>3606</v>
      </c>
      <c r="B4026" s="1" t="s">
        <v>3791</v>
      </c>
      <c r="C4026" s="1" t="s">
        <v>332</v>
      </c>
      <c r="D4026" s="1" t="s">
        <v>229</v>
      </c>
      <c r="E4026" s="1"/>
    </row>
    <row r="4027" spans="1:5" ht="16">
      <c r="A4027" s="1" t="s">
        <v>3606</v>
      </c>
      <c r="B4027" s="1" t="s">
        <v>3792</v>
      </c>
      <c r="C4027" s="1" t="s">
        <v>332</v>
      </c>
      <c r="D4027" s="1" t="s">
        <v>229</v>
      </c>
      <c r="E4027" s="1"/>
    </row>
    <row r="4028" spans="1:5" ht="16">
      <c r="A4028" s="1" t="s">
        <v>3606</v>
      </c>
      <c r="B4028" s="1" t="s">
        <v>3793</v>
      </c>
      <c r="C4028" s="1" t="s">
        <v>332</v>
      </c>
      <c r="D4028" s="1" t="s">
        <v>229</v>
      </c>
      <c r="E4028" s="1"/>
    </row>
    <row r="4029" spans="1:5" ht="16">
      <c r="A4029" s="1" t="s">
        <v>3606</v>
      </c>
      <c r="B4029" s="1" t="s">
        <v>3794</v>
      </c>
      <c r="C4029" s="1" t="s">
        <v>332</v>
      </c>
      <c r="D4029" s="1" t="s">
        <v>229</v>
      </c>
      <c r="E4029" s="1"/>
    </row>
    <row r="4030" spans="1:5" ht="16">
      <c r="A4030" s="1" t="s">
        <v>3606</v>
      </c>
      <c r="B4030" s="1" t="s">
        <v>3795</v>
      </c>
      <c r="C4030" s="1" t="s">
        <v>332</v>
      </c>
      <c r="D4030" s="1" t="s">
        <v>229</v>
      </c>
      <c r="E4030" s="1"/>
    </row>
    <row r="4031" spans="1:5" ht="16">
      <c r="A4031" s="1" t="s">
        <v>3606</v>
      </c>
      <c r="B4031" s="1" t="s">
        <v>3796</v>
      </c>
      <c r="C4031" s="1" t="s">
        <v>332</v>
      </c>
      <c r="D4031" s="1" t="s">
        <v>229</v>
      </c>
      <c r="E4031" s="1"/>
    </row>
    <row r="4032" spans="1:5" ht="16">
      <c r="A4032" s="1" t="s">
        <v>3606</v>
      </c>
      <c r="B4032" s="1" t="s">
        <v>3797</v>
      </c>
      <c r="C4032" s="1" t="s">
        <v>332</v>
      </c>
      <c r="D4032" s="1" t="s">
        <v>229</v>
      </c>
      <c r="E4032" s="1"/>
    </row>
    <row r="4033" spans="1:5" ht="16">
      <c r="A4033" s="1" t="s">
        <v>3606</v>
      </c>
      <c r="B4033" s="1" t="s">
        <v>3798</v>
      </c>
      <c r="C4033" s="1" t="s">
        <v>332</v>
      </c>
      <c r="D4033" s="1" t="s">
        <v>229</v>
      </c>
      <c r="E4033" s="1"/>
    </row>
    <row r="4034" spans="1:5" ht="16">
      <c r="A4034" s="1" t="s">
        <v>3606</v>
      </c>
      <c r="B4034" s="1" t="s">
        <v>3799</v>
      </c>
      <c r="C4034" s="1" t="s">
        <v>332</v>
      </c>
      <c r="D4034" s="1" t="s">
        <v>229</v>
      </c>
      <c r="E4034" s="1"/>
    </row>
    <row r="4035" spans="1:5" ht="16">
      <c r="A4035" s="1" t="s">
        <v>3606</v>
      </c>
      <c r="B4035" s="1" t="s">
        <v>3800</v>
      </c>
      <c r="C4035" s="1" t="s">
        <v>332</v>
      </c>
      <c r="D4035" s="1" t="s">
        <v>229</v>
      </c>
      <c r="E4035" s="1"/>
    </row>
    <row r="4036" spans="1:5" ht="16">
      <c r="A4036" s="1" t="s">
        <v>3606</v>
      </c>
      <c r="B4036" s="1" t="s">
        <v>3801</v>
      </c>
      <c r="C4036" s="1" t="s">
        <v>332</v>
      </c>
      <c r="D4036" s="1" t="s">
        <v>229</v>
      </c>
      <c r="E4036" s="1"/>
    </row>
    <row r="4037" spans="1:5" ht="16">
      <c r="A4037" s="1" t="s">
        <v>3606</v>
      </c>
      <c r="B4037" s="1" t="s">
        <v>3802</v>
      </c>
      <c r="C4037" s="1" t="s">
        <v>332</v>
      </c>
      <c r="D4037" s="1" t="s">
        <v>229</v>
      </c>
      <c r="E4037" s="1"/>
    </row>
    <row r="4038" spans="1:5" ht="16">
      <c r="A4038" s="1" t="s">
        <v>3606</v>
      </c>
      <c r="B4038" s="1" t="s">
        <v>3803</v>
      </c>
      <c r="C4038" s="1" t="s">
        <v>332</v>
      </c>
      <c r="D4038" s="1" t="s">
        <v>229</v>
      </c>
      <c r="E4038" s="1"/>
    </row>
    <row r="4039" spans="1:5" ht="16">
      <c r="A4039" s="1" t="s">
        <v>3606</v>
      </c>
      <c r="B4039" s="1" t="s">
        <v>3804</v>
      </c>
      <c r="C4039" s="1" t="s">
        <v>332</v>
      </c>
      <c r="D4039" s="1" t="s">
        <v>229</v>
      </c>
      <c r="E4039" s="1"/>
    </row>
    <row r="4040" spans="1:5" ht="16">
      <c r="A4040" s="1" t="s">
        <v>3606</v>
      </c>
      <c r="B4040" s="1" t="s">
        <v>3805</v>
      </c>
      <c r="C4040" s="1" t="s">
        <v>332</v>
      </c>
      <c r="D4040" s="1" t="s">
        <v>229</v>
      </c>
      <c r="E4040" s="1"/>
    </row>
    <row r="4041" spans="1:5" ht="16">
      <c r="A4041" s="1" t="s">
        <v>3606</v>
      </c>
      <c r="B4041" s="1" t="s">
        <v>3806</v>
      </c>
      <c r="C4041" s="1" t="s">
        <v>332</v>
      </c>
      <c r="D4041" s="1" t="s">
        <v>229</v>
      </c>
      <c r="E4041" s="1"/>
    </row>
    <row r="4042" spans="1:5" ht="16">
      <c r="A4042" s="1" t="s">
        <v>3606</v>
      </c>
      <c r="B4042" s="1" t="s">
        <v>3807</v>
      </c>
      <c r="C4042" s="1" t="s">
        <v>332</v>
      </c>
      <c r="D4042" s="1" t="s">
        <v>229</v>
      </c>
      <c r="E4042" s="1"/>
    </row>
    <row r="4043" spans="1:5" ht="16">
      <c r="A4043" s="1" t="s">
        <v>3606</v>
      </c>
      <c r="B4043" s="1" t="s">
        <v>3808</v>
      </c>
      <c r="C4043" s="1" t="s">
        <v>332</v>
      </c>
      <c r="D4043" s="1" t="s">
        <v>229</v>
      </c>
      <c r="E4043" s="1"/>
    </row>
    <row r="4044" spans="1:5" ht="16">
      <c r="A4044" s="1" t="s">
        <v>3606</v>
      </c>
      <c r="B4044" s="1" t="s">
        <v>3809</v>
      </c>
      <c r="C4044" s="1" t="s">
        <v>332</v>
      </c>
      <c r="D4044" s="1" t="s">
        <v>229</v>
      </c>
      <c r="E4044" s="1"/>
    </row>
    <row r="4045" spans="1:5" ht="16">
      <c r="A4045" s="1" t="s">
        <v>3606</v>
      </c>
      <c r="B4045" s="1" t="s">
        <v>3810</v>
      </c>
      <c r="C4045" s="1" t="s">
        <v>332</v>
      </c>
      <c r="D4045" s="1" t="s">
        <v>229</v>
      </c>
      <c r="E4045" s="1"/>
    </row>
    <row r="4046" spans="1:5" ht="16">
      <c r="A4046" s="1" t="s">
        <v>3606</v>
      </c>
      <c r="B4046" s="1" t="s">
        <v>3811</v>
      </c>
      <c r="C4046" s="1" t="s">
        <v>332</v>
      </c>
      <c r="D4046" s="1" t="s">
        <v>229</v>
      </c>
      <c r="E4046" s="1"/>
    </row>
    <row r="4047" spans="1:5" ht="16">
      <c r="A4047" s="1" t="s">
        <v>3606</v>
      </c>
      <c r="B4047" s="1" t="s">
        <v>3812</v>
      </c>
      <c r="C4047" s="1" t="s">
        <v>332</v>
      </c>
      <c r="D4047" s="1" t="s">
        <v>229</v>
      </c>
      <c r="E4047" s="1"/>
    </row>
    <row r="4048" spans="1:5" ht="16">
      <c r="A4048" s="1" t="s">
        <v>3606</v>
      </c>
      <c r="B4048" s="1" t="s">
        <v>3813</v>
      </c>
      <c r="C4048" s="1" t="s">
        <v>332</v>
      </c>
      <c r="D4048" s="1" t="s">
        <v>229</v>
      </c>
      <c r="E4048" s="1"/>
    </row>
    <row r="4049" spans="1:5" ht="16">
      <c r="A4049" s="1" t="s">
        <v>3606</v>
      </c>
      <c r="B4049" s="1" t="s">
        <v>3814</v>
      </c>
      <c r="C4049" s="1" t="s">
        <v>332</v>
      </c>
      <c r="D4049" s="1" t="s">
        <v>229</v>
      </c>
      <c r="E4049" s="1"/>
    </row>
    <row r="4050" spans="1:5" ht="16">
      <c r="A4050" s="1" t="s">
        <v>3606</v>
      </c>
      <c r="B4050" s="1" t="s">
        <v>3815</v>
      </c>
      <c r="C4050" s="1" t="s">
        <v>332</v>
      </c>
      <c r="D4050" s="1" t="s">
        <v>229</v>
      </c>
      <c r="E4050" s="1"/>
    </row>
    <row r="4051" spans="1:5" ht="16">
      <c r="A4051" s="1" t="s">
        <v>3606</v>
      </c>
      <c r="B4051" s="1" t="s">
        <v>3816</v>
      </c>
      <c r="C4051" s="1" t="s">
        <v>332</v>
      </c>
      <c r="D4051" s="1" t="s">
        <v>229</v>
      </c>
      <c r="E4051" s="1"/>
    </row>
    <row r="4052" spans="1:5" ht="16">
      <c r="A4052" s="1" t="s">
        <v>3606</v>
      </c>
      <c r="B4052" s="1" t="s">
        <v>3817</v>
      </c>
      <c r="C4052" s="1" t="s">
        <v>332</v>
      </c>
      <c r="D4052" s="1" t="s">
        <v>229</v>
      </c>
      <c r="E4052" s="1"/>
    </row>
    <row r="4053" spans="1:5" ht="16">
      <c r="A4053" s="1" t="s">
        <v>3606</v>
      </c>
      <c r="B4053" s="1" t="s">
        <v>3818</v>
      </c>
      <c r="C4053" s="1" t="s">
        <v>332</v>
      </c>
      <c r="D4053" s="1" t="s">
        <v>229</v>
      </c>
      <c r="E4053" s="1"/>
    </row>
    <row r="4054" spans="1:5" ht="16">
      <c r="A4054" s="1" t="s">
        <v>3606</v>
      </c>
      <c r="B4054" s="1" t="s">
        <v>3819</v>
      </c>
      <c r="C4054" s="1" t="s">
        <v>332</v>
      </c>
      <c r="D4054" s="1" t="s">
        <v>229</v>
      </c>
      <c r="E4054" s="1"/>
    </row>
    <row r="4055" spans="1:5" ht="16">
      <c r="A4055" s="1" t="s">
        <v>3606</v>
      </c>
      <c r="B4055" s="1" t="s">
        <v>3820</v>
      </c>
      <c r="C4055" s="1" t="s">
        <v>332</v>
      </c>
      <c r="D4055" s="1" t="s">
        <v>229</v>
      </c>
      <c r="E4055" s="1"/>
    </row>
    <row r="4056" spans="1:5" ht="16">
      <c r="A4056" s="1" t="s">
        <v>3606</v>
      </c>
      <c r="B4056" s="1" t="s">
        <v>3821</v>
      </c>
      <c r="C4056" s="1" t="s">
        <v>332</v>
      </c>
      <c r="D4056" s="1" t="s">
        <v>229</v>
      </c>
      <c r="E4056" s="1"/>
    </row>
    <row r="4057" spans="1:5" ht="16">
      <c r="A4057" s="1" t="s">
        <v>3606</v>
      </c>
      <c r="B4057" s="1" t="s">
        <v>3822</v>
      </c>
      <c r="C4057" s="1" t="s">
        <v>332</v>
      </c>
      <c r="D4057" s="1" t="s">
        <v>229</v>
      </c>
      <c r="E4057" s="1"/>
    </row>
    <row r="4058" spans="1:5" ht="16">
      <c r="A4058" s="1" t="s">
        <v>3606</v>
      </c>
      <c r="B4058" s="1" t="s">
        <v>3823</v>
      </c>
      <c r="C4058" s="1" t="s">
        <v>332</v>
      </c>
      <c r="D4058" s="1" t="s">
        <v>229</v>
      </c>
      <c r="E4058" s="1"/>
    </row>
    <row r="4059" spans="1:5" ht="16">
      <c r="A4059" s="1" t="s">
        <v>3606</v>
      </c>
      <c r="B4059" s="1" t="s">
        <v>3824</v>
      </c>
      <c r="C4059" s="1" t="s">
        <v>332</v>
      </c>
      <c r="D4059" s="1" t="s">
        <v>229</v>
      </c>
      <c r="E4059" s="1"/>
    </row>
    <row r="4060" spans="1:5" ht="16">
      <c r="A4060" s="1" t="s">
        <v>3606</v>
      </c>
      <c r="B4060" s="1" t="s">
        <v>3825</v>
      </c>
      <c r="C4060" s="1" t="s">
        <v>332</v>
      </c>
      <c r="D4060" s="1" t="s">
        <v>229</v>
      </c>
      <c r="E4060" s="1"/>
    </row>
    <row r="4061" spans="1:5" ht="16">
      <c r="A4061" s="1" t="s">
        <v>3606</v>
      </c>
      <c r="B4061" s="1" t="s">
        <v>3826</v>
      </c>
      <c r="C4061" s="1" t="s">
        <v>332</v>
      </c>
      <c r="D4061" s="1" t="s">
        <v>229</v>
      </c>
      <c r="E4061" s="1"/>
    </row>
    <row r="4062" spans="1:5" ht="16">
      <c r="A4062" s="1" t="s">
        <v>3606</v>
      </c>
      <c r="B4062" s="1" t="s">
        <v>3827</v>
      </c>
      <c r="C4062" s="1" t="s">
        <v>332</v>
      </c>
      <c r="D4062" s="1" t="s">
        <v>229</v>
      </c>
      <c r="E4062" s="1"/>
    </row>
    <row r="4063" spans="1:5" ht="16">
      <c r="A4063" s="1" t="s">
        <v>3828</v>
      </c>
      <c r="B4063" s="1" t="s">
        <v>3829</v>
      </c>
      <c r="C4063" s="1" t="s">
        <v>334</v>
      </c>
      <c r="D4063" s="1" t="s">
        <v>229</v>
      </c>
      <c r="E4063" s="1"/>
    </row>
    <row r="4064" spans="1:5" ht="16">
      <c r="A4064" s="1" t="s">
        <v>3828</v>
      </c>
      <c r="B4064" s="1" t="s">
        <v>3830</v>
      </c>
      <c r="C4064" s="1" t="s">
        <v>228</v>
      </c>
      <c r="D4064" s="1" t="s">
        <v>229</v>
      </c>
      <c r="E4064" s="1"/>
    </row>
    <row r="4065" spans="1:5" ht="16">
      <c r="A4065" s="1" t="s">
        <v>3828</v>
      </c>
      <c r="B4065" s="1" t="s">
        <v>3831</v>
      </c>
      <c r="C4065" s="1" t="s">
        <v>228</v>
      </c>
      <c r="D4065" s="1" t="s">
        <v>229</v>
      </c>
      <c r="E4065" s="1"/>
    </row>
    <row r="4066" spans="1:5" ht="16">
      <c r="A4066" s="1" t="s">
        <v>3828</v>
      </c>
      <c r="B4066" s="1" t="s">
        <v>3832</v>
      </c>
      <c r="C4066" s="1" t="s">
        <v>228</v>
      </c>
      <c r="D4066" s="1" t="s">
        <v>229</v>
      </c>
      <c r="E4066" s="1"/>
    </row>
    <row r="4067" spans="1:5" ht="16">
      <c r="A4067" s="1" t="s">
        <v>3828</v>
      </c>
      <c r="B4067" s="1" t="s">
        <v>3833</v>
      </c>
      <c r="C4067" s="1" t="s">
        <v>228</v>
      </c>
      <c r="D4067" s="1" t="s">
        <v>229</v>
      </c>
      <c r="E4067" s="1"/>
    </row>
    <row r="4068" spans="1:5" ht="16">
      <c r="A4068" s="1" t="s">
        <v>3828</v>
      </c>
      <c r="B4068" s="1" t="s">
        <v>3833</v>
      </c>
      <c r="C4068" s="1" t="s">
        <v>228</v>
      </c>
      <c r="D4068" s="1" t="s">
        <v>229</v>
      </c>
      <c r="E4068" s="1"/>
    </row>
    <row r="4069" spans="1:5" ht="16">
      <c r="A4069" s="1" t="s">
        <v>3828</v>
      </c>
      <c r="B4069" s="1" t="s">
        <v>3834</v>
      </c>
      <c r="C4069" s="1" t="s">
        <v>228</v>
      </c>
      <c r="D4069" s="1" t="s">
        <v>229</v>
      </c>
      <c r="E4069" s="1"/>
    </row>
    <row r="4070" spans="1:5" ht="16">
      <c r="A4070" s="1" t="s">
        <v>3828</v>
      </c>
      <c r="B4070" s="1" t="s">
        <v>3832</v>
      </c>
      <c r="C4070" s="1" t="s">
        <v>228</v>
      </c>
      <c r="D4070" s="1" t="s">
        <v>229</v>
      </c>
      <c r="E4070" s="1"/>
    </row>
    <row r="4071" spans="1:5" ht="16">
      <c r="A4071" s="1" t="s">
        <v>3828</v>
      </c>
      <c r="B4071" s="1" t="s">
        <v>3835</v>
      </c>
      <c r="C4071" s="1" t="s">
        <v>228</v>
      </c>
      <c r="D4071" s="1" t="s">
        <v>229</v>
      </c>
      <c r="E4071" s="1"/>
    </row>
    <row r="4072" spans="1:5" ht="16">
      <c r="A4072" s="1" t="s">
        <v>3828</v>
      </c>
      <c r="B4072" s="1" t="s">
        <v>3835</v>
      </c>
      <c r="C4072" s="1" t="s">
        <v>228</v>
      </c>
      <c r="D4072" s="1" t="s">
        <v>229</v>
      </c>
      <c r="E4072" s="1"/>
    </row>
    <row r="4073" spans="1:5" ht="16">
      <c r="A4073" s="1" t="s">
        <v>3828</v>
      </c>
      <c r="B4073" s="1" t="s">
        <v>3836</v>
      </c>
      <c r="C4073" s="1" t="s">
        <v>228</v>
      </c>
      <c r="D4073" s="1" t="s">
        <v>229</v>
      </c>
      <c r="E4073" s="1"/>
    </row>
    <row r="4074" spans="1:5" ht="16">
      <c r="A4074" s="1" t="s">
        <v>3828</v>
      </c>
      <c r="B4074" s="1" t="s">
        <v>3835</v>
      </c>
      <c r="C4074" s="1" t="s">
        <v>228</v>
      </c>
      <c r="D4074" s="1" t="s">
        <v>229</v>
      </c>
      <c r="E4074" s="1"/>
    </row>
    <row r="4075" spans="1:5" ht="16">
      <c r="A4075" s="1" t="s">
        <v>3828</v>
      </c>
      <c r="B4075" s="1" t="s">
        <v>3837</v>
      </c>
      <c r="C4075" s="1" t="s">
        <v>334</v>
      </c>
      <c r="D4075" s="1" t="s">
        <v>229</v>
      </c>
      <c r="E4075" s="1" t="s">
        <v>500</v>
      </c>
    </row>
    <row r="4076" spans="1:5" ht="16">
      <c r="A4076" s="1" t="s">
        <v>3828</v>
      </c>
      <c r="B4076" s="1" t="s">
        <v>3838</v>
      </c>
      <c r="C4076" s="1" t="s">
        <v>234</v>
      </c>
      <c r="D4076" s="1" t="s">
        <v>229</v>
      </c>
      <c r="E4076" s="1"/>
    </row>
    <row r="4077" spans="1:5" ht="16">
      <c r="A4077" s="1" t="s">
        <v>3828</v>
      </c>
      <c r="B4077" s="1" t="s">
        <v>3839</v>
      </c>
      <c r="C4077" s="1" t="s">
        <v>228</v>
      </c>
      <c r="D4077" s="1" t="s">
        <v>229</v>
      </c>
      <c r="E4077" s="1"/>
    </row>
    <row r="4078" spans="1:5" ht="16">
      <c r="A4078" s="1" t="s">
        <v>3828</v>
      </c>
      <c r="B4078" s="1" t="s">
        <v>3840</v>
      </c>
      <c r="C4078" s="1" t="s">
        <v>228</v>
      </c>
      <c r="D4078" s="1" t="s">
        <v>229</v>
      </c>
      <c r="E4078" s="1"/>
    </row>
    <row r="4079" spans="1:5" ht="16">
      <c r="A4079" s="1" t="s">
        <v>3828</v>
      </c>
      <c r="B4079" s="1" t="s">
        <v>3841</v>
      </c>
      <c r="C4079" s="1" t="s">
        <v>228</v>
      </c>
      <c r="D4079" s="1" t="s">
        <v>229</v>
      </c>
      <c r="E4079" s="1"/>
    </row>
    <row r="4080" spans="1:5" ht="16">
      <c r="A4080" s="1" t="s">
        <v>3828</v>
      </c>
      <c r="B4080" s="1" t="s">
        <v>3832</v>
      </c>
      <c r="C4080" s="1" t="s">
        <v>228</v>
      </c>
      <c r="D4080" s="1" t="s">
        <v>229</v>
      </c>
      <c r="E4080" s="1"/>
    </row>
    <row r="4081" spans="1:5" ht="16">
      <c r="A4081" s="1" t="s">
        <v>3828</v>
      </c>
      <c r="B4081" s="1" t="s">
        <v>3842</v>
      </c>
      <c r="C4081" s="1" t="s">
        <v>334</v>
      </c>
      <c r="D4081" s="1" t="s">
        <v>229</v>
      </c>
      <c r="E4081" s="1"/>
    </row>
    <row r="4082" spans="1:5" ht="16">
      <c r="A4082" s="1" t="s">
        <v>3828</v>
      </c>
      <c r="B4082" s="1" t="s">
        <v>3843</v>
      </c>
      <c r="C4082" s="1" t="s">
        <v>334</v>
      </c>
      <c r="D4082" s="1" t="s">
        <v>229</v>
      </c>
      <c r="E4082" s="1" t="s">
        <v>500</v>
      </c>
    </row>
    <row r="4083" spans="1:5" ht="16">
      <c r="A4083" s="1" t="s">
        <v>3828</v>
      </c>
      <c r="B4083" s="1" t="s">
        <v>3844</v>
      </c>
      <c r="C4083" s="1" t="s">
        <v>334</v>
      </c>
      <c r="D4083" s="1" t="s">
        <v>229</v>
      </c>
      <c r="E4083" s="1" t="s">
        <v>500</v>
      </c>
    </row>
    <row r="4084" spans="1:5" ht="16">
      <c r="A4084" s="1" t="s">
        <v>3828</v>
      </c>
      <c r="B4084" s="1" t="s">
        <v>3845</v>
      </c>
      <c r="C4084" s="1" t="s">
        <v>334</v>
      </c>
      <c r="D4084" s="1" t="s">
        <v>229</v>
      </c>
      <c r="E4084" s="1" t="s">
        <v>500</v>
      </c>
    </row>
    <row r="4085" spans="1:5" ht="16">
      <c r="A4085" s="1" t="s">
        <v>3828</v>
      </c>
      <c r="B4085" s="1" t="s">
        <v>3846</v>
      </c>
      <c r="C4085" s="1" t="s">
        <v>228</v>
      </c>
      <c r="D4085" s="1" t="s">
        <v>229</v>
      </c>
      <c r="E4085" s="1"/>
    </row>
    <row r="4086" spans="1:5" ht="16">
      <c r="A4086" s="1" t="s">
        <v>3828</v>
      </c>
      <c r="B4086" s="1" t="s">
        <v>3847</v>
      </c>
      <c r="C4086" s="1" t="s">
        <v>332</v>
      </c>
      <c r="D4086" s="1" t="s">
        <v>229</v>
      </c>
      <c r="E4086" s="1"/>
    </row>
    <row r="4087" spans="1:5" ht="16">
      <c r="A4087" s="1" t="s">
        <v>3828</v>
      </c>
      <c r="B4087" s="1" t="s">
        <v>3848</v>
      </c>
      <c r="C4087" s="1" t="s">
        <v>332</v>
      </c>
      <c r="D4087" s="1" t="s">
        <v>229</v>
      </c>
      <c r="E4087" s="1"/>
    </row>
    <row r="4088" spans="1:5" ht="16">
      <c r="A4088" s="1" t="s">
        <v>3828</v>
      </c>
      <c r="B4088" s="1" t="s">
        <v>3849</v>
      </c>
      <c r="C4088" s="1" t="s">
        <v>332</v>
      </c>
      <c r="D4088" s="1" t="s">
        <v>229</v>
      </c>
      <c r="E4088" s="1"/>
    </row>
    <row r="4089" spans="1:5" ht="16">
      <c r="A4089" s="1" t="s">
        <v>3828</v>
      </c>
      <c r="B4089" s="1" t="s">
        <v>3850</v>
      </c>
      <c r="C4089" s="1" t="s">
        <v>332</v>
      </c>
      <c r="D4089" s="1" t="s">
        <v>229</v>
      </c>
      <c r="E4089" s="1"/>
    </row>
    <row r="4090" spans="1:5" ht="16">
      <c r="A4090" s="1" t="s">
        <v>3828</v>
      </c>
      <c r="B4090" s="1" t="s">
        <v>3851</v>
      </c>
      <c r="C4090" s="1" t="s">
        <v>334</v>
      </c>
      <c r="D4090" s="1" t="s">
        <v>229</v>
      </c>
      <c r="E4090" s="1" t="s">
        <v>500</v>
      </c>
    </row>
    <row r="4091" spans="1:5" ht="16">
      <c r="A4091" s="1" t="s">
        <v>3828</v>
      </c>
      <c r="B4091" s="1" t="s">
        <v>3852</v>
      </c>
      <c r="C4091" s="1" t="s">
        <v>334</v>
      </c>
      <c r="D4091" s="1" t="s">
        <v>229</v>
      </c>
      <c r="E4091" s="1" t="s">
        <v>500</v>
      </c>
    </row>
    <row r="4092" spans="1:5" ht="16">
      <c r="A4092" s="1" t="s">
        <v>3828</v>
      </c>
      <c r="B4092" s="1" t="s">
        <v>3853</v>
      </c>
      <c r="C4092" s="1" t="s">
        <v>334</v>
      </c>
      <c r="D4092" s="1" t="s">
        <v>229</v>
      </c>
      <c r="E4092" s="1" t="s">
        <v>500</v>
      </c>
    </row>
    <row r="4093" spans="1:5" ht="16">
      <c r="A4093" s="1" t="s">
        <v>3828</v>
      </c>
      <c r="B4093" s="1" t="s">
        <v>3854</v>
      </c>
      <c r="C4093" s="1" t="s">
        <v>334</v>
      </c>
      <c r="D4093" s="1" t="s">
        <v>229</v>
      </c>
      <c r="E4093" s="1" t="s">
        <v>500</v>
      </c>
    </row>
    <row r="4094" spans="1:5" ht="16">
      <c r="A4094" s="1" t="s">
        <v>3828</v>
      </c>
      <c r="B4094" s="1" t="s">
        <v>3855</v>
      </c>
      <c r="C4094" s="1" t="s">
        <v>334</v>
      </c>
      <c r="D4094" s="1" t="s">
        <v>229</v>
      </c>
      <c r="E4094" s="1" t="s">
        <v>500</v>
      </c>
    </row>
    <row r="4095" spans="1:5" ht="16">
      <c r="A4095" s="1" t="s">
        <v>3828</v>
      </c>
      <c r="B4095" s="1" t="s">
        <v>3856</v>
      </c>
      <c r="C4095" s="1" t="s">
        <v>334</v>
      </c>
      <c r="D4095" s="1" t="s">
        <v>229</v>
      </c>
      <c r="E4095" s="1"/>
    </row>
    <row r="4096" spans="1:5" ht="16">
      <c r="A4096" s="1" t="s">
        <v>3828</v>
      </c>
      <c r="B4096" s="1" t="s">
        <v>3857</v>
      </c>
      <c r="C4096" s="1" t="s">
        <v>234</v>
      </c>
      <c r="D4096" s="1" t="s">
        <v>229</v>
      </c>
      <c r="E4096" s="1"/>
    </row>
    <row r="4097" spans="1:5" ht="16">
      <c r="A4097" s="1" t="s">
        <v>3828</v>
      </c>
      <c r="B4097" s="1" t="s">
        <v>3858</v>
      </c>
      <c r="C4097" s="1" t="s">
        <v>234</v>
      </c>
      <c r="D4097" s="1" t="s">
        <v>229</v>
      </c>
      <c r="E4097" s="1"/>
    </row>
    <row r="4098" spans="1:5" ht="16">
      <c r="A4098" s="1" t="s">
        <v>3828</v>
      </c>
      <c r="B4098" s="1" t="s">
        <v>3859</v>
      </c>
      <c r="C4098" s="1" t="s">
        <v>234</v>
      </c>
      <c r="D4098" s="1" t="s">
        <v>229</v>
      </c>
      <c r="E4098" s="1"/>
    </row>
    <row r="4099" spans="1:5" ht="16">
      <c r="A4099" s="1" t="s">
        <v>3828</v>
      </c>
      <c r="B4099" s="1" t="s">
        <v>3860</v>
      </c>
      <c r="C4099" s="1" t="s">
        <v>228</v>
      </c>
      <c r="D4099" s="1" t="s">
        <v>229</v>
      </c>
      <c r="E4099" s="1"/>
    </row>
    <row r="4100" spans="1:5" ht="16">
      <c r="A4100" s="1" t="s">
        <v>3828</v>
      </c>
      <c r="B4100" s="1" t="s">
        <v>3861</v>
      </c>
      <c r="C4100" s="1" t="s">
        <v>334</v>
      </c>
      <c r="D4100" s="1" t="s">
        <v>229</v>
      </c>
      <c r="E4100" s="1"/>
    </row>
    <row r="4101" spans="1:5" ht="16">
      <c r="A4101" s="1" t="s">
        <v>3828</v>
      </c>
      <c r="B4101" s="1" t="s">
        <v>3862</v>
      </c>
      <c r="C4101" s="1" t="s">
        <v>334</v>
      </c>
      <c r="D4101" s="1" t="s">
        <v>229</v>
      </c>
      <c r="E4101" s="1" t="s">
        <v>500</v>
      </c>
    </row>
    <row r="4102" spans="1:5" ht="16">
      <c r="A4102" s="1" t="s">
        <v>3828</v>
      </c>
      <c r="B4102" s="1" t="s">
        <v>3863</v>
      </c>
      <c r="C4102" s="1" t="s">
        <v>334</v>
      </c>
      <c r="D4102" s="1" t="s">
        <v>229</v>
      </c>
      <c r="E4102" s="1" t="s">
        <v>500</v>
      </c>
    </row>
    <row r="4103" spans="1:5" ht="16">
      <c r="A4103" s="1" t="s">
        <v>3828</v>
      </c>
      <c r="B4103" s="1" t="s">
        <v>3864</v>
      </c>
      <c r="C4103" s="1" t="s">
        <v>334</v>
      </c>
      <c r="D4103" s="1" t="s">
        <v>229</v>
      </c>
      <c r="E4103" s="1"/>
    </row>
    <row r="4104" spans="1:5" ht="16">
      <c r="A4104" s="1" t="s">
        <v>3828</v>
      </c>
      <c r="B4104" s="1" t="s">
        <v>3865</v>
      </c>
      <c r="C4104" s="1" t="s">
        <v>334</v>
      </c>
      <c r="D4104" s="1" t="s">
        <v>229</v>
      </c>
      <c r="E4104" s="1" t="s">
        <v>500</v>
      </c>
    </row>
    <row r="4105" spans="1:5" ht="16">
      <c r="A4105" s="1" t="s">
        <v>3828</v>
      </c>
      <c r="B4105" s="1" t="s">
        <v>3866</v>
      </c>
      <c r="C4105" s="1" t="s">
        <v>334</v>
      </c>
      <c r="D4105" s="1" t="s">
        <v>229</v>
      </c>
      <c r="E4105" s="1" t="s">
        <v>500</v>
      </c>
    </row>
    <row r="4106" spans="1:5" ht="16">
      <c r="A4106" s="1" t="s">
        <v>3828</v>
      </c>
      <c r="B4106" s="1" t="s">
        <v>3867</v>
      </c>
      <c r="C4106" s="1" t="s">
        <v>364</v>
      </c>
      <c r="D4106" s="1" t="s">
        <v>229</v>
      </c>
      <c r="E4106" s="1"/>
    </row>
    <row r="4107" spans="1:5" ht="16">
      <c r="A4107" s="1" t="s">
        <v>3828</v>
      </c>
      <c r="B4107" s="1" t="s">
        <v>3868</v>
      </c>
      <c r="C4107" s="1" t="s">
        <v>364</v>
      </c>
      <c r="D4107" s="1" t="s">
        <v>229</v>
      </c>
      <c r="E4107" s="1"/>
    </row>
    <row r="4108" spans="1:5" ht="16">
      <c r="A4108" s="1" t="s">
        <v>3828</v>
      </c>
      <c r="B4108" s="1" t="s">
        <v>3869</v>
      </c>
      <c r="C4108" s="1" t="s">
        <v>364</v>
      </c>
      <c r="D4108" s="1" t="s">
        <v>229</v>
      </c>
      <c r="E4108" s="1"/>
    </row>
    <row r="4109" spans="1:5" ht="16">
      <c r="A4109" s="1" t="s">
        <v>3828</v>
      </c>
      <c r="B4109" s="1" t="s">
        <v>3870</v>
      </c>
      <c r="C4109" s="1" t="s">
        <v>364</v>
      </c>
      <c r="D4109" s="1" t="s">
        <v>229</v>
      </c>
      <c r="E4109" s="1"/>
    </row>
    <row r="4110" spans="1:5" ht="16">
      <c r="A4110" s="1" t="s">
        <v>3828</v>
      </c>
      <c r="B4110" s="1" t="s">
        <v>3871</v>
      </c>
      <c r="C4110" s="1" t="s">
        <v>334</v>
      </c>
      <c r="D4110" s="1" t="s">
        <v>229</v>
      </c>
      <c r="E4110" s="1" t="s">
        <v>500</v>
      </c>
    </row>
    <row r="4111" spans="1:5" ht="16">
      <c r="A4111" s="1" t="s">
        <v>3828</v>
      </c>
      <c r="B4111" s="1" t="s">
        <v>3872</v>
      </c>
      <c r="C4111" s="1" t="s">
        <v>334</v>
      </c>
      <c r="D4111" s="1" t="s">
        <v>229</v>
      </c>
      <c r="E4111" s="1" t="s">
        <v>500</v>
      </c>
    </row>
    <row r="4112" spans="1:5" ht="16">
      <c r="A4112" s="1" t="s">
        <v>3828</v>
      </c>
      <c r="B4112" s="1" t="s">
        <v>3873</v>
      </c>
      <c r="C4112" s="1" t="s">
        <v>334</v>
      </c>
      <c r="D4112" s="1" t="s">
        <v>229</v>
      </c>
      <c r="E4112" s="1" t="s">
        <v>500</v>
      </c>
    </row>
    <row r="4113" spans="1:5" ht="16">
      <c r="A4113" s="1" t="s">
        <v>3828</v>
      </c>
      <c r="B4113" s="1" t="s">
        <v>3874</v>
      </c>
      <c r="C4113" s="1" t="s">
        <v>334</v>
      </c>
      <c r="D4113" s="1" t="s">
        <v>229</v>
      </c>
      <c r="E4113" s="1" t="s">
        <v>500</v>
      </c>
    </row>
    <row r="4114" spans="1:5" ht="16">
      <c r="A4114" s="1" t="s">
        <v>3828</v>
      </c>
      <c r="B4114" s="1" t="s">
        <v>3875</v>
      </c>
      <c r="C4114" s="1" t="s">
        <v>334</v>
      </c>
      <c r="D4114" s="1" t="s">
        <v>229</v>
      </c>
      <c r="E4114" s="1" t="s">
        <v>500</v>
      </c>
    </row>
    <row r="4115" spans="1:5" ht="16">
      <c r="A4115" s="1" t="s">
        <v>3828</v>
      </c>
      <c r="B4115" s="1" t="s">
        <v>3876</v>
      </c>
      <c r="C4115" s="1" t="s">
        <v>334</v>
      </c>
      <c r="D4115" s="1" t="s">
        <v>229</v>
      </c>
      <c r="E4115" s="1" t="s">
        <v>500</v>
      </c>
    </row>
    <row r="4116" spans="1:5" ht="16">
      <c r="A4116" s="1" t="s">
        <v>3828</v>
      </c>
      <c r="B4116" s="1" t="s">
        <v>3877</v>
      </c>
      <c r="C4116" s="1" t="s">
        <v>334</v>
      </c>
      <c r="D4116" s="1" t="s">
        <v>229</v>
      </c>
      <c r="E4116" s="1" t="s">
        <v>500</v>
      </c>
    </row>
    <row r="4117" spans="1:5" ht="16">
      <c r="A4117" s="1" t="s">
        <v>3828</v>
      </c>
      <c r="B4117" s="1" t="s">
        <v>3835</v>
      </c>
      <c r="C4117" s="1" t="s">
        <v>228</v>
      </c>
      <c r="D4117" s="1" t="s">
        <v>229</v>
      </c>
      <c r="E4117" s="1"/>
    </row>
    <row r="4118" spans="1:5" ht="16">
      <c r="A4118" s="1" t="s">
        <v>3828</v>
      </c>
      <c r="B4118" s="1" t="s">
        <v>3835</v>
      </c>
      <c r="C4118" s="1" t="s">
        <v>228</v>
      </c>
      <c r="D4118" s="1" t="s">
        <v>229</v>
      </c>
      <c r="E4118" s="1"/>
    </row>
    <row r="4119" spans="1:5" ht="16">
      <c r="A4119" s="1" t="s">
        <v>3828</v>
      </c>
      <c r="B4119" s="1" t="s">
        <v>3878</v>
      </c>
      <c r="C4119" s="1" t="s">
        <v>228</v>
      </c>
      <c r="D4119" s="1" t="s">
        <v>229</v>
      </c>
      <c r="E4119" s="1"/>
    </row>
    <row r="4120" spans="1:5" ht="16">
      <c r="A4120" s="1" t="s">
        <v>3828</v>
      </c>
      <c r="B4120" s="1" t="s">
        <v>3831</v>
      </c>
      <c r="C4120" s="1" t="s">
        <v>228</v>
      </c>
      <c r="D4120" s="1" t="s">
        <v>229</v>
      </c>
      <c r="E4120" s="1"/>
    </row>
    <row r="4121" spans="1:5" ht="16">
      <c r="A4121" s="1" t="s">
        <v>3828</v>
      </c>
      <c r="B4121" s="1" t="s">
        <v>3879</v>
      </c>
      <c r="C4121" s="1" t="s">
        <v>228</v>
      </c>
      <c r="D4121" s="1" t="s">
        <v>229</v>
      </c>
      <c r="E4121" s="1"/>
    </row>
    <row r="4122" spans="1:5" ht="16">
      <c r="A4122" s="1" t="s">
        <v>3828</v>
      </c>
      <c r="B4122" s="1" t="s">
        <v>3880</v>
      </c>
      <c r="C4122" s="1" t="s">
        <v>234</v>
      </c>
      <c r="D4122" s="1" t="s">
        <v>229</v>
      </c>
      <c r="E4122" s="1"/>
    </row>
    <row r="4123" spans="1:5" ht="16">
      <c r="A4123" s="1" t="s">
        <v>3828</v>
      </c>
      <c r="B4123" s="1" t="s">
        <v>3881</v>
      </c>
      <c r="C4123" s="1" t="s">
        <v>234</v>
      </c>
      <c r="D4123" s="1" t="s">
        <v>229</v>
      </c>
      <c r="E4123" s="1"/>
    </row>
    <row r="4124" spans="1:5" ht="16">
      <c r="A4124" s="1" t="s">
        <v>3828</v>
      </c>
      <c r="B4124" s="1" t="s">
        <v>3882</v>
      </c>
      <c r="C4124" s="1" t="s">
        <v>234</v>
      </c>
      <c r="D4124" s="1" t="s">
        <v>229</v>
      </c>
      <c r="E4124" s="1"/>
    </row>
    <row r="4125" spans="1:5" ht="16">
      <c r="A4125" s="1" t="s">
        <v>3828</v>
      </c>
      <c r="B4125" s="1" t="s">
        <v>3883</v>
      </c>
      <c r="C4125" s="1" t="s">
        <v>234</v>
      </c>
      <c r="D4125" s="1" t="s">
        <v>229</v>
      </c>
      <c r="E4125" s="1"/>
    </row>
    <row r="4126" spans="1:5" ht="16">
      <c r="A4126" s="1" t="s">
        <v>3828</v>
      </c>
      <c r="B4126" s="1" t="s">
        <v>3884</v>
      </c>
      <c r="C4126" s="1" t="s">
        <v>234</v>
      </c>
      <c r="D4126" s="1" t="s">
        <v>229</v>
      </c>
      <c r="E4126" s="1"/>
    </row>
    <row r="4127" spans="1:5" ht="16">
      <c r="A4127" s="1" t="s">
        <v>3828</v>
      </c>
      <c r="B4127" s="1" t="s">
        <v>3885</v>
      </c>
      <c r="C4127" s="1" t="s">
        <v>228</v>
      </c>
      <c r="D4127" s="1" t="s">
        <v>229</v>
      </c>
      <c r="E4127" s="1"/>
    </row>
    <row r="4128" spans="1:5" ht="16">
      <c r="A4128" s="1" t="s">
        <v>3828</v>
      </c>
      <c r="B4128" s="1" t="s">
        <v>3886</v>
      </c>
      <c r="C4128" s="1" t="s">
        <v>334</v>
      </c>
      <c r="D4128" s="1" t="s">
        <v>229</v>
      </c>
      <c r="E4128" s="1" t="s">
        <v>500</v>
      </c>
    </row>
    <row r="4129" spans="1:5" ht="16">
      <c r="A4129" s="1" t="s">
        <v>3828</v>
      </c>
      <c r="B4129" s="1" t="s">
        <v>3887</v>
      </c>
      <c r="C4129" s="1" t="s">
        <v>334</v>
      </c>
      <c r="D4129" s="1" t="s">
        <v>229</v>
      </c>
      <c r="E4129" s="1" t="s">
        <v>500</v>
      </c>
    </row>
    <row r="4130" spans="1:5" ht="16">
      <c r="A4130" s="1" t="s">
        <v>3828</v>
      </c>
      <c r="B4130" s="1" t="s">
        <v>3888</v>
      </c>
      <c r="C4130" s="1" t="s">
        <v>334</v>
      </c>
      <c r="D4130" s="1" t="s">
        <v>229</v>
      </c>
      <c r="E4130" s="1" t="s">
        <v>500</v>
      </c>
    </row>
    <row r="4131" spans="1:5" ht="16">
      <c r="A4131" s="1" t="s">
        <v>3828</v>
      </c>
      <c r="B4131" s="1" t="s">
        <v>3889</v>
      </c>
      <c r="C4131" s="1" t="s">
        <v>334</v>
      </c>
      <c r="D4131" s="1" t="s">
        <v>229</v>
      </c>
      <c r="E4131" s="1"/>
    </row>
    <row r="4132" spans="1:5" ht="16">
      <c r="A4132" s="1" t="s">
        <v>3828</v>
      </c>
      <c r="B4132" s="1" t="s">
        <v>3890</v>
      </c>
      <c r="C4132" s="1" t="s">
        <v>334</v>
      </c>
      <c r="D4132" s="1" t="s">
        <v>229</v>
      </c>
      <c r="E4132" s="1"/>
    </row>
    <row r="4133" spans="1:5" ht="16">
      <c r="A4133" s="1" t="s">
        <v>3828</v>
      </c>
      <c r="B4133" s="1" t="s">
        <v>3891</v>
      </c>
      <c r="C4133" s="1" t="s">
        <v>334</v>
      </c>
      <c r="D4133" s="1" t="s">
        <v>229</v>
      </c>
      <c r="E4133" s="1"/>
    </row>
    <row r="4134" spans="1:5" ht="16">
      <c r="A4134" s="1" t="s">
        <v>3828</v>
      </c>
      <c r="B4134" s="1" t="s">
        <v>3892</v>
      </c>
      <c r="C4134" s="1" t="s">
        <v>334</v>
      </c>
      <c r="D4134" s="1" t="s">
        <v>229</v>
      </c>
      <c r="E4134" s="1" t="s">
        <v>500</v>
      </c>
    </row>
    <row r="4135" spans="1:5" ht="16">
      <c r="A4135" s="1" t="s">
        <v>3828</v>
      </c>
      <c r="B4135" s="1" t="s">
        <v>3893</v>
      </c>
      <c r="C4135" s="1" t="s">
        <v>334</v>
      </c>
      <c r="D4135" s="1" t="s">
        <v>229</v>
      </c>
      <c r="E4135" s="1" t="s">
        <v>500</v>
      </c>
    </row>
    <row r="4136" spans="1:5" ht="16">
      <c r="A4136" s="1" t="s">
        <v>3828</v>
      </c>
      <c r="B4136" s="1" t="s">
        <v>3894</v>
      </c>
      <c r="C4136" s="1" t="s">
        <v>334</v>
      </c>
      <c r="D4136" s="1" t="s">
        <v>229</v>
      </c>
      <c r="E4136" s="1" t="s">
        <v>500</v>
      </c>
    </row>
    <row r="4137" spans="1:5" ht="16">
      <c r="A4137" s="1" t="s">
        <v>3828</v>
      </c>
      <c r="B4137" s="1" t="s">
        <v>3895</v>
      </c>
      <c r="C4137" s="1" t="s">
        <v>334</v>
      </c>
      <c r="D4137" s="1" t="s">
        <v>229</v>
      </c>
      <c r="E4137" s="1"/>
    </row>
    <row r="4138" spans="1:5" ht="16">
      <c r="A4138" s="1" t="s">
        <v>3828</v>
      </c>
      <c r="B4138" s="1" t="s">
        <v>3364</v>
      </c>
      <c r="C4138" s="1" t="s">
        <v>334</v>
      </c>
      <c r="D4138" s="1" t="s">
        <v>229</v>
      </c>
      <c r="E4138" s="1"/>
    </row>
    <row r="4139" spans="1:5" ht="16">
      <c r="A4139" s="1" t="s">
        <v>3828</v>
      </c>
      <c r="B4139" s="1" t="s">
        <v>3896</v>
      </c>
      <c r="C4139" s="1" t="s">
        <v>334</v>
      </c>
      <c r="D4139" s="1" t="s">
        <v>229</v>
      </c>
      <c r="E4139" s="1"/>
    </row>
    <row r="4140" spans="1:5" ht="16">
      <c r="A4140" s="1" t="s">
        <v>3828</v>
      </c>
      <c r="B4140" s="1" t="s">
        <v>3367</v>
      </c>
      <c r="C4140" s="1" t="s">
        <v>334</v>
      </c>
      <c r="D4140" s="1" t="s">
        <v>229</v>
      </c>
      <c r="E4140" s="1"/>
    </row>
    <row r="4141" spans="1:5" ht="16">
      <c r="A4141" s="1" t="s">
        <v>3828</v>
      </c>
      <c r="B4141" s="1" t="s">
        <v>3897</v>
      </c>
      <c r="C4141" s="1" t="s">
        <v>334</v>
      </c>
      <c r="D4141" s="1" t="s">
        <v>229</v>
      </c>
      <c r="E4141" s="1"/>
    </row>
    <row r="4142" spans="1:5" ht="16">
      <c r="A4142" s="1" t="s">
        <v>3828</v>
      </c>
      <c r="B4142" s="1" t="s">
        <v>3898</v>
      </c>
      <c r="C4142" s="1" t="s">
        <v>334</v>
      </c>
      <c r="D4142" s="1" t="s">
        <v>229</v>
      </c>
      <c r="E4142" s="1"/>
    </row>
    <row r="4143" spans="1:5" ht="16">
      <c r="A4143" s="1" t="s">
        <v>3828</v>
      </c>
      <c r="B4143" s="1" t="s">
        <v>3899</v>
      </c>
      <c r="C4143" s="1" t="s">
        <v>334</v>
      </c>
      <c r="D4143" s="1" t="s">
        <v>229</v>
      </c>
      <c r="E4143" s="1"/>
    </row>
    <row r="4144" spans="1:5" ht="16">
      <c r="A4144" s="1" t="s">
        <v>3828</v>
      </c>
      <c r="B4144" s="1" t="s">
        <v>3900</v>
      </c>
      <c r="C4144" s="1" t="s">
        <v>307</v>
      </c>
      <c r="D4144" s="1" t="s">
        <v>229</v>
      </c>
      <c r="E4144" s="1"/>
    </row>
    <row r="4145" spans="1:5" ht="16">
      <c r="A4145" s="1" t="s">
        <v>3828</v>
      </c>
      <c r="B4145" s="1" t="s">
        <v>3901</v>
      </c>
      <c r="C4145" s="1" t="s">
        <v>307</v>
      </c>
      <c r="D4145" s="1" t="s">
        <v>229</v>
      </c>
      <c r="E4145" s="1"/>
    </row>
    <row r="4146" spans="1:5" ht="16">
      <c r="A4146" s="1" t="s">
        <v>3828</v>
      </c>
      <c r="B4146" s="1" t="s">
        <v>3902</v>
      </c>
      <c r="C4146" s="1" t="s">
        <v>307</v>
      </c>
      <c r="D4146" s="1" t="s">
        <v>229</v>
      </c>
      <c r="E4146" s="1"/>
    </row>
    <row r="4147" spans="1:5" ht="16">
      <c r="A4147" s="1" t="s">
        <v>3828</v>
      </c>
      <c r="B4147" s="1" t="s">
        <v>3903</v>
      </c>
      <c r="C4147" s="1" t="s">
        <v>307</v>
      </c>
      <c r="D4147" s="1" t="s">
        <v>229</v>
      </c>
      <c r="E4147" s="1"/>
    </row>
    <row r="4148" spans="1:5" ht="16">
      <c r="A4148" s="1" t="s">
        <v>3828</v>
      </c>
      <c r="B4148" s="1" t="s">
        <v>3904</v>
      </c>
      <c r="C4148" s="1" t="s">
        <v>307</v>
      </c>
      <c r="D4148" s="1" t="s">
        <v>229</v>
      </c>
      <c r="E4148" s="1"/>
    </row>
    <row r="4149" spans="1:5" ht="16">
      <c r="A4149" s="1" t="s">
        <v>3828</v>
      </c>
      <c r="B4149" s="1" t="s">
        <v>3905</v>
      </c>
      <c r="C4149" s="1" t="s">
        <v>234</v>
      </c>
      <c r="D4149" s="1" t="s">
        <v>229</v>
      </c>
      <c r="E4149" s="1"/>
    </row>
    <row r="4150" spans="1:5" ht="16">
      <c r="A4150" s="1" t="s">
        <v>3828</v>
      </c>
      <c r="B4150" s="1" t="s">
        <v>3906</v>
      </c>
      <c r="C4150" s="1" t="s">
        <v>307</v>
      </c>
      <c r="D4150" s="1" t="s">
        <v>229</v>
      </c>
      <c r="E4150" s="1"/>
    </row>
    <row r="4151" spans="1:5" ht="16">
      <c r="A4151" s="1" t="s">
        <v>3828</v>
      </c>
      <c r="B4151" s="1" t="s">
        <v>3907</v>
      </c>
      <c r="C4151" s="1" t="s">
        <v>307</v>
      </c>
      <c r="D4151" s="1" t="s">
        <v>229</v>
      </c>
      <c r="E4151" s="1"/>
    </row>
    <row r="4152" spans="1:5" ht="16">
      <c r="A4152" s="1" t="s">
        <v>3828</v>
      </c>
      <c r="B4152" s="1" t="s">
        <v>3908</v>
      </c>
      <c r="C4152" s="1" t="s">
        <v>307</v>
      </c>
      <c r="D4152" s="1" t="s">
        <v>229</v>
      </c>
      <c r="E4152" s="1"/>
    </row>
    <row r="4153" spans="1:5" ht="16">
      <c r="A4153" s="1" t="s">
        <v>3828</v>
      </c>
      <c r="B4153" s="1" t="s">
        <v>3909</v>
      </c>
      <c r="C4153" s="1" t="s">
        <v>307</v>
      </c>
      <c r="D4153" s="1" t="s">
        <v>229</v>
      </c>
      <c r="E4153" s="1"/>
    </row>
    <row r="4154" spans="1:5" ht="16">
      <c r="A4154" s="1" t="s">
        <v>3828</v>
      </c>
      <c r="B4154" s="1" t="s">
        <v>3910</v>
      </c>
      <c r="C4154" s="1" t="s">
        <v>307</v>
      </c>
      <c r="D4154" s="1" t="s">
        <v>229</v>
      </c>
      <c r="E4154" s="1"/>
    </row>
    <row r="4155" spans="1:5" ht="16">
      <c r="A4155" s="1" t="s">
        <v>3828</v>
      </c>
      <c r="B4155" s="1" t="s">
        <v>3911</v>
      </c>
      <c r="C4155" s="1" t="s">
        <v>364</v>
      </c>
      <c r="D4155" s="1" t="s">
        <v>229</v>
      </c>
      <c r="E4155" s="1"/>
    </row>
    <row r="4156" spans="1:5" ht="16">
      <c r="A4156" s="1" t="s">
        <v>3828</v>
      </c>
      <c r="B4156" s="1" t="s">
        <v>3912</v>
      </c>
      <c r="C4156" s="1" t="s">
        <v>364</v>
      </c>
      <c r="D4156" s="1" t="s">
        <v>229</v>
      </c>
      <c r="E4156" s="1"/>
    </row>
    <row r="4157" spans="1:5" ht="16">
      <c r="A4157" s="1" t="s">
        <v>3828</v>
      </c>
      <c r="B4157" s="1" t="s">
        <v>3913</v>
      </c>
      <c r="C4157" s="1" t="s">
        <v>364</v>
      </c>
      <c r="D4157" s="1" t="s">
        <v>229</v>
      </c>
      <c r="E4157" s="1"/>
    </row>
    <row r="4158" spans="1:5" ht="16">
      <c r="A4158" s="1" t="s">
        <v>3828</v>
      </c>
      <c r="B4158" s="1" t="s">
        <v>3914</v>
      </c>
      <c r="C4158" s="1" t="s">
        <v>364</v>
      </c>
      <c r="D4158" s="1" t="s">
        <v>229</v>
      </c>
      <c r="E4158" s="1"/>
    </row>
    <row r="4159" spans="1:5" ht="16">
      <c r="A4159" s="1" t="s">
        <v>3828</v>
      </c>
      <c r="B4159" s="1" t="s">
        <v>3915</v>
      </c>
      <c r="C4159" s="1" t="s">
        <v>364</v>
      </c>
      <c r="D4159" s="1" t="s">
        <v>229</v>
      </c>
      <c r="E4159" s="1"/>
    </row>
    <row r="4160" spans="1:5" ht="16">
      <c r="A4160" s="1" t="s">
        <v>3828</v>
      </c>
      <c r="B4160" s="1" t="s">
        <v>3916</v>
      </c>
      <c r="C4160" s="1" t="s">
        <v>334</v>
      </c>
      <c r="D4160" s="1" t="s">
        <v>229</v>
      </c>
      <c r="E4160" s="1"/>
    </row>
    <row r="4161" spans="1:5" ht="16">
      <c r="A4161" s="1" t="s">
        <v>3828</v>
      </c>
      <c r="B4161" s="1" t="s">
        <v>3917</v>
      </c>
      <c r="C4161" s="1" t="s">
        <v>334</v>
      </c>
      <c r="D4161" s="1" t="s">
        <v>229</v>
      </c>
      <c r="E4161" s="1"/>
    </row>
    <row r="4162" spans="1:5" ht="16">
      <c r="A4162" s="1" t="s">
        <v>3828</v>
      </c>
      <c r="B4162" s="1" t="s">
        <v>3918</v>
      </c>
      <c r="C4162" s="1" t="s">
        <v>334</v>
      </c>
      <c r="D4162" s="1" t="s">
        <v>229</v>
      </c>
      <c r="E4162" s="1"/>
    </row>
    <row r="4163" spans="1:5" ht="16">
      <c r="A4163" s="1" t="s">
        <v>3828</v>
      </c>
      <c r="B4163" s="1" t="s">
        <v>3919</v>
      </c>
      <c r="C4163" s="1" t="s">
        <v>334</v>
      </c>
      <c r="D4163" s="1" t="s">
        <v>229</v>
      </c>
      <c r="E4163" s="1"/>
    </row>
    <row r="4164" spans="1:5" ht="16">
      <c r="A4164" s="1" t="s">
        <v>3828</v>
      </c>
      <c r="B4164" s="1" t="s">
        <v>3919</v>
      </c>
      <c r="C4164" s="1" t="s">
        <v>334</v>
      </c>
      <c r="D4164" s="1" t="s">
        <v>229</v>
      </c>
      <c r="E4164" s="1"/>
    </row>
    <row r="4165" spans="1:5" ht="16">
      <c r="A4165" s="1" t="s">
        <v>3828</v>
      </c>
      <c r="B4165" s="1" t="s">
        <v>3920</v>
      </c>
      <c r="C4165" s="1" t="s">
        <v>334</v>
      </c>
      <c r="D4165" s="1" t="s">
        <v>229</v>
      </c>
      <c r="E4165" s="1"/>
    </row>
    <row r="4166" spans="1:5" ht="16">
      <c r="A4166" s="1" t="s">
        <v>3828</v>
      </c>
      <c r="B4166" s="1" t="s">
        <v>3921</v>
      </c>
      <c r="C4166" s="1" t="s">
        <v>334</v>
      </c>
      <c r="D4166" s="1" t="s">
        <v>229</v>
      </c>
      <c r="E4166" s="1"/>
    </row>
    <row r="4167" spans="1:5" ht="16">
      <c r="A4167" s="1" t="s">
        <v>3828</v>
      </c>
      <c r="B4167" s="1" t="s">
        <v>3922</v>
      </c>
      <c r="C4167" s="1" t="s">
        <v>334</v>
      </c>
      <c r="D4167" s="1" t="s">
        <v>229</v>
      </c>
      <c r="E4167" s="1"/>
    </row>
    <row r="4168" spans="1:5" ht="16">
      <c r="A4168" s="1" t="s">
        <v>3828</v>
      </c>
      <c r="B4168" s="1" t="s">
        <v>3922</v>
      </c>
      <c r="C4168" s="1" t="s">
        <v>334</v>
      </c>
      <c r="D4168" s="1" t="s">
        <v>229</v>
      </c>
      <c r="E4168" s="1"/>
    </row>
    <row r="4169" spans="1:5" ht="16">
      <c r="A4169" s="1" t="s">
        <v>3828</v>
      </c>
      <c r="B4169" s="1" t="s">
        <v>3923</v>
      </c>
      <c r="C4169" s="1" t="s">
        <v>334</v>
      </c>
      <c r="D4169" s="1" t="s">
        <v>229</v>
      </c>
      <c r="E4169" s="1"/>
    </row>
    <row r="4170" spans="1:5" ht="16">
      <c r="A4170" s="1" t="s">
        <v>3828</v>
      </c>
      <c r="B4170" s="1" t="s">
        <v>3924</v>
      </c>
      <c r="C4170" s="1" t="s">
        <v>334</v>
      </c>
      <c r="D4170" s="1" t="s">
        <v>229</v>
      </c>
      <c r="E4170" s="1"/>
    </row>
    <row r="4171" spans="1:5" ht="16">
      <c r="A4171" s="1" t="s">
        <v>3828</v>
      </c>
      <c r="B4171" s="1" t="s">
        <v>3925</v>
      </c>
      <c r="C4171" s="1" t="s">
        <v>334</v>
      </c>
      <c r="D4171" s="1" t="s">
        <v>229</v>
      </c>
      <c r="E4171" s="1"/>
    </row>
    <row r="4172" spans="1:5" ht="16">
      <c r="A4172" s="1" t="s">
        <v>3828</v>
      </c>
      <c r="B4172" s="1" t="s">
        <v>3926</v>
      </c>
      <c r="C4172" s="1" t="s">
        <v>334</v>
      </c>
      <c r="D4172" s="1" t="s">
        <v>229</v>
      </c>
      <c r="E4172" s="1"/>
    </row>
    <row r="4173" spans="1:5" ht="16">
      <c r="A4173" s="1" t="s">
        <v>3828</v>
      </c>
      <c r="B4173" s="1" t="s">
        <v>3927</v>
      </c>
      <c r="C4173" s="1" t="s">
        <v>334</v>
      </c>
      <c r="D4173" s="1" t="s">
        <v>229</v>
      </c>
      <c r="E4173" s="1"/>
    </row>
    <row r="4174" spans="1:5" ht="16">
      <c r="A4174" s="1" t="s">
        <v>3828</v>
      </c>
      <c r="B4174" s="1" t="s">
        <v>3928</v>
      </c>
      <c r="C4174" s="1" t="s">
        <v>334</v>
      </c>
      <c r="D4174" s="1" t="s">
        <v>229</v>
      </c>
      <c r="E4174" s="1"/>
    </row>
    <row r="4175" spans="1:5" ht="16">
      <c r="A4175" s="1" t="s">
        <v>3828</v>
      </c>
      <c r="B4175" s="1" t="s">
        <v>1133</v>
      </c>
      <c r="C4175" s="1" t="s">
        <v>334</v>
      </c>
      <c r="D4175" s="1" t="s">
        <v>229</v>
      </c>
      <c r="E4175" s="1"/>
    </row>
    <row r="4176" spans="1:5" ht="16">
      <c r="A4176" s="1" t="s">
        <v>3828</v>
      </c>
      <c r="B4176" s="1" t="s">
        <v>3929</v>
      </c>
      <c r="C4176" s="1" t="s">
        <v>334</v>
      </c>
      <c r="D4176" s="1" t="s">
        <v>229</v>
      </c>
      <c r="E4176" s="1"/>
    </row>
    <row r="4177" spans="1:5" ht="16">
      <c r="A4177" s="1" t="s">
        <v>3828</v>
      </c>
      <c r="B4177" s="1" t="s">
        <v>3930</v>
      </c>
      <c r="C4177" s="1" t="s">
        <v>334</v>
      </c>
      <c r="D4177" s="1" t="s">
        <v>229</v>
      </c>
      <c r="E4177" s="1"/>
    </row>
    <row r="4178" spans="1:5" ht="16">
      <c r="A4178" s="1" t="s">
        <v>3828</v>
      </c>
      <c r="B4178" s="1" t="s">
        <v>3931</v>
      </c>
      <c r="C4178" s="1" t="s">
        <v>334</v>
      </c>
      <c r="D4178" s="1" t="s">
        <v>229</v>
      </c>
      <c r="E4178" s="1" t="s">
        <v>500</v>
      </c>
    </row>
    <row r="4179" spans="1:5" ht="16">
      <c r="A4179" s="1" t="s">
        <v>3828</v>
      </c>
      <c r="B4179" s="1" t="s">
        <v>3932</v>
      </c>
      <c r="C4179" s="1" t="s">
        <v>334</v>
      </c>
      <c r="D4179" s="1" t="s">
        <v>229</v>
      </c>
      <c r="E4179" s="1" t="s">
        <v>500</v>
      </c>
    </row>
    <row r="4180" spans="1:5" ht="16">
      <c r="A4180" s="1" t="s">
        <v>3828</v>
      </c>
      <c r="B4180" s="1" t="s">
        <v>3933</v>
      </c>
      <c r="C4180" s="1" t="s">
        <v>234</v>
      </c>
      <c r="D4180" s="1" t="s">
        <v>229</v>
      </c>
      <c r="E4180" s="1"/>
    </row>
    <row r="4181" spans="1:5" ht="16">
      <c r="A4181" s="1" t="s">
        <v>3828</v>
      </c>
      <c r="B4181" s="1" t="s">
        <v>3934</v>
      </c>
      <c r="C4181" s="1" t="s">
        <v>332</v>
      </c>
      <c r="D4181" s="1" t="s">
        <v>229</v>
      </c>
      <c r="E4181" s="1"/>
    </row>
    <row r="4182" spans="1:5" ht="16">
      <c r="A4182" s="1" t="s">
        <v>3828</v>
      </c>
      <c r="B4182" s="1" t="s">
        <v>3935</v>
      </c>
      <c r="C4182" s="1" t="s">
        <v>332</v>
      </c>
      <c r="D4182" s="1" t="s">
        <v>229</v>
      </c>
      <c r="E4182" s="1"/>
    </row>
    <row r="4183" spans="1:5" ht="16">
      <c r="A4183" s="1" t="s">
        <v>3828</v>
      </c>
      <c r="B4183" s="1" t="s">
        <v>3936</v>
      </c>
      <c r="C4183" s="1" t="s">
        <v>332</v>
      </c>
      <c r="D4183" s="1" t="s">
        <v>229</v>
      </c>
      <c r="E4183" s="1"/>
    </row>
    <row r="4184" spans="1:5" ht="16">
      <c r="A4184" s="1" t="s">
        <v>3828</v>
      </c>
      <c r="B4184" s="1" t="s">
        <v>3937</v>
      </c>
      <c r="C4184" s="1" t="s">
        <v>332</v>
      </c>
      <c r="D4184" s="1" t="s">
        <v>229</v>
      </c>
      <c r="E4184" s="1" t="s">
        <v>500</v>
      </c>
    </row>
    <row r="4185" spans="1:5" ht="16">
      <c r="A4185" s="1" t="s">
        <v>3828</v>
      </c>
      <c r="B4185" s="1" t="s">
        <v>3938</v>
      </c>
      <c r="C4185" s="1" t="s">
        <v>332</v>
      </c>
      <c r="D4185" s="1" t="s">
        <v>229</v>
      </c>
      <c r="E4185" s="1" t="s">
        <v>500</v>
      </c>
    </row>
    <row r="4186" spans="1:5" ht="16">
      <c r="A4186" s="1" t="s">
        <v>3828</v>
      </c>
      <c r="B4186" s="1" t="s">
        <v>3939</v>
      </c>
      <c r="C4186" s="1" t="s">
        <v>332</v>
      </c>
      <c r="D4186" s="1" t="s">
        <v>229</v>
      </c>
      <c r="E4186" s="1"/>
    </row>
    <row r="4187" spans="1:5" ht="16">
      <c r="A4187" s="1" t="s">
        <v>3828</v>
      </c>
      <c r="B4187" s="1" t="s">
        <v>3940</v>
      </c>
      <c r="C4187" s="1" t="s">
        <v>332</v>
      </c>
      <c r="D4187" s="1" t="s">
        <v>229</v>
      </c>
      <c r="E4187" s="1"/>
    </row>
    <row r="4188" spans="1:5" ht="16">
      <c r="A4188" s="1" t="s">
        <v>3828</v>
      </c>
      <c r="B4188" s="1" t="s">
        <v>3941</v>
      </c>
      <c r="C4188" s="1" t="s">
        <v>332</v>
      </c>
      <c r="D4188" s="1" t="s">
        <v>229</v>
      </c>
      <c r="E4188" s="1"/>
    </row>
    <row r="4189" spans="1:5" ht="16">
      <c r="A4189" s="1" t="s">
        <v>3828</v>
      </c>
      <c r="B4189" s="1" t="s">
        <v>3942</v>
      </c>
      <c r="C4189" s="1" t="s">
        <v>332</v>
      </c>
      <c r="D4189" s="1" t="s">
        <v>229</v>
      </c>
      <c r="E4189" s="1"/>
    </row>
    <row r="4190" spans="1:5" ht="16">
      <c r="A4190" s="1" t="s">
        <v>3828</v>
      </c>
      <c r="B4190" s="1" t="s">
        <v>3943</v>
      </c>
      <c r="C4190" s="1" t="s">
        <v>332</v>
      </c>
      <c r="D4190" s="1" t="s">
        <v>229</v>
      </c>
      <c r="E4190" s="1"/>
    </row>
    <row r="4191" spans="1:5" ht="16">
      <c r="A4191" s="1" t="s">
        <v>3828</v>
      </c>
      <c r="B4191" s="1" t="s">
        <v>3944</v>
      </c>
      <c r="C4191" s="1" t="s">
        <v>334</v>
      </c>
      <c r="D4191" s="1" t="s">
        <v>229</v>
      </c>
      <c r="E4191" s="1"/>
    </row>
    <row r="4192" spans="1:5" ht="16">
      <c r="A4192" s="1" t="s">
        <v>3828</v>
      </c>
      <c r="B4192" s="1" t="s">
        <v>3945</v>
      </c>
      <c r="C4192" s="1" t="s">
        <v>334</v>
      </c>
      <c r="D4192" s="1" t="s">
        <v>229</v>
      </c>
      <c r="E4192" s="1"/>
    </row>
    <row r="4193" spans="1:5" ht="16">
      <c r="A4193" s="1" t="s">
        <v>3828</v>
      </c>
      <c r="B4193" s="1" t="s">
        <v>3946</v>
      </c>
      <c r="C4193" s="1" t="s">
        <v>334</v>
      </c>
      <c r="D4193" s="1" t="s">
        <v>229</v>
      </c>
      <c r="E4193" s="1"/>
    </row>
    <row r="4194" spans="1:5" ht="16">
      <c r="A4194" s="1" t="s">
        <v>3828</v>
      </c>
      <c r="B4194" s="1" t="s">
        <v>3947</v>
      </c>
      <c r="C4194" s="1" t="s">
        <v>332</v>
      </c>
      <c r="D4194" s="1" t="s">
        <v>229</v>
      </c>
      <c r="E4194" s="1"/>
    </row>
    <row r="4195" spans="1:5" ht="16">
      <c r="A4195" s="1" t="s">
        <v>3828</v>
      </c>
      <c r="B4195" s="1" t="s">
        <v>3948</v>
      </c>
      <c r="C4195" s="1" t="s">
        <v>332</v>
      </c>
      <c r="D4195" s="1" t="s">
        <v>229</v>
      </c>
      <c r="E4195" s="1"/>
    </row>
    <row r="4196" spans="1:5" ht="16">
      <c r="A4196" s="1" t="s">
        <v>3828</v>
      </c>
      <c r="B4196" s="1" t="s">
        <v>3949</v>
      </c>
      <c r="C4196" s="1" t="s">
        <v>332</v>
      </c>
      <c r="D4196" s="1" t="s">
        <v>229</v>
      </c>
      <c r="E4196" s="1"/>
    </row>
    <row r="4197" spans="1:5" ht="16">
      <c r="A4197" s="1" t="s">
        <v>3828</v>
      </c>
      <c r="B4197" s="1" t="s">
        <v>3950</v>
      </c>
      <c r="C4197" s="1" t="s">
        <v>332</v>
      </c>
      <c r="D4197" s="1" t="s">
        <v>229</v>
      </c>
      <c r="E4197" s="1"/>
    </row>
    <row r="4198" spans="1:5" ht="16">
      <c r="A4198" s="1" t="s">
        <v>3828</v>
      </c>
      <c r="B4198" s="1" t="s">
        <v>3951</v>
      </c>
      <c r="C4198" s="1" t="s">
        <v>332</v>
      </c>
      <c r="D4198" s="1" t="s">
        <v>229</v>
      </c>
      <c r="E4198" s="1"/>
    </row>
    <row r="4199" spans="1:5" ht="16">
      <c r="A4199" s="1" t="s">
        <v>3828</v>
      </c>
      <c r="B4199" s="1" t="s">
        <v>3952</v>
      </c>
      <c r="C4199" s="1" t="s">
        <v>332</v>
      </c>
      <c r="D4199" s="1" t="s">
        <v>229</v>
      </c>
      <c r="E4199" s="1"/>
    </row>
    <row r="4200" spans="1:5" ht="16">
      <c r="A4200" s="1" t="s">
        <v>3828</v>
      </c>
      <c r="B4200" s="1" t="s">
        <v>3953</v>
      </c>
      <c r="C4200" s="1" t="s">
        <v>332</v>
      </c>
      <c r="D4200" s="1" t="s">
        <v>229</v>
      </c>
      <c r="E4200" s="1"/>
    </row>
    <row r="4201" spans="1:5" ht="16">
      <c r="A4201" s="1" t="s">
        <v>3828</v>
      </c>
      <c r="B4201" s="1" t="s">
        <v>3954</v>
      </c>
      <c r="C4201" s="1" t="s">
        <v>334</v>
      </c>
      <c r="D4201" s="1" t="s">
        <v>229</v>
      </c>
      <c r="E4201" s="1"/>
    </row>
    <row r="4202" spans="1:5" ht="16">
      <c r="A4202" s="1" t="s">
        <v>3828</v>
      </c>
      <c r="B4202" s="1" t="s">
        <v>3955</v>
      </c>
      <c r="C4202" s="1" t="s">
        <v>334</v>
      </c>
      <c r="D4202" s="1" t="s">
        <v>229</v>
      </c>
      <c r="E4202" s="1"/>
    </row>
    <row r="4203" spans="1:5" ht="16">
      <c r="A4203" s="1" t="s">
        <v>3828</v>
      </c>
      <c r="B4203" s="1" t="s">
        <v>3956</v>
      </c>
      <c r="C4203" s="1" t="s">
        <v>334</v>
      </c>
      <c r="D4203" s="1" t="s">
        <v>229</v>
      </c>
      <c r="E4203" s="1"/>
    </row>
    <row r="4204" spans="1:5" ht="16">
      <c r="A4204" s="1" t="s">
        <v>3828</v>
      </c>
      <c r="B4204" s="1" t="s">
        <v>3957</v>
      </c>
      <c r="C4204" s="1" t="s">
        <v>307</v>
      </c>
      <c r="D4204" s="1" t="s">
        <v>229</v>
      </c>
      <c r="E4204" s="1"/>
    </row>
    <row r="4205" spans="1:5" ht="16">
      <c r="A4205" s="1" t="s">
        <v>3828</v>
      </c>
      <c r="B4205" s="1" t="s">
        <v>3958</v>
      </c>
      <c r="C4205" s="1" t="s">
        <v>332</v>
      </c>
      <c r="D4205" s="1" t="s">
        <v>229</v>
      </c>
      <c r="E4205" s="1"/>
    </row>
    <row r="4206" spans="1:5" ht="16">
      <c r="A4206" s="1" t="s">
        <v>3828</v>
      </c>
      <c r="B4206" s="1" t="s">
        <v>3959</v>
      </c>
      <c r="C4206" s="1" t="s">
        <v>319</v>
      </c>
      <c r="D4206" s="1" t="s">
        <v>229</v>
      </c>
      <c r="E4206" s="1"/>
    </row>
    <row r="4207" spans="1:5" ht="16">
      <c r="A4207" s="1" t="s">
        <v>3828</v>
      </c>
      <c r="B4207" s="1" t="s">
        <v>3960</v>
      </c>
      <c r="C4207" s="1" t="s">
        <v>319</v>
      </c>
      <c r="D4207" s="1" t="s">
        <v>229</v>
      </c>
      <c r="E4207" s="1"/>
    </row>
    <row r="4208" spans="1:5" ht="16">
      <c r="A4208" s="1" t="s">
        <v>3828</v>
      </c>
      <c r="B4208" s="1" t="s">
        <v>3961</v>
      </c>
      <c r="C4208" s="1" t="s">
        <v>334</v>
      </c>
      <c r="D4208" s="1" t="s">
        <v>229</v>
      </c>
      <c r="E4208" s="1"/>
    </row>
    <row r="4209" spans="1:5" ht="16">
      <c r="A4209" s="1" t="s">
        <v>3828</v>
      </c>
      <c r="B4209" s="1" t="s">
        <v>3962</v>
      </c>
      <c r="C4209" s="1" t="s">
        <v>334</v>
      </c>
      <c r="D4209" s="1" t="s">
        <v>229</v>
      </c>
      <c r="E4209" s="1"/>
    </row>
    <row r="4210" spans="1:5" ht="16">
      <c r="A4210" s="1" t="s">
        <v>3828</v>
      </c>
      <c r="B4210" s="1" t="s">
        <v>3963</v>
      </c>
      <c r="C4210" s="1" t="s">
        <v>334</v>
      </c>
      <c r="D4210" s="1" t="s">
        <v>229</v>
      </c>
      <c r="E4210" s="1"/>
    </row>
    <row r="4211" spans="1:5" ht="16">
      <c r="A4211" s="1" t="s">
        <v>3828</v>
      </c>
      <c r="B4211" s="1" t="s">
        <v>3964</v>
      </c>
      <c r="C4211" s="1" t="s">
        <v>228</v>
      </c>
      <c r="D4211" s="1" t="s">
        <v>229</v>
      </c>
      <c r="E4211" s="1"/>
    </row>
    <row r="4212" spans="1:5" ht="16">
      <c r="A4212" s="1" t="s">
        <v>3828</v>
      </c>
      <c r="B4212" s="1" t="s">
        <v>3965</v>
      </c>
      <c r="C4212" s="1" t="s">
        <v>332</v>
      </c>
      <c r="D4212" s="1" t="s">
        <v>229</v>
      </c>
      <c r="E4212" s="1"/>
    </row>
    <row r="4213" spans="1:5" ht="16">
      <c r="A4213" s="1" t="s">
        <v>3828</v>
      </c>
      <c r="B4213" s="1" t="s">
        <v>3966</v>
      </c>
      <c r="C4213" s="1" t="s">
        <v>332</v>
      </c>
      <c r="D4213" s="1" t="s">
        <v>229</v>
      </c>
      <c r="E4213" s="1"/>
    </row>
    <row r="4214" spans="1:5" ht="16">
      <c r="A4214" s="1" t="s">
        <v>3828</v>
      </c>
      <c r="B4214" s="1" t="s">
        <v>3967</v>
      </c>
      <c r="C4214" s="1" t="s">
        <v>332</v>
      </c>
      <c r="D4214" s="1" t="s">
        <v>229</v>
      </c>
      <c r="E4214" s="1"/>
    </row>
    <row r="4215" spans="1:5" ht="16">
      <c r="A4215" s="1" t="s">
        <v>3828</v>
      </c>
      <c r="B4215" s="1" t="s">
        <v>3968</v>
      </c>
      <c r="C4215" s="1" t="s">
        <v>332</v>
      </c>
      <c r="D4215" s="1" t="s">
        <v>229</v>
      </c>
      <c r="E4215" s="1"/>
    </row>
    <row r="4216" spans="1:5" ht="16">
      <c r="A4216" s="1" t="s">
        <v>3828</v>
      </c>
      <c r="B4216" s="1" t="s">
        <v>3969</v>
      </c>
      <c r="C4216" s="1" t="s">
        <v>332</v>
      </c>
      <c r="D4216" s="1" t="s">
        <v>229</v>
      </c>
      <c r="E4216" s="1"/>
    </row>
    <row r="4217" spans="1:5" ht="16">
      <c r="A4217" s="1" t="s">
        <v>3828</v>
      </c>
      <c r="B4217" s="1" t="s">
        <v>3970</v>
      </c>
      <c r="C4217" s="1" t="s">
        <v>332</v>
      </c>
      <c r="D4217" s="1" t="s">
        <v>229</v>
      </c>
      <c r="E4217" s="1"/>
    </row>
    <row r="4218" spans="1:5" ht="16">
      <c r="A4218" s="1" t="s">
        <v>3828</v>
      </c>
      <c r="B4218" s="1" t="s">
        <v>3971</v>
      </c>
      <c r="C4218" s="1" t="s">
        <v>332</v>
      </c>
      <c r="D4218" s="1" t="s">
        <v>229</v>
      </c>
      <c r="E4218" s="1"/>
    </row>
    <row r="4219" spans="1:5" ht="16">
      <c r="A4219" s="1" t="s">
        <v>3828</v>
      </c>
      <c r="B4219" s="1" t="s">
        <v>3972</v>
      </c>
      <c r="C4219" s="1" t="s">
        <v>332</v>
      </c>
      <c r="D4219" s="1" t="s">
        <v>229</v>
      </c>
      <c r="E4219" s="1"/>
    </row>
    <row r="4220" spans="1:5" ht="16">
      <c r="A4220" s="1" t="s">
        <v>3828</v>
      </c>
      <c r="B4220" s="1" t="s">
        <v>3973</v>
      </c>
      <c r="C4220" s="1" t="s">
        <v>332</v>
      </c>
      <c r="D4220" s="1" t="s">
        <v>229</v>
      </c>
      <c r="E4220" s="1"/>
    </row>
    <row r="4221" spans="1:5" ht="16">
      <c r="A4221" s="1" t="s">
        <v>3828</v>
      </c>
      <c r="B4221" s="1" t="s">
        <v>3974</v>
      </c>
      <c r="C4221" s="1" t="s">
        <v>332</v>
      </c>
      <c r="D4221" s="1" t="s">
        <v>229</v>
      </c>
      <c r="E4221" s="1"/>
    </row>
    <row r="4222" spans="1:5" ht="16">
      <c r="A4222" s="1" t="s">
        <v>3828</v>
      </c>
      <c r="B4222" s="1" t="s">
        <v>3975</v>
      </c>
      <c r="C4222" s="1" t="s">
        <v>332</v>
      </c>
      <c r="D4222" s="1" t="s">
        <v>229</v>
      </c>
      <c r="E4222" s="1"/>
    </row>
    <row r="4223" spans="1:5" ht="16">
      <c r="A4223" s="1" t="s">
        <v>3828</v>
      </c>
      <c r="B4223" s="1" t="s">
        <v>3976</v>
      </c>
      <c r="C4223" s="1" t="s">
        <v>332</v>
      </c>
      <c r="D4223" s="1" t="s">
        <v>229</v>
      </c>
      <c r="E4223" s="1"/>
    </row>
    <row r="4224" spans="1:5" ht="16">
      <c r="A4224" s="1" t="s">
        <v>3828</v>
      </c>
      <c r="B4224" s="1" t="s">
        <v>3977</v>
      </c>
      <c r="C4224" s="1" t="s">
        <v>332</v>
      </c>
      <c r="D4224" s="1" t="s">
        <v>229</v>
      </c>
      <c r="E4224" s="1"/>
    </row>
    <row r="4225" spans="1:5" ht="16">
      <c r="A4225" s="1" t="s">
        <v>3828</v>
      </c>
      <c r="B4225" s="1" t="s">
        <v>3978</v>
      </c>
      <c r="C4225" s="1" t="s">
        <v>332</v>
      </c>
      <c r="D4225" s="1" t="s">
        <v>229</v>
      </c>
      <c r="E4225" s="1"/>
    </row>
    <row r="4226" spans="1:5" ht="16">
      <c r="A4226" s="1" t="s">
        <v>3828</v>
      </c>
      <c r="B4226" s="1" t="s">
        <v>3979</v>
      </c>
      <c r="C4226" s="1" t="s">
        <v>332</v>
      </c>
      <c r="D4226" s="1" t="s">
        <v>229</v>
      </c>
      <c r="E4226" s="1"/>
    </row>
    <row r="4227" spans="1:5" ht="16">
      <c r="A4227" s="1" t="s">
        <v>3828</v>
      </c>
      <c r="B4227" s="1" t="s">
        <v>3980</v>
      </c>
      <c r="C4227" s="1" t="s">
        <v>332</v>
      </c>
      <c r="D4227" s="1" t="s">
        <v>229</v>
      </c>
      <c r="E4227" s="1"/>
    </row>
    <row r="4228" spans="1:5" ht="16">
      <c r="A4228" s="1" t="s">
        <v>3828</v>
      </c>
      <c r="B4228" s="1" t="s">
        <v>3981</v>
      </c>
      <c r="C4228" s="1" t="s">
        <v>332</v>
      </c>
      <c r="D4228" s="1" t="s">
        <v>229</v>
      </c>
      <c r="E4228" s="1"/>
    </row>
    <row r="4229" spans="1:5" ht="16">
      <c r="A4229" s="1" t="s">
        <v>3828</v>
      </c>
      <c r="B4229" s="1" t="s">
        <v>3982</v>
      </c>
      <c r="C4229" s="1" t="s">
        <v>332</v>
      </c>
      <c r="D4229" s="1" t="s">
        <v>229</v>
      </c>
      <c r="E4229" s="1"/>
    </row>
    <row r="4230" spans="1:5" ht="16">
      <c r="A4230" s="1" t="s">
        <v>3828</v>
      </c>
      <c r="B4230" s="1" t="s">
        <v>3983</v>
      </c>
      <c r="C4230" s="1" t="s">
        <v>332</v>
      </c>
      <c r="D4230" s="1" t="s">
        <v>229</v>
      </c>
      <c r="E4230" s="1"/>
    </row>
    <row r="4231" spans="1:5" ht="16">
      <c r="A4231" s="1" t="s">
        <v>3828</v>
      </c>
      <c r="B4231" s="1" t="s">
        <v>3984</v>
      </c>
      <c r="C4231" s="1" t="s">
        <v>332</v>
      </c>
      <c r="D4231" s="1" t="s">
        <v>229</v>
      </c>
      <c r="E4231" s="1"/>
    </row>
    <row r="4232" spans="1:5" ht="16">
      <c r="A4232" s="1" t="s">
        <v>3828</v>
      </c>
      <c r="B4232" s="1" t="s">
        <v>3985</v>
      </c>
      <c r="C4232" s="1" t="s">
        <v>334</v>
      </c>
      <c r="D4232" s="1" t="s">
        <v>229</v>
      </c>
      <c r="E4232" s="1"/>
    </row>
    <row r="4233" spans="1:5" ht="16">
      <c r="A4233" s="1" t="s">
        <v>3828</v>
      </c>
      <c r="B4233" s="1" t="s">
        <v>3986</v>
      </c>
      <c r="C4233" s="1" t="s">
        <v>334</v>
      </c>
      <c r="D4233" s="1" t="s">
        <v>229</v>
      </c>
      <c r="E4233" s="1"/>
    </row>
    <row r="4234" spans="1:5" ht="16">
      <c r="A4234" s="1" t="s">
        <v>3828</v>
      </c>
      <c r="B4234" s="1" t="s">
        <v>3987</v>
      </c>
      <c r="C4234" s="1" t="s">
        <v>334</v>
      </c>
      <c r="D4234" s="1" t="s">
        <v>229</v>
      </c>
      <c r="E4234" s="1"/>
    </row>
    <row r="4235" spans="1:5" ht="16">
      <c r="A4235" s="1" t="s">
        <v>3828</v>
      </c>
      <c r="B4235" s="1" t="s">
        <v>3988</v>
      </c>
      <c r="C4235" s="1" t="s">
        <v>334</v>
      </c>
      <c r="D4235" s="1" t="s">
        <v>229</v>
      </c>
      <c r="E4235" s="1"/>
    </row>
    <row r="4236" spans="1:5" ht="16">
      <c r="A4236" s="1" t="s">
        <v>3828</v>
      </c>
      <c r="B4236" s="1" t="s">
        <v>3989</v>
      </c>
      <c r="C4236" s="1" t="s">
        <v>307</v>
      </c>
      <c r="D4236" s="1" t="s">
        <v>229</v>
      </c>
      <c r="E4236" s="1"/>
    </row>
    <row r="4237" spans="1:5" ht="16">
      <c r="A4237" s="1" t="s">
        <v>3828</v>
      </c>
      <c r="B4237" s="1" t="s">
        <v>3990</v>
      </c>
      <c r="C4237" s="1" t="s">
        <v>228</v>
      </c>
      <c r="D4237" s="1" t="s">
        <v>229</v>
      </c>
      <c r="E4237" s="1"/>
    </row>
    <row r="4238" spans="1:5" ht="16">
      <c r="A4238" s="1" t="s">
        <v>3828</v>
      </c>
      <c r="B4238" s="1" t="s">
        <v>3991</v>
      </c>
      <c r="C4238" s="1" t="s">
        <v>364</v>
      </c>
      <c r="D4238" s="1" t="s">
        <v>229</v>
      </c>
      <c r="E4238" s="1"/>
    </row>
    <row r="4239" spans="1:5" ht="16">
      <c r="A4239" s="1" t="s">
        <v>3828</v>
      </c>
      <c r="B4239" s="1" t="s">
        <v>3992</v>
      </c>
      <c r="C4239" s="1" t="s">
        <v>364</v>
      </c>
      <c r="D4239" s="1" t="s">
        <v>229</v>
      </c>
      <c r="E4239" s="1"/>
    </row>
    <row r="4240" spans="1:5" ht="16">
      <c r="A4240" s="1" t="s">
        <v>3828</v>
      </c>
      <c r="B4240" s="1" t="s">
        <v>3993</v>
      </c>
      <c r="C4240" s="1" t="s">
        <v>332</v>
      </c>
      <c r="D4240" s="1" t="s">
        <v>229</v>
      </c>
      <c r="E4240" s="1"/>
    </row>
    <row r="4241" spans="1:5" ht="16">
      <c r="A4241" s="1" t="s">
        <v>3828</v>
      </c>
      <c r="B4241" s="1" t="s">
        <v>3994</v>
      </c>
      <c r="C4241" s="1" t="s">
        <v>332</v>
      </c>
      <c r="D4241" s="1" t="s">
        <v>229</v>
      </c>
      <c r="E4241" s="1"/>
    </row>
    <row r="4242" spans="1:5" ht="16">
      <c r="A4242" s="1" t="s">
        <v>3828</v>
      </c>
      <c r="B4242" s="1" t="s">
        <v>3995</v>
      </c>
      <c r="C4242" s="1" t="s">
        <v>332</v>
      </c>
      <c r="D4242" s="1" t="s">
        <v>229</v>
      </c>
      <c r="E4242" s="1"/>
    </row>
    <row r="4243" spans="1:5" ht="16">
      <c r="A4243" s="1" t="s">
        <v>3828</v>
      </c>
      <c r="B4243" s="1" t="s">
        <v>3996</v>
      </c>
      <c r="C4243" s="1" t="s">
        <v>332</v>
      </c>
      <c r="D4243" s="1" t="s">
        <v>229</v>
      </c>
      <c r="E4243" s="1"/>
    </row>
    <row r="4244" spans="1:5" ht="16">
      <c r="A4244" s="1" t="s">
        <v>3828</v>
      </c>
      <c r="B4244" s="1" t="s">
        <v>3997</v>
      </c>
      <c r="C4244" s="1" t="s">
        <v>332</v>
      </c>
      <c r="D4244" s="1" t="s">
        <v>229</v>
      </c>
      <c r="E4244" s="1"/>
    </row>
    <row r="4245" spans="1:5" ht="16">
      <c r="A4245" s="1" t="s">
        <v>3828</v>
      </c>
      <c r="B4245" s="1" t="s">
        <v>3998</v>
      </c>
      <c r="C4245" s="1" t="s">
        <v>332</v>
      </c>
      <c r="D4245" s="1" t="s">
        <v>229</v>
      </c>
      <c r="E4245" s="1"/>
    </row>
    <row r="4246" spans="1:5" ht="16">
      <c r="A4246" s="1" t="s">
        <v>3828</v>
      </c>
      <c r="B4246" s="1" t="s">
        <v>3999</v>
      </c>
      <c r="C4246" s="1" t="s">
        <v>334</v>
      </c>
      <c r="D4246" s="1" t="s">
        <v>229</v>
      </c>
      <c r="E4246" s="1"/>
    </row>
    <row r="4247" spans="1:5" ht="16">
      <c r="A4247" s="1" t="s">
        <v>3828</v>
      </c>
      <c r="B4247" s="1" t="s">
        <v>4000</v>
      </c>
      <c r="C4247" s="1" t="s">
        <v>334</v>
      </c>
      <c r="D4247" s="1" t="s">
        <v>229</v>
      </c>
      <c r="E4247" s="1"/>
    </row>
    <row r="4248" spans="1:5" ht="16">
      <c r="A4248" s="1" t="s">
        <v>3828</v>
      </c>
      <c r="B4248" s="1" t="s">
        <v>4001</v>
      </c>
      <c r="C4248" s="1" t="s">
        <v>334</v>
      </c>
      <c r="D4248" s="1" t="s">
        <v>229</v>
      </c>
      <c r="E4248" s="1"/>
    </row>
    <row r="4249" spans="1:5" ht="16">
      <c r="A4249" s="1" t="s">
        <v>3828</v>
      </c>
      <c r="B4249" s="1" t="s">
        <v>4002</v>
      </c>
      <c r="C4249" s="1" t="s">
        <v>334</v>
      </c>
      <c r="D4249" s="1" t="s">
        <v>229</v>
      </c>
      <c r="E4249" s="1"/>
    </row>
    <row r="4250" spans="1:5" ht="16">
      <c r="A4250" s="1" t="s">
        <v>3828</v>
      </c>
      <c r="B4250" s="1" t="s">
        <v>4003</v>
      </c>
      <c r="C4250" s="1" t="s">
        <v>334</v>
      </c>
      <c r="D4250" s="1" t="s">
        <v>229</v>
      </c>
      <c r="E4250" s="1"/>
    </row>
    <row r="4251" spans="1:5" ht="16">
      <c r="A4251" s="1" t="s">
        <v>3828</v>
      </c>
      <c r="B4251" s="1" t="s">
        <v>4004</v>
      </c>
      <c r="C4251" s="1" t="s">
        <v>334</v>
      </c>
      <c r="D4251" s="1" t="s">
        <v>229</v>
      </c>
      <c r="E4251" s="1"/>
    </row>
    <row r="4252" spans="1:5" ht="16">
      <c r="A4252" s="1" t="s">
        <v>3828</v>
      </c>
      <c r="B4252" s="1" t="s">
        <v>4005</v>
      </c>
      <c r="C4252" s="1" t="s">
        <v>319</v>
      </c>
      <c r="D4252" s="1" t="s">
        <v>229</v>
      </c>
      <c r="E4252" s="1"/>
    </row>
    <row r="4253" spans="1:5" ht="16">
      <c r="A4253" s="1" t="s">
        <v>3828</v>
      </c>
      <c r="B4253" s="1" t="s">
        <v>4005</v>
      </c>
      <c r="C4253" s="1" t="s">
        <v>319</v>
      </c>
      <c r="D4253" s="1" t="s">
        <v>229</v>
      </c>
      <c r="E4253" s="1"/>
    </row>
    <row r="4254" spans="1:5" ht="16">
      <c r="A4254" s="1" t="s">
        <v>3828</v>
      </c>
      <c r="B4254" s="1" t="s">
        <v>4006</v>
      </c>
      <c r="C4254" s="1" t="s">
        <v>265</v>
      </c>
      <c r="D4254" s="1" t="s">
        <v>229</v>
      </c>
      <c r="E4254" s="1"/>
    </row>
    <row r="4255" spans="1:5" ht="16">
      <c r="A4255" s="1" t="s">
        <v>3828</v>
      </c>
      <c r="B4255" s="1" t="s">
        <v>4007</v>
      </c>
      <c r="C4255" s="1" t="s">
        <v>265</v>
      </c>
      <c r="D4255" s="1" t="s">
        <v>229</v>
      </c>
      <c r="E4255" s="1"/>
    </row>
    <row r="4256" spans="1:5" ht="16">
      <c r="A4256" s="1" t="s">
        <v>3828</v>
      </c>
      <c r="B4256" s="1" t="s">
        <v>4008</v>
      </c>
      <c r="C4256" s="1" t="s">
        <v>334</v>
      </c>
      <c r="D4256" s="1" t="s">
        <v>229</v>
      </c>
      <c r="E4256" s="1"/>
    </row>
    <row r="4257" spans="1:5" ht="16">
      <c r="A4257" s="1" t="s">
        <v>3828</v>
      </c>
      <c r="B4257" s="1" t="s">
        <v>4009</v>
      </c>
      <c r="C4257" s="1" t="s">
        <v>364</v>
      </c>
      <c r="D4257" s="1" t="s">
        <v>229</v>
      </c>
      <c r="E4257" s="1"/>
    </row>
    <row r="4258" spans="1:5" ht="16">
      <c r="A4258" s="1" t="s">
        <v>3828</v>
      </c>
      <c r="B4258" s="1" t="s">
        <v>4010</v>
      </c>
      <c r="C4258" s="1" t="s">
        <v>364</v>
      </c>
      <c r="D4258" s="1" t="s">
        <v>229</v>
      </c>
      <c r="E4258" s="1"/>
    </row>
    <row r="4259" spans="1:5" ht="16">
      <c r="A4259" s="1" t="s">
        <v>3828</v>
      </c>
      <c r="B4259" s="1" t="s">
        <v>4011</v>
      </c>
      <c r="C4259" s="1" t="s">
        <v>364</v>
      </c>
      <c r="D4259" s="1" t="s">
        <v>229</v>
      </c>
      <c r="E4259" s="1"/>
    </row>
    <row r="4260" spans="1:5" ht="16">
      <c r="A4260" s="1" t="s">
        <v>3828</v>
      </c>
      <c r="B4260" s="1" t="s">
        <v>4012</v>
      </c>
      <c r="C4260" s="1" t="s">
        <v>364</v>
      </c>
      <c r="D4260" s="1" t="s">
        <v>229</v>
      </c>
      <c r="E4260" s="1"/>
    </row>
    <row r="4261" spans="1:5" ht="16">
      <c r="A4261" s="1" t="s">
        <v>3828</v>
      </c>
      <c r="B4261" s="1" t="s">
        <v>4013</v>
      </c>
      <c r="C4261" s="1" t="s">
        <v>234</v>
      </c>
      <c r="D4261" s="1" t="s">
        <v>229</v>
      </c>
      <c r="E4261" s="1"/>
    </row>
    <row r="4262" spans="1:5" ht="16">
      <c r="A4262" s="1" t="s">
        <v>3828</v>
      </c>
      <c r="B4262" s="1" t="s">
        <v>4014</v>
      </c>
      <c r="C4262" s="1" t="s">
        <v>234</v>
      </c>
      <c r="D4262" s="1" t="s">
        <v>229</v>
      </c>
      <c r="E4262" s="1"/>
    </row>
    <row r="4263" spans="1:5" ht="16">
      <c r="A4263" s="1" t="s">
        <v>3828</v>
      </c>
      <c r="B4263" s="1" t="s">
        <v>4015</v>
      </c>
      <c r="C4263" s="1" t="s">
        <v>265</v>
      </c>
      <c r="D4263" s="1" t="s">
        <v>229</v>
      </c>
      <c r="E4263" s="1"/>
    </row>
    <row r="4264" spans="1:5" ht="16">
      <c r="A4264" s="1" t="s">
        <v>3828</v>
      </c>
      <c r="B4264" s="1" t="s">
        <v>4016</v>
      </c>
      <c r="C4264" s="1" t="s">
        <v>265</v>
      </c>
      <c r="D4264" s="1" t="s">
        <v>229</v>
      </c>
      <c r="E4264" s="1"/>
    </row>
    <row r="4265" spans="1:5" ht="16">
      <c r="A4265" s="1" t="s">
        <v>3828</v>
      </c>
      <c r="B4265" s="1" t="s">
        <v>4017</v>
      </c>
      <c r="C4265" s="1" t="s">
        <v>307</v>
      </c>
      <c r="D4265" s="1" t="s">
        <v>229</v>
      </c>
      <c r="E4265" s="1"/>
    </row>
    <row r="4266" spans="1:5" ht="16">
      <c r="A4266" s="1" t="s">
        <v>3828</v>
      </c>
      <c r="B4266" s="1" t="s">
        <v>4014</v>
      </c>
      <c r="C4266" s="1" t="s">
        <v>234</v>
      </c>
      <c r="D4266" s="1" t="s">
        <v>229</v>
      </c>
      <c r="E4266" s="1"/>
    </row>
    <row r="4267" spans="1:5" ht="16">
      <c r="A4267" s="1" t="s">
        <v>3828</v>
      </c>
      <c r="B4267" s="1" t="s">
        <v>4018</v>
      </c>
      <c r="C4267" s="1" t="s">
        <v>334</v>
      </c>
      <c r="D4267" s="1" t="s">
        <v>229</v>
      </c>
      <c r="E4267" s="1"/>
    </row>
    <row r="4268" spans="1:5" ht="16">
      <c r="A4268" s="1" t="s">
        <v>3828</v>
      </c>
      <c r="B4268" s="1" t="s">
        <v>4019</v>
      </c>
      <c r="C4268" s="1" t="s">
        <v>334</v>
      </c>
      <c r="D4268" s="1" t="s">
        <v>229</v>
      </c>
      <c r="E4268" s="1"/>
    </row>
    <row r="4269" spans="1:5" ht="16">
      <c r="A4269" s="1" t="s">
        <v>3828</v>
      </c>
      <c r="B4269" s="1" t="s">
        <v>4020</v>
      </c>
      <c r="C4269" s="1" t="s">
        <v>334</v>
      </c>
      <c r="D4269" s="1" t="s">
        <v>229</v>
      </c>
      <c r="E4269" s="1"/>
    </row>
    <row r="4270" spans="1:5" ht="16">
      <c r="A4270" s="1" t="s">
        <v>3828</v>
      </c>
      <c r="B4270" s="1" t="s">
        <v>4018</v>
      </c>
      <c r="C4270" s="1" t="s">
        <v>334</v>
      </c>
      <c r="D4270" s="1" t="s">
        <v>229</v>
      </c>
      <c r="E4270" s="1"/>
    </row>
    <row r="4271" spans="1:5" ht="16">
      <c r="A4271" s="1" t="s">
        <v>3828</v>
      </c>
      <c r="B4271" s="1" t="s">
        <v>4021</v>
      </c>
      <c r="C4271" s="1" t="s">
        <v>334</v>
      </c>
      <c r="D4271" s="1" t="s">
        <v>355</v>
      </c>
      <c r="E4271" s="1" t="s">
        <v>500</v>
      </c>
    </row>
    <row r="4272" spans="1:5" ht="16">
      <c r="A4272" s="1" t="s">
        <v>3828</v>
      </c>
      <c r="B4272" s="1" t="s">
        <v>4022</v>
      </c>
      <c r="C4272" s="1" t="s">
        <v>334</v>
      </c>
      <c r="D4272" s="1" t="s">
        <v>355</v>
      </c>
      <c r="E4272" s="1" t="s">
        <v>500</v>
      </c>
    </row>
    <row r="4273" spans="1:5" ht="16">
      <c r="A4273" s="1" t="s">
        <v>3828</v>
      </c>
      <c r="B4273" s="1" t="s">
        <v>4023</v>
      </c>
      <c r="C4273" s="1" t="s">
        <v>334</v>
      </c>
      <c r="D4273" s="1" t="s">
        <v>355</v>
      </c>
      <c r="E4273" s="1" t="s">
        <v>500</v>
      </c>
    </row>
    <row r="4274" spans="1:5" ht="16">
      <c r="A4274" s="1" t="s">
        <v>3828</v>
      </c>
      <c r="B4274" s="1" t="s">
        <v>4024</v>
      </c>
      <c r="C4274" s="1" t="s">
        <v>319</v>
      </c>
      <c r="D4274" s="1" t="s">
        <v>229</v>
      </c>
      <c r="E4274" s="1"/>
    </row>
    <row r="4275" spans="1:5" ht="16">
      <c r="A4275" s="1" t="s">
        <v>3828</v>
      </c>
      <c r="B4275" s="1" t="s">
        <v>4025</v>
      </c>
      <c r="C4275" s="1" t="s">
        <v>319</v>
      </c>
      <c r="D4275" s="1" t="s">
        <v>229</v>
      </c>
      <c r="E4275" s="1"/>
    </row>
    <row r="4276" spans="1:5" ht="16">
      <c r="A4276" s="1" t="s">
        <v>3828</v>
      </c>
      <c r="B4276" s="1" t="s">
        <v>4026</v>
      </c>
      <c r="C4276" s="1" t="s">
        <v>332</v>
      </c>
      <c r="D4276" s="1" t="s">
        <v>229</v>
      </c>
      <c r="E4276" s="1"/>
    </row>
    <row r="4277" spans="1:5" ht="16">
      <c r="A4277" s="1" t="s">
        <v>3828</v>
      </c>
      <c r="B4277" s="1" t="s">
        <v>4027</v>
      </c>
      <c r="C4277" s="1" t="s">
        <v>332</v>
      </c>
      <c r="D4277" s="1" t="s">
        <v>229</v>
      </c>
      <c r="E4277" s="1"/>
    </row>
    <row r="4278" spans="1:5" ht="16">
      <c r="A4278" s="1" t="s">
        <v>3828</v>
      </c>
      <c r="B4278" s="1" t="s">
        <v>4028</v>
      </c>
      <c r="C4278" s="1" t="s">
        <v>334</v>
      </c>
      <c r="D4278" s="1" t="s">
        <v>229</v>
      </c>
      <c r="E4278" s="1"/>
    </row>
    <row r="4279" spans="1:5" ht="16">
      <c r="A4279" s="1" t="s">
        <v>3828</v>
      </c>
      <c r="B4279" s="1" t="s">
        <v>4029</v>
      </c>
      <c r="C4279" s="1" t="s">
        <v>334</v>
      </c>
      <c r="D4279" s="1" t="s">
        <v>229</v>
      </c>
      <c r="E4279" s="1"/>
    </row>
    <row r="4280" spans="1:5" ht="16">
      <c r="A4280" s="1" t="s">
        <v>3828</v>
      </c>
      <c r="B4280" s="1" t="s">
        <v>4030</v>
      </c>
      <c r="C4280" s="1" t="s">
        <v>334</v>
      </c>
      <c r="D4280" s="1" t="s">
        <v>229</v>
      </c>
      <c r="E4280" s="1"/>
    </row>
    <row r="4281" spans="1:5" ht="16">
      <c r="A4281" s="1" t="s">
        <v>3828</v>
      </c>
      <c r="B4281" s="1" t="s">
        <v>4031</v>
      </c>
      <c r="C4281" s="1" t="s">
        <v>334</v>
      </c>
      <c r="D4281" s="1" t="s">
        <v>229</v>
      </c>
      <c r="E4281" s="1"/>
    </row>
    <row r="4282" spans="1:5" ht="16">
      <c r="A4282" s="1" t="s">
        <v>3828</v>
      </c>
      <c r="B4282" s="1" t="s">
        <v>4032</v>
      </c>
      <c r="C4282" s="1" t="s">
        <v>334</v>
      </c>
      <c r="D4282" s="1" t="s">
        <v>229</v>
      </c>
      <c r="E4282" s="1"/>
    </row>
    <row r="4283" spans="1:5" ht="16">
      <c r="A4283" s="1" t="s">
        <v>3828</v>
      </c>
      <c r="B4283" s="1" t="s">
        <v>4033</v>
      </c>
      <c r="C4283" s="1" t="s">
        <v>334</v>
      </c>
      <c r="D4283" s="1" t="s">
        <v>355</v>
      </c>
      <c r="E4283" s="1" t="s">
        <v>500</v>
      </c>
    </row>
    <row r="4284" spans="1:5" ht="16">
      <c r="A4284" s="1" t="s">
        <v>3828</v>
      </c>
      <c r="B4284" s="1" t="s">
        <v>4034</v>
      </c>
      <c r="C4284" s="1" t="s">
        <v>332</v>
      </c>
      <c r="D4284" s="1" t="s">
        <v>229</v>
      </c>
      <c r="E4284" s="1"/>
    </row>
    <row r="4285" spans="1:5" ht="16">
      <c r="A4285" s="1" t="s">
        <v>3828</v>
      </c>
      <c r="B4285" s="1" t="s">
        <v>3607</v>
      </c>
      <c r="C4285" s="1" t="s">
        <v>332</v>
      </c>
      <c r="D4285" s="1" t="s">
        <v>229</v>
      </c>
      <c r="E4285" s="1"/>
    </row>
    <row r="4286" spans="1:5" ht="16">
      <c r="A4286" s="1" t="s">
        <v>3828</v>
      </c>
      <c r="B4286" s="1" t="s">
        <v>4034</v>
      </c>
      <c r="C4286" s="1" t="s">
        <v>332</v>
      </c>
      <c r="D4286" s="1" t="s">
        <v>229</v>
      </c>
      <c r="E4286" s="1"/>
    </row>
    <row r="4287" spans="1:5" ht="16">
      <c r="A4287" s="1" t="s">
        <v>3828</v>
      </c>
      <c r="B4287" s="1" t="s">
        <v>4035</v>
      </c>
      <c r="C4287" s="1" t="s">
        <v>332</v>
      </c>
      <c r="D4287" s="1" t="s">
        <v>229</v>
      </c>
      <c r="E4287" s="1"/>
    </row>
    <row r="4288" spans="1:5" ht="16">
      <c r="A4288" s="1" t="s">
        <v>3828</v>
      </c>
      <c r="B4288" s="1" t="s">
        <v>4036</v>
      </c>
      <c r="C4288" s="1" t="s">
        <v>332</v>
      </c>
      <c r="D4288" s="1" t="s">
        <v>229</v>
      </c>
      <c r="E4288" s="1"/>
    </row>
    <row r="4289" spans="1:5" ht="16">
      <c r="A4289" s="1" t="s">
        <v>3828</v>
      </c>
      <c r="B4289" s="1" t="s">
        <v>4037</v>
      </c>
      <c r="C4289" s="1" t="s">
        <v>332</v>
      </c>
      <c r="D4289" s="1" t="s">
        <v>229</v>
      </c>
      <c r="E4289" s="1"/>
    </row>
    <row r="4290" spans="1:5" ht="16">
      <c r="A4290" s="1" t="s">
        <v>3828</v>
      </c>
      <c r="B4290" s="1" t="s">
        <v>3607</v>
      </c>
      <c r="C4290" s="1" t="s">
        <v>332</v>
      </c>
      <c r="D4290" s="1" t="s">
        <v>229</v>
      </c>
      <c r="E4290" s="1"/>
    </row>
    <row r="4291" spans="1:5" ht="16">
      <c r="A4291" s="1" t="s">
        <v>3828</v>
      </c>
      <c r="B4291" s="1" t="s">
        <v>3608</v>
      </c>
      <c r="C4291" s="1" t="s">
        <v>332</v>
      </c>
      <c r="D4291" s="1" t="s">
        <v>229</v>
      </c>
      <c r="E4291" s="1"/>
    </row>
    <row r="4292" spans="1:5" ht="16">
      <c r="A4292" s="1" t="s">
        <v>3828</v>
      </c>
      <c r="B4292" s="1" t="s">
        <v>3609</v>
      </c>
      <c r="C4292" s="1" t="s">
        <v>332</v>
      </c>
      <c r="D4292" s="1" t="s">
        <v>229</v>
      </c>
      <c r="E4292" s="1"/>
    </row>
    <row r="4293" spans="1:5" ht="16">
      <c r="A4293" s="1" t="s">
        <v>3828</v>
      </c>
      <c r="B4293" s="1" t="s">
        <v>3610</v>
      </c>
      <c r="C4293" s="1" t="s">
        <v>332</v>
      </c>
      <c r="D4293" s="1" t="s">
        <v>229</v>
      </c>
      <c r="E4293" s="1"/>
    </row>
    <row r="4294" spans="1:5" ht="16">
      <c r="A4294" s="1" t="s">
        <v>3828</v>
      </c>
      <c r="B4294" s="1" t="s">
        <v>3611</v>
      </c>
      <c r="C4294" s="1" t="s">
        <v>332</v>
      </c>
      <c r="D4294" s="1" t="s">
        <v>229</v>
      </c>
      <c r="E4294" s="1"/>
    </row>
    <row r="4295" spans="1:5" ht="16">
      <c r="A4295" s="1" t="s">
        <v>3828</v>
      </c>
      <c r="B4295" s="1" t="s">
        <v>3613</v>
      </c>
      <c r="C4295" s="1" t="s">
        <v>332</v>
      </c>
      <c r="D4295" s="1" t="s">
        <v>229</v>
      </c>
      <c r="E4295" s="1"/>
    </row>
    <row r="4296" spans="1:5" ht="16">
      <c r="A4296" s="1" t="s">
        <v>3828</v>
      </c>
      <c r="B4296" s="1" t="s">
        <v>3614</v>
      </c>
      <c r="C4296" s="1" t="s">
        <v>332</v>
      </c>
      <c r="D4296" s="1" t="s">
        <v>229</v>
      </c>
      <c r="E4296" s="1"/>
    </row>
    <row r="4297" spans="1:5" ht="16">
      <c r="A4297" s="1" t="s">
        <v>3828</v>
      </c>
      <c r="B4297" s="1" t="s">
        <v>3615</v>
      </c>
      <c r="C4297" s="1" t="s">
        <v>332</v>
      </c>
      <c r="D4297" s="1" t="s">
        <v>229</v>
      </c>
      <c r="E4297" s="1"/>
    </row>
    <row r="4298" spans="1:5" ht="16">
      <c r="A4298" s="1" t="s">
        <v>3828</v>
      </c>
      <c r="B4298" s="1" t="s">
        <v>4038</v>
      </c>
      <c r="C4298" s="1" t="s">
        <v>334</v>
      </c>
      <c r="D4298" s="1" t="s">
        <v>229</v>
      </c>
      <c r="E4298" s="1"/>
    </row>
    <row r="4299" spans="1:5" ht="16">
      <c r="A4299" s="1" t="s">
        <v>3828</v>
      </c>
      <c r="B4299" s="1" t="s">
        <v>4039</v>
      </c>
      <c r="C4299" s="1" t="s">
        <v>332</v>
      </c>
      <c r="D4299" s="1" t="s">
        <v>229</v>
      </c>
      <c r="E4299" s="1"/>
    </row>
    <row r="4300" spans="1:5" ht="16">
      <c r="A4300" s="1" t="s">
        <v>3828</v>
      </c>
      <c r="B4300" s="1" t="s">
        <v>4040</v>
      </c>
      <c r="C4300" s="1" t="s">
        <v>332</v>
      </c>
      <c r="D4300" s="1" t="s">
        <v>229</v>
      </c>
      <c r="E4300" s="1"/>
    </row>
    <row r="4301" spans="1:5" ht="16">
      <c r="A4301" s="1" t="s">
        <v>3828</v>
      </c>
      <c r="B4301" s="1" t="s">
        <v>4041</v>
      </c>
      <c r="C4301" s="1" t="s">
        <v>332</v>
      </c>
      <c r="D4301" s="1" t="s">
        <v>229</v>
      </c>
      <c r="E4301" s="1"/>
    </row>
    <row r="4302" spans="1:5" ht="16">
      <c r="A4302" s="1" t="s">
        <v>3828</v>
      </c>
      <c r="B4302" s="1" t="s">
        <v>4042</v>
      </c>
      <c r="C4302" s="1" t="s">
        <v>332</v>
      </c>
      <c r="D4302" s="1" t="s">
        <v>229</v>
      </c>
      <c r="E4302" s="1"/>
    </row>
    <row r="4303" spans="1:5" ht="16">
      <c r="A4303" s="1" t="s">
        <v>3828</v>
      </c>
      <c r="B4303" s="1" t="s">
        <v>4043</v>
      </c>
      <c r="C4303" s="1" t="s">
        <v>332</v>
      </c>
      <c r="D4303" s="1" t="s">
        <v>229</v>
      </c>
      <c r="E4303" s="1"/>
    </row>
    <row r="4304" spans="1:5" ht="16">
      <c r="A4304" s="1" t="s">
        <v>3828</v>
      </c>
      <c r="B4304" s="1" t="s">
        <v>4044</v>
      </c>
      <c r="C4304" s="1" t="s">
        <v>332</v>
      </c>
      <c r="D4304" s="1" t="s">
        <v>229</v>
      </c>
      <c r="E4304" s="1"/>
    </row>
    <row r="4305" spans="1:5" ht="16">
      <c r="A4305" s="1" t="s">
        <v>3828</v>
      </c>
      <c r="B4305" s="1" t="s">
        <v>4045</v>
      </c>
      <c r="C4305" s="1" t="s">
        <v>332</v>
      </c>
      <c r="D4305" s="1" t="s">
        <v>229</v>
      </c>
      <c r="E4305" s="1"/>
    </row>
    <row r="4306" spans="1:5" ht="16">
      <c r="A4306" s="1" t="s">
        <v>3828</v>
      </c>
      <c r="B4306" s="1" t="s">
        <v>4046</v>
      </c>
      <c r="C4306" s="1" t="s">
        <v>332</v>
      </c>
      <c r="D4306" s="1" t="s">
        <v>229</v>
      </c>
      <c r="E4306" s="1"/>
    </row>
    <row r="4307" spans="1:5" ht="16">
      <c r="A4307" s="1" t="s">
        <v>3828</v>
      </c>
      <c r="B4307" s="1" t="s">
        <v>4047</v>
      </c>
      <c r="C4307" s="1" t="s">
        <v>332</v>
      </c>
      <c r="D4307" s="1" t="s">
        <v>229</v>
      </c>
      <c r="E4307" s="1"/>
    </row>
    <row r="4308" spans="1:5" ht="16">
      <c r="A4308" s="1" t="s">
        <v>3828</v>
      </c>
      <c r="B4308" s="1" t="s">
        <v>3639</v>
      </c>
      <c r="C4308" s="1" t="s">
        <v>332</v>
      </c>
      <c r="D4308" s="1" t="s">
        <v>229</v>
      </c>
      <c r="E4308" s="1"/>
    </row>
    <row r="4309" spans="1:5" ht="16">
      <c r="A4309" s="1" t="s">
        <v>3828</v>
      </c>
      <c r="B4309" s="1" t="s">
        <v>4048</v>
      </c>
      <c r="C4309" s="1" t="s">
        <v>332</v>
      </c>
      <c r="D4309" s="1" t="s">
        <v>229</v>
      </c>
      <c r="E4309" s="1"/>
    </row>
    <row r="4310" spans="1:5" ht="16">
      <c r="A4310" s="1" t="s">
        <v>3828</v>
      </c>
      <c r="B4310" s="1" t="s">
        <v>4049</v>
      </c>
      <c r="C4310" s="1" t="s">
        <v>332</v>
      </c>
      <c r="D4310" s="1" t="s">
        <v>229</v>
      </c>
      <c r="E4310" s="1"/>
    </row>
    <row r="4311" spans="1:5" ht="16">
      <c r="A4311" s="1" t="s">
        <v>3828</v>
      </c>
      <c r="B4311" s="1" t="s">
        <v>4050</v>
      </c>
      <c r="C4311" s="1" t="s">
        <v>332</v>
      </c>
      <c r="D4311" s="1" t="s">
        <v>229</v>
      </c>
      <c r="E4311" s="1"/>
    </row>
    <row r="4312" spans="1:5" ht="16">
      <c r="A4312" s="1" t="s">
        <v>3828</v>
      </c>
      <c r="B4312" s="1" t="s">
        <v>4051</v>
      </c>
      <c r="C4312" s="1" t="s">
        <v>332</v>
      </c>
      <c r="D4312" s="1" t="s">
        <v>229</v>
      </c>
      <c r="E4312" s="1"/>
    </row>
    <row r="4313" spans="1:5" ht="16">
      <c r="A4313" s="1" t="s">
        <v>3828</v>
      </c>
      <c r="B4313" s="1" t="s">
        <v>4052</v>
      </c>
      <c r="C4313" s="1" t="s">
        <v>332</v>
      </c>
      <c r="D4313" s="1" t="s">
        <v>229</v>
      </c>
      <c r="E4313" s="1"/>
    </row>
    <row r="4314" spans="1:5" ht="16">
      <c r="A4314" s="1" t="s">
        <v>3828</v>
      </c>
      <c r="B4314" s="1" t="s">
        <v>4053</v>
      </c>
      <c r="C4314" s="1" t="s">
        <v>332</v>
      </c>
      <c r="D4314" s="1" t="s">
        <v>229</v>
      </c>
      <c r="E4314" s="1"/>
    </row>
    <row r="4315" spans="1:5" ht="16">
      <c r="A4315" s="1" t="s">
        <v>3828</v>
      </c>
      <c r="B4315" s="1" t="s">
        <v>4054</v>
      </c>
      <c r="C4315" s="1" t="s">
        <v>332</v>
      </c>
      <c r="D4315" s="1" t="s">
        <v>229</v>
      </c>
      <c r="E4315" s="1"/>
    </row>
    <row r="4316" spans="1:5" ht="16">
      <c r="A4316" s="1" t="s">
        <v>3828</v>
      </c>
      <c r="B4316" s="1" t="s">
        <v>4055</v>
      </c>
      <c r="C4316" s="1" t="s">
        <v>334</v>
      </c>
      <c r="D4316" s="1" t="s">
        <v>229</v>
      </c>
      <c r="E4316" s="1"/>
    </row>
    <row r="4317" spans="1:5" ht="16">
      <c r="A4317" s="1" t="s">
        <v>3828</v>
      </c>
      <c r="B4317" s="1" t="s">
        <v>4056</v>
      </c>
      <c r="C4317" s="1" t="s">
        <v>364</v>
      </c>
      <c r="D4317" s="1" t="s">
        <v>229</v>
      </c>
      <c r="E4317" s="1"/>
    </row>
    <row r="4318" spans="1:5" ht="16">
      <c r="A4318" s="1" t="s">
        <v>3828</v>
      </c>
      <c r="B4318" s="1" t="s">
        <v>4057</v>
      </c>
      <c r="C4318" s="1" t="s">
        <v>364</v>
      </c>
      <c r="D4318" s="1" t="s">
        <v>229</v>
      </c>
      <c r="E4318" s="1"/>
    </row>
    <row r="4319" spans="1:5" ht="16">
      <c r="A4319" s="1" t="s">
        <v>3828</v>
      </c>
      <c r="B4319" s="1" t="s">
        <v>4058</v>
      </c>
      <c r="C4319" s="1" t="s">
        <v>332</v>
      </c>
      <c r="D4319" s="1" t="s">
        <v>229</v>
      </c>
      <c r="E4319" s="1"/>
    </row>
    <row r="4320" spans="1:5" ht="16">
      <c r="A4320" s="1" t="s">
        <v>3828</v>
      </c>
      <c r="B4320" s="1" t="s">
        <v>4059</v>
      </c>
      <c r="C4320" s="1" t="s">
        <v>332</v>
      </c>
      <c r="D4320" s="1" t="s">
        <v>229</v>
      </c>
      <c r="E4320" s="1"/>
    </row>
    <row r="4321" spans="1:5" ht="16">
      <c r="A4321" s="1" t="s">
        <v>3828</v>
      </c>
      <c r="B4321" s="1" t="s">
        <v>4060</v>
      </c>
      <c r="C4321" s="1" t="s">
        <v>332</v>
      </c>
      <c r="D4321" s="1" t="s">
        <v>229</v>
      </c>
      <c r="E4321" s="1"/>
    </row>
    <row r="4322" spans="1:5" ht="16">
      <c r="A4322" s="1" t="s">
        <v>3828</v>
      </c>
      <c r="B4322" s="1" t="s">
        <v>4061</v>
      </c>
      <c r="C4322" s="1" t="s">
        <v>332</v>
      </c>
      <c r="D4322" s="1" t="s">
        <v>229</v>
      </c>
      <c r="E4322" s="1"/>
    </row>
    <row r="4323" spans="1:5" ht="16">
      <c r="A4323" s="1" t="s">
        <v>3828</v>
      </c>
      <c r="B4323" s="1" t="s">
        <v>4062</v>
      </c>
      <c r="C4323" s="1" t="s">
        <v>332</v>
      </c>
      <c r="D4323" s="1" t="s">
        <v>229</v>
      </c>
      <c r="E4323" s="1"/>
    </row>
    <row r="4324" spans="1:5" ht="16">
      <c r="A4324" s="1" t="s">
        <v>3828</v>
      </c>
      <c r="B4324" s="1" t="s">
        <v>4063</v>
      </c>
      <c r="C4324" s="1" t="s">
        <v>332</v>
      </c>
      <c r="D4324" s="1" t="s">
        <v>229</v>
      </c>
      <c r="E4324" s="1"/>
    </row>
    <row r="4325" spans="1:5" ht="16">
      <c r="A4325" s="1" t="s">
        <v>3828</v>
      </c>
      <c r="B4325" s="1" t="s">
        <v>4064</v>
      </c>
      <c r="C4325" s="1" t="s">
        <v>332</v>
      </c>
      <c r="D4325" s="1" t="s">
        <v>229</v>
      </c>
      <c r="E4325" s="1"/>
    </row>
    <row r="4326" spans="1:5" ht="16">
      <c r="A4326" s="1" t="s">
        <v>3828</v>
      </c>
      <c r="B4326" s="1" t="s">
        <v>4065</v>
      </c>
      <c r="C4326" s="1" t="s">
        <v>332</v>
      </c>
      <c r="D4326" s="1" t="s">
        <v>229</v>
      </c>
      <c r="E4326" s="1"/>
    </row>
    <row r="4327" spans="1:5" ht="16">
      <c r="A4327" s="1" t="s">
        <v>3828</v>
      </c>
      <c r="B4327" s="1" t="s">
        <v>4066</v>
      </c>
      <c r="C4327" s="1" t="s">
        <v>332</v>
      </c>
      <c r="D4327" s="1" t="s">
        <v>229</v>
      </c>
      <c r="E4327" s="1"/>
    </row>
    <row r="4328" spans="1:5" ht="16">
      <c r="A4328" s="1" t="s">
        <v>3828</v>
      </c>
      <c r="B4328" s="1" t="s">
        <v>4067</v>
      </c>
      <c r="C4328" s="1" t="s">
        <v>332</v>
      </c>
      <c r="D4328" s="1" t="s">
        <v>229</v>
      </c>
      <c r="E4328" s="1"/>
    </row>
    <row r="4329" spans="1:5" ht="16">
      <c r="A4329" s="1" t="s">
        <v>3828</v>
      </c>
      <c r="B4329" s="1" t="s">
        <v>4068</v>
      </c>
      <c r="C4329" s="1" t="s">
        <v>332</v>
      </c>
      <c r="D4329" s="1" t="s">
        <v>229</v>
      </c>
      <c r="E4329" s="1"/>
    </row>
    <row r="4330" spans="1:5" ht="16">
      <c r="A4330" s="1" t="s">
        <v>3828</v>
      </c>
      <c r="B4330" s="1" t="s">
        <v>4069</v>
      </c>
      <c r="C4330" s="1" t="s">
        <v>332</v>
      </c>
      <c r="D4330" s="1" t="s">
        <v>229</v>
      </c>
      <c r="E4330" s="1"/>
    </row>
    <row r="4331" spans="1:5" ht="16">
      <c r="A4331" s="1" t="s">
        <v>3828</v>
      </c>
      <c r="B4331" s="1" t="s">
        <v>4070</v>
      </c>
      <c r="C4331" s="1" t="s">
        <v>332</v>
      </c>
      <c r="D4331" s="1" t="s">
        <v>229</v>
      </c>
      <c r="E4331" s="1"/>
    </row>
    <row r="4332" spans="1:5" ht="16">
      <c r="A4332" s="1" t="s">
        <v>3828</v>
      </c>
      <c r="B4332" s="1" t="s">
        <v>4071</v>
      </c>
      <c r="C4332" s="1" t="s">
        <v>234</v>
      </c>
      <c r="D4332" s="1" t="s">
        <v>229</v>
      </c>
      <c r="E4332" s="1"/>
    </row>
    <row r="4333" spans="1:5" ht="16">
      <c r="A4333" s="1" t="s">
        <v>3828</v>
      </c>
      <c r="B4333" s="1" t="s">
        <v>4072</v>
      </c>
      <c r="C4333" s="1" t="s">
        <v>307</v>
      </c>
      <c r="D4333" s="1" t="s">
        <v>229</v>
      </c>
      <c r="E4333" s="1"/>
    </row>
    <row r="4334" spans="1:5" ht="16">
      <c r="A4334" s="1" t="s">
        <v>3828</v>
      </c>
      <c r="B4334" s="1" t="s">
        <v>4073</v>
      </c>
      <c r="C4334" s="1" t="s">
        <v>307</v>
      </c>
      <c r="D4334" s="1" t="s">
        <v>229</v>
      </c>
      <c r="E4334" s="1"/>
    </row>
    <row r="4335" spans="1:5" ht="16">
      <c r="A4335" s="1" t="s">
        <v>3828</v>
      </c>
      <c r="B4335" s="1" t="s">
        <v>4074</v>
      </c>
      <c r="C4335" s="1" t="s">
        <v>307</v>
      </c>
      <c r="D4335" s="1" t="s">
        <v>229</v>
      </c>
      <c r="E4335" s="1"/>
    </row>
    <row r="4336" spans="1:5" ht="16">
      <c r="A4336" s="1" t="s">
        <v>3828</v>
      </c>
      <c r="B4336" s="1" t="s">
        <v>4075</v>
      </c>
      <c r="C4336" s="1" t="s">
        <v>234</v>
      </c>
      <c r="D4336" s="1" t="s">
        <v>229</v>
      </c>
      <c r="E4336" s="1"/>
    </row>
    <row r="4337" spans="1:5" ht="16">
      <c r="A4337" s="1" t="s">
        <v>3828</v>
      </c>
      <c r="B4337" s="1" t="s">
        <v>4076</v>
      </c>
      <c r="C4337" s="1" t="s">
        <v>334</v>
      </c>
      <c r="D4337" s="1" t="s">
        <v>229</v>
      </c>
      <c r="E4337" s="1"/>
    </row>
    <row r="4338" spans="1:5" ht="16">
      <c r="A4338" s="1" t="s">
        <v>3828</v>
      </c>
      <c r="B4338" s="1" t="s">
        <v>4077</v>
      </c>
      <c r="C4338" s="1" t="s">
        <v>364</v>
      </c>
      <c r="D4338" s="1" t="s">
        <v>229</v>
      </c>
      <c r="E4338" s="1"/>
    </row>
    <row r="4339" spans="1:5" ht="16">
      <c r="A4339" s="1" t="s">
        <v>3828</v>
      </c>
      <c r="B4339" s="1" t="s">
        <v>4078</v>
      </c>
      <c r="C4339" s="1" t="s">
        <v>332</v>
      </c>
      <c r="D4339" s="1" t="s">
        <v>229</v>
      </c>
      <c r="E4339" s="1" t="s">
        <v>500</v>
      </c>
    </row>
    <row r="4340" spans="1:5" ht="16">
      <c r="A4340" s="1" t="s">
        <v>3828</v>
      </c>
      <c r="B4340" s="1" t="s">
        <v>4079</v>
      </c>
      <c r="C4340" s="1" t="s">
        <v>332</v>
      </c>
      <c r="D4340" s="1" t="s">
        <v>229</v>
      </c>
      <c r="E4340" s="1" t="s">
        <v>500</v>
      </c>
    </row>
    <row r="4341" spans="1:5" ht="16">
      <c r="A4341" s="1" t="s">
        <v>3828</v>
      </c>
      <c r="B4341" s="1" t="s">
        <v>4080</v>
      </c>
      <c r="C4341" s="1" t="s">
        <v>332</v>
      </c>
      <c r="D4341" s="1" t="s">
        <v>229</v>
      </c>
      <c r="E4341" s="1" t="s">
        <v>500</v>
      </c>
    </row>
    <row r="4342" spans="1:5" ht="16">
      <c r="A4342" s="1" t="s">
        <v>3828</v>
      </c>
      <c r="B4342" s="1" t="s">
        <v>4081</v>
      </c>
      <c r="C4342" s="1" t="s">
        <v>332</v>
      </c>
      <c r="D4342" s="1" t="s">
        <v>229</v>
      </c>
      <c r="E4342" s="1" t="s">
        <v>500</v>
      </c>
    </row>
    <row r="4343" spans="1:5" ht="16">
      <c r="A4343" s="1" t="s">
        <v>3828</v>
      </c>
      <c r="B4343" s="1" t="s">
        <v>4082</v>
      </c>
      <c r="C4343" s="1" t="s">
        <v>332</v>
      </c>
      <c r="D4343" s="1" t="s">
        <v>229</v>
      </c>
      <c r="E4343" s="1" t="s">
        <v>500</v>
      </c>
    </row>
    <row r="4344" spans="1:5" ht="16">
      <c r="A4344" s="1" t="s">
        <v>3828</v>
      </c>
      <c r="B4344" s="1" t="s">
        <v>4083</v>
      </c>
      <c r="C4344" s="1" t="s">
        <v>332</v>
      </c>
      <c r="D4344" s="1" t="s">
        <v>229</v>
      </c>
      <c r="E4344" s="1" t="s">
        <v>500</v>
      </c>
    </row>
    <row r="4345" spans="1:5" ht="16">
      <c r="A4345" s="1" t="s">
        <v>3828</v>
      </c>
      <c r="B4345" s="1" t="s">
        <v>4084</v>
      </c>
      <c r="C4345" s="1" t="s">
        <v>334</v>
      </c>
      <c r="D4345" s="1" t="s">
        <v>229</v>
      </c>
      <c r="E4345" s="1"/>
    </row>
    <row r="4346" spans="1:5" ht="16">
      <c r="A4346" s="1" t="s">
        <v>3828</v>
      </c>
      <c r="B4346" s="1" t="s">
        <v>4085</v>
      </c>
      <c r="C4346" s="1" t="s">
        <v>334</v>
      </c>
      <c r="D4346" s="1" t="s">
        <v>229</v>
      </c>
      <c r="E4346" s="1"/>
    </row>
    <row r="4347" spans="1:5" ht="16">
      <c r="A4347" s="1" t="s">
        <v>3828</v>
      </c>
      <c r="B4347" s="1" t="s">
        <v>4086</v>
      </c>
      <c r="C4347" s="1" t="s">
        <v>334</v>
      </c>
      <c r="D4347" s="1" t="s">
        <v>229</v>
      </c>
      <c r="E4347" s="1"/>
    </row>
    <row r="4348" spans="1:5" ht="16">
      <c r="A4348" s="1" t="s">
        <v>3828</v>
      </c>
      <c r="B4348" s="1" t="s">
        <v>4087</v>
      </c>
      <c r="C4348" s="1" t="s">
        <v>334</v>
      </c>
      <c r="D4348" s="1" t="s">
        <v>229</v>
      </c>
      <c r="E4348" s="1"/>
    </row>
    <row r="4349" spans="1:5" ht="16">
      <c r="A4349" s="1" t="s">
        <v>3828</v>
      </c>
      <c r="B4349" s="1" t="s">
        <v>4088</v>
      </c>
      <c r="C4349" s="1" t="s">
        <v>334</v>
      </c>
      <c r="D4349" s="1" t="s">
        <v>229</v>
      </c>
      <c r="E4349" s="1"/>
    </row>
    <row r="4350" spans="1:5" ht="16">
      <c r="A4350" s="1" t="s">
        <v>3828</v>
      </c>
      <c r="B4350" s="1" t="s">
        <v>4089</v>
      </c>
      <c r="C4350" s="1" t="s">
        <v>332</v>
      </c>
      <c r="D4350" s="1" t="s">
        <v>229</v>
      </c>
      <c r="E4350" s="1" t="s">
        <v>500</v>
      </c>
    </row>
    <row r="4351" spans="1:5" ht="16">
      <c r="A4351" s="1" t="s">
        <v>3828</v>
      </c>
      <c r="B4351" s="1" t="s">
        <v>4090</v>
      </c>
      <c r="C4351" s="1" t="s">
        <v>332</v>
      </c>
      <c r="D4351" s="1" t="s">
        <v>229</v>
      </c>
      <c r="E4351" s="1" t="s">
        <v>500</v>
      </c>
    </row>
    <row r="4352" spans="1:5" ht="16">
      <c r="A4352" s="1" t="s">
        <v>3828</v>
      </c>
      <c r="B4352" s="1" t="s">
        <v>4091</v>
      </c>
      <c r="C4352" s="1" t="s">
        <v>332</v>
      </c>
      <c r="D4352" s="1" t="s">
        <v>229</v>
      </c>
      <c r="E4352" s="1" t="s">
        <v>500</v>
      </c>
    </row>
    <row r="4353" spans="1:5" ht="16">
      <c r="A4353" s="1" t="s">
        <v>3828</v>
      </c>
      <c r="B4353" s="1" t="s">
        <v>4092</v>
      </c>
      <c r="C4353" s="1" t="s">
        <v>332</v>
      </c>
      <c r="D4353" s="1" t="s">
        <v>229</v>
      </c>
      <c r="E4353" s="1" t="s">
        <v>500</v>
      </c>
    </row>
    <row r="4354" spans="1:5" ht="16">
      <c r="A4354" s="1" t="s">
        <v>3828</v>
      </c>
      <c r="B4354" s="1" t="s">
        <v>4093</v>
      </c>
      <c r="C4354" s="1" t="s">
        <v>334</v>
      </c>
      <c r="D4354" s="1" t="s">
        <v>229</v>
      </c>
      <c r="E4354" s="1"/>
    </row>
    <row r="4355" spans="1:5" ht="16">
      <c r="A4355" s="1" t="s">
        <v>3828</v>
      </c>
      <c r="B4355" s="1" t="s">
        <v>4094</v>
      </c>
      <c r="C4355" s="1" t="s">
        <v>234</v>
      </c>
      <c r="D4355" s="1" t="s">
        <v>229</v>
      </c>
      <c r="E4355" s="1"/>
    </row>
    <row r="4356" spans="1:5" ht="16">
      <c r="A4356" s="1" t="s">
        <v>3828</v>
      </c>
      <c r="B4356" s="1" t="s">
        <v>4095</v>
      </c>
      <c r="C4356" s="1" t="s">
        <v>234</v>
      </c>
      <c r="D4356" s="1" t="s">
        <v>229</v>
      </c>
      <c r="E4356" s="1"/>
    </row>
    <row r="4357" spans="1:5" ht="16">
      <c r="A4357" s="1" t="s">
        <v>3828</v>
      </c>
      <c r="B4357" s="1" t="s">
        <v>4096</v>
      </c>
      <c r="C4357" s="1" t="s">
        <v>334</v>
      </c>
      <c r="D4357" s="1" t="s">
        <v>229</v>
      </c>
      <c r="E4357" s="1"/>
    </row>
    <row r="4358" spans="1:5" ht="16">
      <c r="A4358" s="1" t="s">
        <v>3828</v>
      </c>
      <c r="B4358" s="1" t="s">
        <v>4097</v>
      </c>
      <c r="C4358" s="1" t="s">
        <v>334</v>
      </c>
      <c r="D4358" s="1" t="s">
        <v>229</v>
      </c>
      <c r="E4358" s="1"/>
    </row>
    <row r="4359" spans="1:5" ht="16">
      <c r="A4359" s="1" t="s">
        <v>3828</v>
      </c>
      <c r="B4359" s="1" t="s">
        <v>4098</v>
      </c>
      <c r="C4359" s="1" t="s">
        <v>334</v>
      </c>
      <c r="D4359" s="1" t="s">
        <v>229</v>
      </c>
      <c r="E4359" s="1"/>
    </row>
    <row r="4360" spans="1:5" ht="16">
      <c r="A4360" s="1" t="s">
        <v>3828</v>
      </c>
      <c r="B4360" s="1" t="s">
        <v>4099</v>
      </c>
      <c r="C4360" s="1" t="s">
        <v>265</v>
      </c>
      <c r="D4360" s="1" t="s">
        <v>229</v>
      </c>
      <c r="E4360" s="1"/>
    </row>
    <row r="4361" spans="1:5" ht="16">
      <c r="A4361" s="1" t="s">
        <v>3828</v>
      </c>
      <c r="B4361" s="1" t="s">
        <v>4100</v>
      </c>
      <c r="C4361" s="1" t="s">
        <v>265</v>
      </c>
      <c r="D4361" s="1" t="s">
        <v>229</v>
      </c>
      <c r="E4361" s="1"/>
    </row>
    <row r="4362" spans="1:5" ht="16">
      <c r="A4362" s="1" t="s">
        <v>3828</v>
      </c>
      <c r="B4362" s="1" t="s">
        <v>4101</v>
      </c>
      <c r="C4362" s="1" t="s">
        <v>265</v>
      </c>
      <c r="D4362" s="1" t="s">
        <v>229</v>
      </c>
      <c r="E4362" s="1"/>
    </row>
    <row r="4363" spans="1:5" ht="16">
      <c r="A4363" s="1" t="s">
        <v>3828</v>
      </c>
      <c r="B4363" s="1" t="s">
        <v>4102</v>
      </c>
      <c r="C4363" s="1" t="s">
        <v>334</v>
      </c>
      <c r="D4363" s="1" t="s">
        <v>229</v>
      </c>
      <c r="E4363" s="1"/>
    </row>
    <row r="4364" spans="1:5" ht="16">
      <c r="A4364" s="1" t="s">
        <v>3828</v>
      </c>
      <c r="B4364" s="1" t="s">
        <v>4103</v>
      </c>
      <c r="C4364" s="1" t="s">
        <v>334</v>
      </c>
      <c r="D4364" s="1" t="s">
        <v>229</v>
      </c>
      <c r="E4364" s="1"/>
    </row>
    <row r="4365" spans="1:5" ht="16">
      <c r="A4365" s="1" t="s">
        <v>3828</v>
      </c>
      <c r="B4365" s="1" t="s">
        <v>4104</v>
      </c>
      <c r="C4365" s="1" t="s">
        <v>307</v>
      </c>
      <c r="D4365" s="1" t="s">
        <v>229</v>
      </c>
      <c r="E4365" s="1"/>
    </row>
    <row r="4366" spans="1:5" ht="16">
      <c r="A4366" s="1" t="s">
        <v>3828</v>
      </c>
      <c r="B4366" s="1" t="s">
        <v>4105</v>
      </c>
      <c r="C4366" s="1" t="s">
        <v>307</v>
      </c>
      <c r="D4366" s="1" t="s">
        <v>229</v>
      </c>
      <c r="E4366" s="1"/>
    </row>
    <row r="4367" spans="1:5" ht="16">
      <c r="A4367" s="1" t="s">
        <v>3828</v>
      </c>
      <c r="B4367" s="1" t="s">
        <v>4106</v>
      </c>
      <c r="C4367" s="1" t="s">
        <v>265</v>
      </c>
      <c r="D4367" s="1" t="s">
        <v>229</v>
      </c>
      <c r="E4367" s="1"/>
    </row>
    <row r="4368" spans="1:5" ht="16">
      <c r="A4368" s="1" t="s">
        <v>3828</v>
      </c>
      <c r="B4368" s="1" t="s">
        <v>4107</v>
      </c>
      <c r="C4368" s="1" t="s">
        <v>334</v>
      </c>
      <c r="D4368" s="1" t="s">
        <v>229</v>
      </c>
      <c r="E4368" s="1"/>
    </row>
    <row r="4369" spans="1:5" ht="16">
      <c r="A4369" s="1" t="s">
        <v>3828</v>
      </c>
      <c r="B4369" s="1" t="s">
        <v>4108</v>
      </c>
      <c r="C4369" s="1" t="s">
        <v>334</v>
      </c>
      <c r="D4369" s="1" t="s">
        <v>229</v>
      </c>
      <c r="E4369" s="1"/>
    </row>
    <row r="4370" spans="1:5" ht="16">
      <c r="A4370" s="1" t="s">
        <v>3828</v>
      </c>
      <c r="B4370" s="1" t="s">
        <v>4109</v>
      </c>
      <c r="C4370" s="1" t="s">
        <v>334</v>
      </c>
      <c r="D4370" s="1" t="s">
        <v>229</v>
      </c>
      <c r="E4370" s="1"/>
    </row>
    <row r="4371" spans="1:5" ht="16">
      <c r="A4371" s="1" t="s">
        <v>3828</v>
      </c>
      <c r="B4371" s="1" t="s">
        <v>4110</v>
      </c>
      <c r="C4371" s="1" t="s">
        <v>334</v>
      </c>
      <c r="D4371" s="1" t="s">
        <v>229</v>
      </c>
      <c r="E4371" s="1"/>
    </row>
    <row r="4372" spans="1:5" ht="16">
      <c r="A4372" s="1" t="s">
        <v>3828</v>
      </c>
      <c r="B4372" s="1" t="s">
        <v>4111</v>
      </c>
      <c r="C4372" s="1" t="s">
        <v>307</v>
      </c>
      <c r="D4372" s="1" t="s">
        <v>229</v>
      </c>
      <c r="E4372" s="1"/>
    </row>
    <row r="4373" spans="1:5" ht="16">
      <c r="A4373" s="1" t="s">
        <v>3828</v>
      </c>
      <c r="B4373" s="1" t="s">
        <v>4112</v>
      </c>
      <c r="C4373" s="1" t="s">
        <v>334</v>
      </c>
      <c r="D4373" s="1" t="s">
        <v>229</v>
      </c>
      <c r="E4373" s="1"/>
    </row>
    <row r="4374" spans="1:5" ht="16">
      <c r="A4374" s="1" t="s">
        <v>3828</v>
      </c>
      <c r="B4374" s="1" t="s">
        <v>4113</v>
      </c>
      <c r="C4374" s="1" t="s">
        <v>334</v>
      </c>
      <c r="D4374" s="1" t="s">
        <v>229</v>
      </c>
      <c r="E4374" s="1"/>
    </row>
    <row r="4375" spans="1:5" ht="16">
      <c r="A4375" s="1" t="s">
        <v>3828</v>
      </c>
      <c r="B4375" s="1" t="s">
        <v>4114</v>
      </c>
      <c r="C4375" s="1" t="s">
        <v>334</v>
      </c>
      <c r="D4375" s="1" t="s">
        <v>229</v>
      </c>
      <c r="E4375" s="1"/>
    </row>
    <row r="4376" spans="1:5" ht="16">
      <c r="A4376" s="1" t="s">
        <v>3828</v>
      </c>
      <c r="B4376" s="1" t="s">
        <v>4115</v>
      </c>
      <c r="C4376" s="1" t="s">
        <v>334</v>
      </c>
      <c r="D4376" s="1" t="s">
        <v>229</v>
      </c>
      <c r="E4376" s="1"/>
    </row>
    <row r="4377" spans="1:5" ht="16">
      <c r="A4377" s="1" t="s">
        <v>3828</v>
      </c>
      <c r="B4377" s="1" t="s">
        <v>4116</v>
      </c>
      <c r="C4377" s="1" t="s">
        <v>334</v>
      </c>
      <c r="D4377" s="1" t="s">
        <v>229</v>
      </c>
      <c r="E4377" s="1"/>
    </row>
    <row r="4378" spans="1:5" ht="16">
      <c r="A4378" s="1" t="s">
        <v>3828</v>
      </c>
      <c r="B4378" s="1" t="s">
        <v>4117</v>
      </c>
      <c r="C4378" s="1" t="s">
        <v>334</v>
      </c>
      <c r="D4378" s="1" t="s">
        <v>229</v>
      </c>
      <c r="E4378" s="1"/>
    </row>
    <row r="4379" spans="1:5" ht="16">
      <c r="A4379" s="1" t="s">
        <v>3828</v>
      </c>
      <c r="B4379" s="1" t="s">
        <v>4118</v>
      </c>
      <c r="C4379" s="1" t="s">
        <v>334</v>
      </c>
      <c r="D4379" s="1" t="s">
        <v>229</v>
      </c>
      <c r="E4379" s="1"/>
    </row>
    <row r="4380" spans="1:5" ht="16">
      <c r="A4380" s="1" t="s">
        <v>3828</v>
      </c>
      <c r="B4380" s="1" t="s">
        <v>4119</v>
      </c>
      <c r="C4380" s="1" t="s">
        <v>334</v>
      </c>
      <c r="D4380" s="1" t="s">
        <v>229</v>
      </c>
      <c r="E4380" s="1"/>
    </row>
    <row r="4381" spans="1:5" ht="16">
      <c r="A4381" s="1" t="s">
        <v>3828</v>
      </c>
      <c r="B4381" s="1" t="s">
        <v>4120</v>
      </c>
      <c r="C4381" s="1" t="s">
        <v>265</v>
      </c>
      <c r="D4381" s="1" t="s">
        <v>229</v>
      </c>
      <c r="E4381" s="1"/>
    </row>
    <row r="4382" spans="1:5" ht="16">
      <c r="A4382" s="1" t="s">
        <v>3828</v>
      </c>
      <c r="B4382" s="1" t="s">
        <v>4121</v>
      </c>
      <c r="C4382" s="1" t="s">
        <v>334</v>
      </c>
      <c r="D4382" s="1" t="s">
        <v>229</v>
      </c>
      <c r="E4382" s="1"/>
    </row>
    <row r="4383" spans="1:5" ht="16">
      <c r="A4383" s="1" t="s">
        <v>3828</v>
      </c>
      <c r="B4383" s="1" t="s">
        <v>4122</v>
      </c>
      <c r="C4383" s="1" t="s">
        <v>1411</v>
      </c>
      <c r="D4383" s="1" t="s">
        <v>229</v>
      </c>
      <c r="E4383" s="1"/>
    </row>
    <row r="4384" spans="1:5" ht="16">
      <c r="A4384" s="1" t="s">
        <v>3828</v>
      </c>
      <c r="B4384" s="1" t="s">
        <v>4123</v>
      </c>
      <c r="C4384" s="1" t="s">
        <v>334</v>
      </c>
      <c r="D4384" s="1" t="s">
        <v>229</v>
      </c>
      <c r="E4384" s="1"/>
    </row>
    <row r="4385" spans="1:5" ht="16">
      <c r="A4385" s="1" t="s">
        <v>3828</v>
      </c>
      <c r="B4385" s="1" t="s">
        <v>4124</v>
      </c>
      <c r="C4385" s="1" t="s">
        <v>334</v>
      </c>
      <c r="D4385" s="1" t="s">
        <v>229</v>
      </c>
      <c r="E4385" s="1"/>
    </row>
    <row r="4386" spans="1:5" ht="16">
      <c r="A4386" s="1" t="s">
        <v>3828</v>
      </c>
      <c r="B4386" s="1" t="s">
        <v>4125</v>
      </c>
      <c r="C4386" s="1" t="s">
        <v>334</v>
      </c>
      <c r="D4386" s="1" t="s">
        <v>229</v>
      </c>
      <c r="E4386" s="1"/>
    </row>
    <row r="4387" spans="1:5" ht="16">
      <c r="A4387" s="1" t="s">
        <v>3828</v>
      </c>
      <c r="B4387" s="1" t="s">
        <v>4126</v>
      </c>
      <c r="C4387" s="1" t="s">
        <v>334</v>
      </c>
      <c r="D4387" s="1" t="s">
        <v>229</v>
      </c>
      <c r="E4387" s="1"/>
    </row>
    <row r="4388" spans="1:5" ht="16">
      <c r="A4388" s="1" t="s">
        <v>3828</v>
      </c>
      <c r="B4388" s="1" t="s">
        <v>4127</v>
      </c>
      <c r="C4388" s="1" t="s">
        <v>263</v>
      </c>
      <c r="D4388" s="1" t="s">
        <v>229</v>
      </c>
      <c r="E4388" s="1"/>
    </row>
    <row r="4389" spans="1:5" ht="16">
      <c r="A4389" s="1" t="s">
        <v>3828</v>
      </c>
      <c r="B4389" s="1" t="s">
        <v>4128</v>
      </c>
      <c r="C4389" s="1" t="s">
        <v>263</v>
      </c>
      <c r="D4389" s="1" t="s">
        <v>229</v>
      </c>
      <c r="E4389" s="1"/>
    </row>
    <row r="4390" spans="1:5" ht="16">
      <c r="A4390" s="1" t="s">
        <v>3828</v>
      </c>
      <c r="B4390" s="1" t="s">
        <v>4129</v>
      </c>
      <c r="C4390" s="1" t="s">
        <v>263</v>
      </c>
      <c r="D4390" s="1" t="s">
        <v>229</v>
      </c>
      <c r="E4390" s="1"/>
    </row>
    <row r="4391" spans="1:5" ht="16">
      <c r="A4391" s="1" t="s">
        <v>3828</v>
      </c>
      <c r="B4391" s="1" t="s">
        <v>4130</v>
      </c>
      <c r="C4391" s="1" t="s">
        <v>263</v>
      </c>
      <c r="D4391" s="1" t="s">
        <v>229</v>
      </c>
      <c r="E4391" s="1"/>
    </row>
    <row r="4392" spans="1:5" ht="16">
      <c r="A4392" s="1" t="s">
        <v>3828</v>
      </c>
      <c r="B4392" s="1" t="s">
        <v>4131</v>
      </c>
      <c r="C4392" s="1" t="s">
        <v>234</v>
      </c>
      <c r="D4392" s="1" t="s">
        <v>229</v>
      </c>
      <c r="E4392" s="1"/>
    </row>
    <row r="4393" spans="1:5" ht="16">
      <c r="A4393" s="1" t="s">
        <v>3828</v>
      </c>
      <c r="B4393" s="1" t="s">
        <v>4132</v>
      </c>
      <c r="C4393" s="1" t="s">
        <v>334</v>
      </c>
      <c r="D4393" s="1" t="s">
        <v>229</v>
      </c>
      <c r="E4393" s="1"/>
    </row>
    <row r="4394" spans="1:5" ht="16">
      <c r="A4394" s="1" t="s">
        <v>3828</v>
      </c>
      <c r="B4394" s="1" t="s">
        <v>4133</v>
      </c>
      <c r="C4394" s="1" t="s">
        <v>263</v>
      </c>
      <c r="D4394" s="1" t="s">
        <v>355</v>
      </c>
      <c r="E4394" s="1"/>
    </row>
    <row r="4395" spans="1:5" ht="16">
      <c r="A4395" s="1" t="s">
        <v>3828</v>
      </c>
      <c r="B4395" s="1" t="s">
        <v>4134</v>
      </c>
      <c r="C4395" s="1" t="s">
        <v>263</v>
      </c>
      <c r="D4395" s="1" t="s">
        <v>355</v>
      </c>
      <c r="E4395" s="1"/>
    </row>
    <row r="4396" spans="1:5" ht="16">
      <c r="A4396" s="1" t="s">
        <v>3828</v>
      </c>
      <c r="B4396" s="1" t="s">
        <v>4135</v>
      </c>
      <c r="C4396" s="1" t="s">
        <v>234</v>
      </c>
      <c r="D4396" s="1" t="s">
        <v>355</v>
      </c>
      <c r="E4396" s="1"/>
    </row>
    <row r="4397" spans="1:5" ht="16">
      <c r="A4397" s="1" t="s">
        <v>3828</v>
      </c>
      <c r="B4397" s="1" t="s">
        <v>4136</v>
      </c>
      <c r="C4397" s="1" t="s">
        <v>307</v>
      </c>
      <c r="D4397" s="1" t="s">
        <v>355</v>
      </c>
      <c r="E4397" s="1"/>
    </row>
    <row r="4398" spans="1:5" ht="16">
      <c r="A4398" s="1" t="s">
        <v>3828</v>
      </c>
      <c r="B4398" s="1" t="s">
        <v>4137</v>
      </c>
      <c r="C4398" s="1" t="s">
        <v>334</v>
      </c>
      <c r="D4398" s="1" t="s">
        <v>229</v>
      </c>
      <c r="E4398" s="1"/>
    </row>
    <row r="4399" spans="1:5" ht="16">
      <c r="A4399" s="1" t="s">
        <v>3828</v>
      </c>
      <c r="B4399" s="1" t="s">
        <v>4138</v>
      </c>
      <c r="C4399" s="1" t="s">
        <v>334</v>
      </c>
      <c r="D4399" s="1" t="s">
        <v>229</v>
      </c>
      <c r="E4399" s="1"/>
    </row>
    <row r="4400" spans="1:5" ht="16">
      <c r="A4400" s="1" t="s">
        <v>3828</v>
      </c>
      <c r="B4400" s="1" t="s">
        <v>4139</v>
      </c>
      <c r="C4400" s="1" t="s">
        <v>334</v>
      </c>
      <c r="D4400" s="1" t="s">
        <v>229</v>
      </c>
      <c r="E4400" s="1"/>
    </row>
    <row r="4401" spans="1:5" ht="16">
      <c r="A4401" s="1" t="s">
        <v>3828</v>
      </c>
      <c r="B4401" s="1" t="s">
        <v>4140</v>
      </c>
      <c r="C4401" s="1" t="s">
        <v>334</v>
      </c>
      <c r="D4401" s="1" t="s">
        <v>229</v>
      </c>
      <c r="E4401" s="1"/>
    </row>
    <row r="4402" spans="1:5" ht="16">
      <c r="A4402" s="1" t="s">
        <v>3828</v>
      </c>
      <c r="B4402" s="1" t="s">
        <v>4141</v>
      </c>
      <c r="C4402" s="1" t="s">
        <v>263</v>
      </c>
      <c r="D4402" s="1" t="s">
        <v>229</v>
      </c>
      <c r="E4402" s="1"/>
    </row>
    <row r="4403" spans="1:5" ht="16">
      <c r="A4403" s="1" t="s">
        <v>3828</v>
      </c>
      <c r="B4403" s="1" t="s">
        <v>4142</v>
      </c>
      <c r="C4403" s="1" t="s">
        <v>263</v>
      </c>
      <c r="D4403" s="1" t="s">
        <v>229</v>
      </c>
      <c r="E4403" s="1"/>
    </row>
    <row r="4404" spans="1:5" ht="16">
      <c r="A4404" s="1" t="s">
        <v>3828</v>
      </c>
      <c r="B4404" s="1" t="s">
        <v>4143</v>
      </c>
      <c r="C4404" s="1" t="s">
        <v>334</v>
      </c>
      <c r="D4404" s="1" t="s">
        <v>229</v>
      </c>
      <c r="E4404" s="1"/>
    </row>
    <row r="4405" spans="1:5" ht="16">
      <c r="A4405" s="1" t="s">
        <v>3828</v>
      </c>
      <c r="B4405" s="1" t="s">
        <v>4144</v>
      </c>
      <c r="C4405" s="1" t="s">
        <v>265</v>
      </c>
      <c r="D4405" s="1" t="s">
        <v>229</v>
      </c>
      <c r="E4405" s="1"/>
    </row>
    <row r="4406" spans="1:5" ht="16">
      <c r="A4406" s="1" t="s">
        <v>3828</v>
      </c>
      <c r="B4406" s="1" t="s">
        <v>4145</v>
      </c>
      <c r="C4406" s="1" t="s">
        <v>263</v>
      </c>
      <c r="D4406" s="1" t="s">
        <v>229</v>
      </c>
      <c r="E4406" s="1"/>
    </row>
    <row r="4407" spans="1:5" ht="16">
      <c r="A4407" s="1" t="s">
        <v>3828</v>
      </c>
      <c r="B4407" s="1" t="s">
        <v>4146</v>
      </c>
      <c r="C4407" s="1" t="s">
        <v>263</v>
      </c>
      <c r="D4407" s="1" t="s">
        <v>229</v>
      </c>
      <c r="E4407" s="1"/>
    </row>
    <row r="4408" spans="1:5" ht="16">
      <c r="A4408" s="1" t="s">
        <v>3828</v>
      </c>
      <c r="B4408" s="1" t="s">
        <v>4147</v>
      </c>
      <c r="C4408" s="1" t="s">
        <v>263</v>
      </c>
      <c r="D4408" s="1" t="s">
        <v>229</v>
      </c>
      <c r="E4408" s="1"/>
    </row>
    <row r="4409" spans="1:5" ht="16">
      <c r="A4409" s="1" t="s">
        <v>3828</v>
      </c>
      <c r="B4409" s="1" t="s">
        <v>4148</v>
      </c>
      <c r="C4409" s="1" t="s">
        <v>334</v>
      </c>
      <c r="D4409" s="1" t="s">
        <v>229</v>
      </c>
      <c r="E4409" s="1"/>
    </row>
    <row r="4410" spans="1:5" ht="16">
      <c r="A4410" s="1" t="s">
        <v>3828</v>
      </c>
      <c r="B4410" s="1" t="s">
        <v>4149</v>
      </c>
      <c r="C4410" s="1" t="s">
        <v>334</v>
      </c>
      <c r="D4410" s="1" t="s">
        <v>229</v>
      </c>
      <c r="E4410" s="1"/>
    </row>
    <row r="4411" spans="1:5" ht="16">
      <c r="A4411" s="1" t="s">
        <v>3828</v>
      </c>
      <c r="B4411" s="1" t="s">
        <v>4150</v>
      </c>
      <c r="C4411" s="1" t="s">
        <v>334</v>
      </c>
      <c r="D4411" s="1" t="s">
        <v>229</v>
      </c>
      <c r="E4411" s="1"/>
    </row>
    <row r="4412" spans="1:5" ht="16">
      <c r="A4412" s="1" t="s">
        <v>3828</v>
      </c>
      <c r="B4412" s="1" t="s">
        <v>4151</v>
      </c>
      <c r="C4412" s="1" t="s">
        <v>334</v>
      </c>
      <c r="D4412" s="1" t="s">
        <v>229</v>
      </c>
      <c r="E4412" s="1"/>
    </row>
    <row r="4413" spans="1:5" ht="16">
      <c r="A4413" s="1" t="s">
        <v>4152</v>
      </c>
      <c r="B4413" s="1" t="s">
        <v>4153</v>
      </c>
      <c r="C4413" s="1" t="s">
        <v>234</v>
      </c>
      <c r="D4413" s="1" t="s">
        <v>229</v>
      </c>
      <c r="E4413" s="1"/>
    </row>
    <row r="4414" spans="1:5" ht="16">
      <c r="A4414" s="1" t="s">
        <v>4152</v>
      </c>
      <c r="B4414" s="1" t="s">
        <v>4154</v>
      </c>
      <c r="C4414" s="1" t="s">
        <v>234</v>
      </c>
      <c r="D4414" s="1" t="s">
        <v>229</v>
      </c>
      <c r="E4414" s="1"/>
    </row>
    <row r="4415" spans="1:5" ht="16">
      <c r="A4415" s="1" t="s">
        <v>4152</v>
      </c>
      <c r="B4415" s="1" t="s">
        <v>4155</v>
      </c>
      <c r="C4415" s="1" t="s">
        <v>228</v>
      </c>
      <c r="D4415" s="1" t="s">
        <v>229</v>
      </c>
      <c r="E4415" s="1"/>
    </row>
    <row r="4416" spans="1:5" ht="16">
      <c r="A4416" s="1" t="s">
        <v>4152</v>
      </c>
      <c r="B4416" s="1" t="s">
        <v>4156</v>
      </c>
      <c r="C4416" s="1" t="s">
        <v>228</v>
      </c>
      <c r="D4416" s="1" t="s">
        <v>229</v>
      </c>
      <c r="E4416" s="1"/>
    </row>
    <row r="4417" spans="1:5" ht="16">
      <c r="A4417" s="1" t="s">
        <v>4152</v>
      </c>
      <c r="B4417" s="1" t="s">
        <v>4157</v>
      </c>
      <c r="C4417" s="1" t="s">
        <v>228</v>
      </c>
      <c r="D4417" s="1" t="s">
        <v>229</v>
      </c>
      <c r="E4417" s="1"/>
    </row>
    <row r="4418" spans="1:5" ht="16">
      <c r="A4418" s="1" t="s">
        <v>4152</v>
      </c>
      <c r="B4418" s="1" t="s">
        <v>4158</v>
      </c>
      <c r="C4418" s="1" t="s">
        <v>228</v>
      </c>
      <c r="D4418" s="1" t="s">
        <v>229</v>
      </c>
      <c r="E4418" s="1"/>
    </row>
    <row r="4419" spans="1:5" ht="16">
      <c r="A4419" s="1" t="s">
        <v>4152</v>
      </c>
      <c r="B4419" s="1" t="s">
        <v>4159</v>
      </c>
      <c r="C4419" s="1" t="s">
        <v>228</v>
      </c>
      <c r="D4419" s="1" t="s">
        <v>229</v>
      </c>
      <c r="E4419" s="1"/>
    </row>
    <row r="4420" spans="1:5" ht="16">
      <c r="A4420" s="1" t="s">
        <v>4152</v>
      </c>
      <c r="B4420" s="1" t="s">
        <v>4160</v>
      </c>
      <c r="C4420" s="1" t="s">
        <v>228</v>
      </c>
      <c r="D4420" s="1" t="s">
        <v>229</v>
      </c>
      <c r="E4420" s="1"/>
    </row>
    <row r="4421" spans="1:5" ht="16">
      <c r="A4421" s="1" t="s">
        <v>4152</v>
      </c>
      <c r="B4421" s="1" t="s">
        <v>4161</v>
      </c>
      <c r="C4421" s="1" t="s">
        <v>228</v>
      </c>
      <c r="D4421" s="1" t="s">
        <v>229</v>
      </c>
      <c r="E4421" s="1"/>
    </row>
    <row r="4422" spans="1:5" ht="16">
      <c r="A4422" s="1" t="s">
        <v>4152</v>
      </c>
      <c r="B4422" s="1" t="s">
        <v>4162</v>
      </c>
      <c r="C4422" s="1" t="s">
        <v>228</v>
      </c>
      <c r="D4422" s="1" t="s">
        <v>229</v>
      </c>
      <c r="E4422" s="1"/>
    </row>
    <row r="4423" spans="1:5" ht="16">
      <c r="A4423" s="1" t="s">
        <v>4152</v>
      </c>
      <c r="B4423" s="1" t="s">
        <v>4163</v>
      </c>
      <c r="C4423" s="1" t="s">
        <v>234</v>
      </c>
      <c r="D4423" s="1" t="s">
        <v>229</v>
      </c>
      <c r="E4423" s="1"/>
    </row>
    <row r="4424" spans="1:5" ht="16">
      <c r="A4424" s="1" t="s">
        <v>4152</v>
      </c>
      <c r="B4424" s="1" t="s">
        <v>4164</v>
      </c>
      <c r="C4424" s="1" t="s">
        <v>234</v>
      </c>
      <c r="D4424" s="1" t="s">
        <v>229</v>
      </c>
      <c r="E4424" s="1"/>
    </row>
    <row r="4425" spans="1:5" ht="16">
      <c r="A4425" s="1" t="s">
        <v>4152</v>
      </c>
      <c r="B4425" s="1" t="s">
        <v>4165</v>
      </c>
      <c r="C4425" s="1" t="s">
        <v>234</v>
      </c>
      <c r="D4425" s="1" t="s">
        <v>229</v>
      </c>
      <c r="E4425" s="1"/>
    </row>
    <row r="4426" spans="1:5" ht="16">
      <c r="A4426" s="1" t="s">
        <v>4152</v>
      </c>
      <c r="B4426" s="1" t="s">
        <v>4166</v>
      </c>
      <c r="C4426" s="1" t="s">
        <v>234</v>
      </c>
      <c r="D4426" s="1" t="s">
        <v>229</v>
      </c>
      <c r="E4426" s="1"/>
    </row>
    <row r="4427" spans="1:5" ht="16">
      <c r="A4427" s="1" t="s">
        <v>4152</v>
      </c>
      <c r="B4427" s="1" t="s">
        <v>4167</v>
      </c>
      <c r="C4427" s="1" t="s">
        <v>234</v>
      </c>
      <c r="D4427" s="1" t="s">
        <v>229</v>
      </c>
      <c r="E4427" s="1"/>
    </row>
    <row r="4428" spans="1:5" ht="16">
      <c r="A4428" s="1" t="s">
        <v>4152</v>
      </c>
      <c r="B4428" s="1" t="s">
        <v>4168</v>
      </c>
      <c r="C4428" s="1" t="s">
        <v>234</v>
      </c>
      <c r="D4428" s="1" t="s">
        <v>229</v>
      </c>
      <c r="E4428" s="1"/>
    </row>
    <row r="4429" spans="1:5" ht="16">
      <c r="A4429" s="1" t="s">
        <v>4152</v>
      </c>
      <c r="B4429" s="1" t="s">
        <v>4169</v>
      </c>
      <c r="C4429" s="1" t="s">
        <v>228</v>
      </c>
      <c r="D4429" s="1" t="s">
        <v>229</v>
      </c>
      <c r="E4429" s="1"/>
    </row>
    <row r="4430" spans="1:5" ht="16">
      <c r="A4430" s="1" t="s">
        <v>4152</v>
      </c>
      <c r="B4430" s="1" t="s">
        <v>4170</v>
      </c>
      <c r="C4430" s="1" t="s">
        <v>234</v>
      </c>
      <c r="D4430" s="1" t="s">
        <v>229</v>
      </c>
      <c r="E4430" s="1"/>
    </row>
    <row r="4431" spans="1:5" ht="16">
      <c r="A4431" s="1" t="s">
        <v>4152</v>
      </c>
      <c r="B4431" s="1" t="s">
        <v>4171</v>
      </c>
      <c r="C4431" s="1" t="s">
        <v>234</v>
      </c>
      <c r="D4431" s="1" t="s">
        <v>229</v>
      </c>
      <c r="E4431" s="1"/>
    </row>
    <row r="4432" spans="1:5" ht="16">
      <c r="A4432" s="1" t="s">
        <v>4152</v>
      </c>
      <c r="B4432" s="1" t="s">
        <v>4172</v>
      </c>
      <c r="C4432" s="1" t="s">
        <v>234</v>
      </c>
      <c r="D4432" s="1" t="s">
        <v>229</v>
      </c>
      <c r="E4432" s="1"/>
    </row>
    <row r="4433" spans="1:5" ht="16">
      <c r="A4433" s="1" t="s">
        <v>4152</v>
      </c>
      <c r="B4433" s="1" t="s">
        <v>4173</v>
      </c>
      <c r="C4433" s="1" t="s">
        <v>234</v>
      </c>
      <c r="D4433" s="1" t="s">
        <v>229</v>
      </c>
      <c r="E4433" s="1"/>
    </row>
    <row r="4434" spans="1:5" ht="16">
      <c r="A4434" s="1" t="s">
        <v>4152</v>
      </c>
      <c r="B4434" s="1" t="s">
        <v>4174</v>
      </c>
      <c r="C4434" s="1" t="s">
        <v>234</v>
      </c>
      <c r="D4434" s="1" t="s">
        <v>229</v>
      </c>
      <c r="E4434" s="1"/>
    </row>
    <row r="4435" spans="1:5" ht="16">
      <c r="A4435" s="1" t="s">
        <v>4152</v>
      </c>
      <c r="B4435" s="1" t="s">
        <v>4175</v>
      </c>
      <c r="C4435" s="1" t="s">
        <v>234</v>
      </c>
      <c r="D4435" s="1" t="s">
        <v>229</v>
      </c>
      <c r="E4435" s="1"/>
    </row>
    <row r="4436" spans="1:5" ht="16">
      <c r="A4436" s="1" t="s">
        <v>4152</v>
      </c>
      <c r="B4436" s="1" t="s">
        <v>4176</v>
      </c>
      <c r="C4436" s="1" t="s">
        <v>234</v>
      </c>
      <c r="D4436" s="1" t="s">
        <v>229</v>
      </c>
      <c r="E4436" s="1"/>
    </row>
    <row r="4437" spans="1:5" ht="16">
      <c r="A4437" s="1" t="s">
        <v>4152</v>
      </c>
      <c r="B4437" s="1" t="s">
        <v>4177</v>
      </c>
      <c r="C4437" s="1" t="s">
        <v>234</v>
      </c>
      <c r="D4437" s="1" t="s">
        <v>229</v>
      </c>
      <c r="E4437" s="1"/>
    </row>
    <row r="4438" spans="1:5" ht="16">
      <c r="A4438" s="1" t="s">
        <v>4152</v>
      </c>
      <c r="B4438" s="1" t="s">
        <v>4178</v>
      </c>
      <c r="C4438" s="1" t="s">
        <v>234</v>
      </c>
      <c r="D4438" s="1" t="s">
        <v>229</v>
      </c>
      <c r="E4438" s="1"/>
    </row>
    <row r="4439" spans="1:5" ht="16">
      <c r="A4439" s="1" t="s">
        <v>4152</v>
      </c>
      <c r="B4439" s="1" t="s">
        <v>4179</v>
      </c>
      <c r="C4439" s="1" t="s">
        <v>234</v>
      </c>
      <c r="D4439" s="1" t="s">
        <v>229</v>
      </c>
      <c r="E4439" s="1"/>
    </row>
    <row r="4440" spans="1:5" ht="16">
      <c r="A4440" s="1" t="s">
        <v>4152</v>
      </c>
      <c r="B4440" s="1" t="s">
        <v>4180</v>
      </c>
      <c r="C4440" s="1" t="s">
        <v>234</v>
      </c>
      <c r="D4440" s="1" t="s">
        <v>229</v>
      </c>
      <c r="E4440" s="1"/>
    </row>
    <row r="4441" spans="1:5" ht="16">
      <c r="A4441" s="1" t="s">
        <v>4152</v>
      </c>
      <c r="B4441" s="1" t="s">
        <v>4181</v>
      </c>
      <c r="C4441" s="1" t="s">
        <v>234</v>
      </c>
      <c r="D4441" s="1" t="s">
        <v>229</v>
      </c>
      <c r="E4441" s="1"/>
    </row>
    <row r="4442" spans="1:5" ht="16">
      <c r="A4442" s="1" t="s">
        <v>4152</v>
      </c>
      <c r="B4442" s="1" t="s">
        <v>4161</v>
      </c>
      <c r="C4442" s="1" t="s">
        <v>228</v>
      </c>
      <c r="D4442" s="1" t="s">
        <v>229</v>
      </c>
      <c r="E4442" s="1"/>
    </row>
    <row r="4443" spans="1:5" ht="16">
      <c r="A4443" s="1" t="s">
        <v>4152</v>
      </c>
      <c r="B4443" s="1" t="s">
        <v>4182</v>
      </c>
      <c r="C4443" s="1" t="s">
        <v>228</v>
      </c>
      <c r="D4443" s="1" t="s">
        <v>229</v>
      </c>
      <c r="E4443" s="1"/>
    </row>
    <row r="4444" spans="1:5" ht="16">
      <c r="A4444" s="1" t="s">
        <v>4152</v>
      </c>
      <c r="B4444" s="1" t="s">
        <v>4183</v>
      </c>
      <c r="C4444" s="1" t="s">
        <v>228</v>
      </c>
      <c r="D4444" s="1" t="s">
        <v>229</v>
      </c>
      <c r="E4444" s="1"/>
    </row>
    <row r="4445" spans="1:5" ht="16">
      <c r="A4445" s="1" t="s">
        <v>4152</v>
      </c>
      <c r="B4445" s="1" t="s">
        <v>4184</v>
      </c>
      <c r="C4445" s="1" t="s">
        <v>228</v>
      </c>
      <c r="D4445" s="1" t="s">
        <v>229</v>
      </c>
      <c r="E4445" s="1"/>
    </row>
    <row r="4446" spans="1:5" ht="16">
      <c r="A4446" s="1" t="s">
        <v>4152</v>
      </c>
      <c r="B4446" s="1" t="s">
        <v>4184</v>
      </c>
      <c r="C4446" s="1" t="s">
        <v>228</v>
      </c>
      <c r="D4446" s="1" t="s">
        <v>229</v>
      </c>
      <c r="E4446" s="1"/>
    </row>
    <row r="4447" spans="1:5" ht="16">
      <c r="A4447" s="1" t="s">
        <v>4152</v>
      </c>
      <c r="B4447" s="1" t="s">
        <v>4185</v>
      </c>
      <c r="C4447" s="1" t="s">
        <v>228</v>
      </c>
      <c r="D4447" s="1" t="s">
        <v>229</v>
      </c>
      <c r="E4447" s="1"/>
    </row>
    <row r="4448" spans="1:5" ht="16">
      <c r="A4448" s="1" t="s">
        <v>4152</v>
      </c>
      <c r="B4448" s="1" t="s">
        <v>4185</v>
      </c>
      <c r="C4448" s="1" t="s">
        <v>228</v>
      </c>
      <c r="D4448" s="1" t="s">
        <v>229</v>
      </c>
      <c r="E4448" s="1"/>
    </row>
    <row r="4449" spans="1:5" ht="16">
      <c r="A4449" s="1" t="s">
        <v>4152</v>
      </c>
      <c r="B4449" s="1" t="s">
        <v>4186</v>
      </c>
      <c r="C4449" s="1" t="s">
        <v>234</v>
      </c>
      <c r="D4449" s="1" t="s">
        <v>229</v>
      </c>
      <c r="E4449" s="1"/>
    </row>
    <row r="4450" spans="1:5" ht="16">
      <c r="A4450" s="1" t="s">
        <v>4152</v>
      </c>
      <c r="B4450" s="1" t="s">
        <v>4187</v>
      </c>
      <c r="C4450" s="1" t="s">
        <v>234</v>
      </c>
      <c r="D4450" s="1" t="s">
        <v>229</v>
      </c>
      <c r="E4450" s="1"/>
    </row>
    <row r="4451" spans="1:5" ht="16">
      <c r="A4451" s="1" t="s">
        <v>4152</v>
      </c>
      <c r="B4451" s="1" t="s">
        <v>4188</v>
      </c>
      <c r="C4451" s="1" t="s">
        <v>234</v>
      </c>
      <c r="D4451" s="1" t="s">
        <v>229</v>
      </c>
      <c r="E4451" s="1"/>
    </row>
    <row r="4452" spans="1:5" ht="16">
      <c r="A4452" s="1" t="s">
        <v>4152</v>
      </c>
      <c r="B4452" s="1" t="s">
        <v>4189</v>
      </c>
      <c r="C4452" s="1" t="s">
        <v>234</v>
      </c>
      <c r="D4452" s="1" t="s">
        <v>229</v>
      </c>
      <c r="E4452" s="1"/>
    </row>
    <row r="4453" spans="1:5" ht="16">
      <c r="A4453" s="1" t="s">
        <v>4152</v>
      </c>
      <c r="B4453" s="1" t="s">
        <v>4190</v>
      </c>
      <c r="C4453" s="1" t="s">
        <v>234</v>
      </c>
      <c r="D4453" s="1" t="s">
        <v>229</v>
      </c>
      <c r="E4453" s="1"/>
    </row>
    <row r="4454" spans="1:5" ht="16">
      <c r="A4454" s="1" t="s">
        <v>4152</v>
      </c>
      <c r="B4454" s="1" t="s">
        <v>4191</v>
      </c>
      <c r="C4454" s="1" t="s">
        <v>234</v>
      </c>
      <c r="D4454" s="1" t="s">
        <v>229</v>
      </c>
      <c r="E4454" s="1"/>
    </row>
    <row r="4455" spans="1:5" ht="16">
      <c r="A4455" s="1" t="s">
        <v>4152</v>
      </c>
      <c r="B4455" s="1" t="s">
        <v>4192</v>
      </c>
      <c r="C4455" s="1" t="s">
        <v>234</v>
      </c>
      <c r="D4455" s="1" t="s">
        <v>229</v>
      </c>
      <c r="E4455" s="1"/>
    </row>
    <row r="4456" spans="1:5" ht="16">
      <c r="A4456" s="1" t="s">
        <v>4152</v>
      </c>
      <c r="B4456" s="1" t="s">
        <v>4193</v>
      </c>
      <c r="C4456" s="1" t="s">
        <v>234</v>
      </c>
      <c r="D4456" s="1" t="s">
        <v>229</v>
      </c>
      <c r="E4456" s="1"/>
    </row>
    <row r="4457" spans="1:5" ht="16">
      <c r="A4457" s="1" t="s">
        <v>4152</v>
      </c>
      <c r="B4457" s="1" t="s">
        <v>4194</v>
      </c>
      <c r="C4457" s="1" t="s">
        <v>234</v>
      </c>
      <c r="D4457" s="1" t="s">
        <v>229</v>
      </c>
      <c r="E4457" s="1"/>
    </row>
    <row r="4458" spans="1:5" ht="16">
      <c r="A4458" s="1" t="s">
        <v>4152</v>
      </c>
      <c r="B4458" s="1" t="s">
        <v>4195</v>
      </c>
      <c r="C4458" s="1" t="s">
        <v>234</v>
      </c>
      <c r="D4458" s="1" t="s">
        <v>229</v>
      </c>
      <c r="E4458" s="1"/>
    </row>
    <row r="4459" spans="1:5" ht="16">
      <c r="A4459" s="1" t="s">
        <v>4152</v>
      </c>
      <c r="B4459" s="1" t="s">
        <v>4196</v>
      </c>
      <c r="C4459" s="1" t="s">
        <v>234</v>
      </c>
      <c r="D4459" s="1" t="s">
        <v>229</v>
      </c>
      <c r="E4459" s="1"/>
    </row>
    <row r="4460" spans="1:5" ht="16">
      <c r="A4460" s="1" t="s">
        <v>4152</v>
      </c>
      <c r="B4460" s="1" t="s">
        <v>4197</v>
      </c>
      <c r="C4460" s="1" t="s">
        <v>234</v>
      </c>
      <c r="D4460" s="1" t="s">
        <v>229</v>
      </c>
      <c r="E4460" s="1"/>
    </row>
    <row r="4461" spans="1:5" ht="16">
      <c r="A4461" s="1" t="s">
        <v>4152</v>
      </c>
      <c r="B4461" s="1" t="s">
        <v>4198</v>
      </c>
      <c r="C4461" s="1" t="s">
        <v>228</v>
      </c>
      <c r="D4461" s="1" t="s">
        <v>229</v>
      </c>
      <c r="E4461" s="1"/>
    </row>
    <row r="4462" spans="1:5" ht="16">
      <c r="A4462" s="1" t="s">
        <v>4152</v>
      </c>
      <c r="B4462" s="1" t="s">
        <v>4199</v>
      </c>
      <c r="C4462" s="1" t="s">
        <v>234</v>
      </c>
      <c r="D4462" s="1" t="s">
        <v>229</v>
      </c>
      <c r="E4462" s="1"/>
    </row>
    <row r="4463" spans="1:5" ht="16">
      <c r="A4463" s="1" t="s">
        <v>4152</v>
      </c>
      <c r="B4463" s="1" t="s">
        <v>4200</v>
      </c>
      <c r="C4463" s="1" t="s">
        <v>228</v>
      </c>
      <c r="D4463" s="1" t="s">
        <v>229</v>
      </c>
      <c r="E4463" s="1"/>
    </row>
    <row r="4464" spans="1:5" ht="16">
      <c r="A4464" s="1" t="s">
        <v>4152</v>
      </c>
      <c r="B4464" s="1" t="s">
        <v>4200</v>
      </c>
      <c r="C4464" s="1" t="s">
        <v>228</v>
      </c>
      <c r="D4464" s="1" t="s">
        <v>229</v>
      </c>
      <c r="E4464" s="1"/>
    </row>
    <row r="4465" spans="1:5" ht="16">
      <c r="A4465" s="1" t="s">
        <v>4152</v>
      </c>
      <c r="B4465" s="1" t="s">
        <v>4201</v>
      </c>
      <c r="C4465" s="1" t="s">
        <v>228</v>
      </c>
      <c r="D4465" s="1" t="s">
        <v>229</v>
      </c>
      <c r="E4465" s="1"/>
    </row>
    <row r="4466" spans="1:5" ht="16">
      <c r="A4466" s="1" t="s">
        <v>4152</v>
      </c>
      <c r="B4466" s="1" t="s">
        <v>4202</v>
      </c>
      <c r="C4466" s="1" t="s">
        <v>234</v>
      </c>
      <c r="D4466" s="1" t="s">
        <v>229</v>
      </c>
      <c r="E4466" s="1"/>
    </row>
    <row r="4467" spans="1:5" ht="16">
      <c r="A4467" s="1" t="s">
        <v>4152</v>
      </c>
      <c r="B4467" s="1" t="s">
        <v>4203</v>
      </c>
      <c r="C4467" s="1" t="s">
        <v>234</v>
      </c>
      <c r="D4467" s="1" t="s">
        <v>229</v>
      </c>
      <c r="E4467" s="1"/>
    </row>
    <row r="4468" spans="1:5" ht="16">
      <c r="A4468" s="1" t="s">
        <v>4152</v>
      </c>
      <c r="B4468" s="1" t="s">
        <v>4204</v>
      </c>
      <c r="C4468" s="1" t="s">
        <v>234</v>
      </c>
      <c r="D4468" s="1" t="s">
        <v>229</v>
      </c>
      <c r="E4468" s="1"/>
    </row>
    <row r="4469" spans="1:5" ht="16">
      <c r="A4469" s="1" t="s">
        <v>4152</v>
      </c>
      <c r="B4469" s="1" t="s">
        <v>4205</v>
      </c>
      <c r="C4469" s="1" t="s">
        <v>234</v>
      </c>
      <c r="D4469" s="1" t="s">
        <v>229</v>
      </c>
      <c r="E4469" s="1"/>
    </row>
    <row r="4470" spans="1:5" ht="16">
      <c r="A4470" s="1" t="s">
        <v>4152</v>
      </c>
      <c r="B4470" s="1" t="s">
        <v>4206</v>
      </c>
      <c r="C4470" s="1" t="s">
        <v>234</v>
      </c>
      <c r="D4470" s="1" t="s">
        <v>229</v>
      </c>
      <c r="E4470" s="1"/>
    </row>
    <row r="4471" spans="1:5" ht="16">
      <c r="A4471" s="1" t="s">
        <v>4152</v>
      </c>
      <c r="B4471" s="1" t="s">
        <v>4207</v>
      </c>
      <c r="C4471" s="1" t="s">
        <v>234</v>
      </c>
      <c r="D4471" s="1" t="s">
        <v>229</v>
      </c>
      <c r="E4471" s="1"/>
    </row>
    <row r="4472" spans="1:5" ht="16">
      <c r="A4472" s="1" t="s">
        <v>4152</v>
      </c>
      <c r="B4472" s="1" t="s">
        <v>4208</v>
      </c>
      <c r="C4472" s="1" t="s">
        <v>234</v>
      </c>
      <c r="D4472" s="1" t="s">
        <v>229</v>
      </c>
      <c r="E4472" s="1"/>
    </row>
    <row r="4473" spans="1:5" ht="16">
      <c r="A4473" s="1" t="s">
        <v>4152</v>
      </c>
      <c r="B4473" s="1" t="s">
        <v>4209</v>
      </c>
      <c r="C4473" s="1" t="s">
        <v>263</v>
      </c>
      <c r="D4473" s="1" t="s">
        <v>229</v>
      </c>
      <c r="E4473" s="1"/>
    </row>
    <row r="4474" spans="1:5" ht="16">
      <c r="A4474" s="1" t="s">
        <v>4152</v>
      </c>
      <c r="B4474" s="1" t="s">
        <v>4210</v>
      </c>
      <c r="C4474" s="1" t="s">
        <v>263</v>
      </c>
      <c r="D4474" s="1" t="s">
        <v>229</v>
      </c>
      <c r="E4474" s="1"/>
    </row>
    <row r="4475" spans="1:5" ht="16">
      <c r="A4475" s="1" t="s">
        <v>4152</v>
      </c>
      <c r="B4475" s="1" t="s">
        <v>4211</v>
      </c>
      <c r="C4475" s="1" t="s">
        <v>265</v>
      </c>
      <c r="D4475" s="1" t="s">
        <v>229</v>
      </c>
      <c r="E4475" s="1"/>
    </row>
    <row r="4476" spans="1:5" ht="16">
      <c r="A4476" s="1" t="s">
        <v>4152</v>
      </c>
      <c r="B4476" s="1" t="s">
        <v>4212</v>
      </c>
      <c r="C4476" s="1" t="s">
        <v>265</v>
      </c>
      <c r="D4476" s="1" t="s">
        <v>229</v>
      </c>
      <c r="E4476" s="1"/>
    </row>
    <row r="4477" spans="1:5" ht="16">
      <c r="A4477" s="1" t="s">
        <v>4152</v>
      </c>
      <c r="B4477" s="1" t="s">
        <v>4213</v>
      </c>
      <c r="C4477" s="1" t="s">
        <v>265</v>
      </c>
      <c r="D4477" s="1" t="s">
        <v>229</v>
      </c>
      <c r="E4477" s="1"/>
    </row>
    <row r="4478" spans="1:5" ht="16">
      <c r="A4478" s="1" t="s">
        <v>4152</v>
      </c>
      <c r="B4478" s="1" t="s">
        <v>4214</v>
      </c>
      <c r="C4478" s="1" t="s">
        <v>263</v>
      </c>
      <c r="D4478" s="1" t="s">
        <v>229</v>
      </c>
      <c r="E4478" s="1"/>
    </row>
    <row r="4479" spans="1:5" ht="16">
      <c r="A4479" s="1" t="s">
        <v>4152</v>
      </c>
      <c r="B4479" s="1" t="s">
        <v>4215</v>
      </c>
      <c r="C4479" s="1" t="s">
        <v>263</v>
      </c>
      <c r="D4479" s="1" t="s">
        <v>229</v>
      </c>
      <c r="E4479" s="1"/>
    </row>
    <row r="4480" spans="1:5" ht="16">
      <c r="A4480" s="1" t="s">
        <v>4152</v>
      </c>
      <c r="B4480" s="1" t="s">
        <v>4216</v>
      </c>
      <c r="C4480" s="1" t="s">
        <v>228</v>
      </c>
      <c r="D4480" s="1" t="s">
        <v>229</v>
      </c>
      <c r="E4480" s="1"/>
    </row>
    <row r="4481" spans="1:5" ht="16">
      <c r="A4481" s="1" t="s">
        <v>4152</v>
      </c>
      <c r="B4481" s="1" t="s">
        <v>4217</v>
      </c>
      <c r="C4481" s="1" t="s">
        <v>228</v>
      </c>
      <c r="D4481" s="1" t="s">
        <v>229</v>
      </c>
      <c r="E4481" s="1"/>
    </row>
    <row r="4482" spans="1:5" ht="16">
      <c r="A4482" s="1" t="s">
        <v>4152</v>
      </c>
      <c r="B4482" s="1" t="s">
        <v>4218</v>
      </c>
      <c r="C4482" s="1" t="s">
        <v>228</v>
      </c>
      <c r="D4482" s="1" t="s">
        <v>229</v>
      </c>
      <c r="E4482" s="1"/>
    </row>
    <row r="4483" spans="1:5" ht="16">
      <c r="A4483" s="1" t="s">
        <v>4152</v>
      </c>
      <c r="B4483" s="1" t="s">
        <v>4217</v>
      </c>
      <c r="C4483" s="1" t="s">
        <v>228</v>
      </c>
      <c r="D4483" s="1" t="s">
        <v>229</v>
      </c>
      <c r="E4483" s="1"/>
    </row>
    <row r="4484" spans="1:5" ht="16">
      <c r="A4484" s="1" t="s">
        <v>4152</v>
      </c>
      <c r="B4484" s="1" t="s">
        <v>4219</v>
      </c>
      <c r="C4484" s="1" t="s">
        <v>228</v>
      </c>
      <c r="D4484" s="1" t="s">
        <v>229</v>
      </c>
      <c r="E4484" s="1"/>
    </row>
    <row r="4485" spans="1:5" ht="16">
      <c r="A4485" s="1" t="s">
        <v>4152</v>
      </c>
      <c r="B4485" s="1" t="s">
        <v>4219</v>
      </c>
      <c r="C4485" s="1" t="s">
        <v>228</v>
      </c>
      <c r="D4485" s="1" t="s">
        <v>229</v>
      </c>
      <c r="E4485" s="1"/>
    </row>
    <row r="4486" spans="1:5" ht="16">
      <c r="A4486" s="1" t="s">
        <v>4152</v>
      </c>
      <c r="B4486" s="1" t="s">
        <v>4220</v>
      </c>
      <c r="C4486" s="1" t="s">
        <v>228</v>
      </c>
      <c r="D4486" s="1" t="s">
        <v>229</v>
      </c>
      <c r="E4486" s="1"/>
    </row>
    <row r="4487" spans="1:5" ht="16">
      <c r="A4487" s="1" t="s">
        <v>4152</v>
      </c>
      <c r="B4487" s="1" t="s">
        <v>4219</v>
      </c>
      <c r="C4487" s="1" t="s">
        <v>228</v>
      </c>
      <c r="D4487" s="1" t="s">
        <v>229</v>
      </c>
      <c r="E4487" s="1"/>
    </row>
    <row r="4488" spans="1:5" ht="16">
      <c r="A4488" s="1" t="s">
        <v>4221</v>
      </c>
      <c r="B4488" s="1" t="s">
        <v>4222</v>
      </c>
      <c r="C4488" s="1" t="s">
        <v>332</v>
      </c>
      <c r="D4488" s="1" t="s">
        <v>229</v>
      </c>
      <c r="E4488" s="1"/>
    </row>
    <row r="4489" spans="1:5" ht="16">
      <c r="A4489" s="1" t="s">
        <v>4221</v>
      </c>
      <c r="B4489" s="1" t="s">
        <v>4223</v>
      </c>
      <c r="C4489" s="1" t="s">
        <v>319</v>
      </c>
      <c r="D4489" s="1" t="s">
        <v>229</v>
      </c>
      <c r="E4489" s="1"/>
    </row>
    <row r="4490" spans="1:5" ht="16">
      <c r="A4490" s="1" t="s">
        <v>4221</v>
      </c>
      <c r="B4490" s="1" t="s">
        <v>4224</v>
      </c>
      <c r="C4490" s="1" t="s">
        <v>334</v>
      </c>
      <c r="D4490" s="1" t="s">
        <v>229</v>
      </c>
      <c r="E4490" s="1" t="s">
        <v>500</v>
      </c>
    </row>
    <row r="4491" spans="1:5" ht="16">
      <c r="A4491" s="1" t="s">
        <v>4221</v>
      </c>
      <c r="B4491" s="1" t="s">
        <v>4225</v>
      </c>
      <c r="C4491" s="1" t="s">
        <v>334</v>
      </c>
      <c r="D4491" s="1" t="s">
        <v>229</v>
      </c>
      <c r="E4491" s="1" t="s">
        <v>500</v>
      </c>
    </row>
    <row r="4492" spans="1:5" ht="16">
      <c r="A4492" s="1" t="s">
        <v>4221</v>
      </c>
      <c r="B4492" s="1" t="s">
        <v>4224</v>
      </c>
      <c r="C4492" s="1" t="s">
        <v>334</v>
      </c>
      <c r="D4492" s="1" t="s">
        <v>229</v>
      </c>
      <c r="E4492" s="1" t="s">
        <v>500</v>
      </c>
    </row>
    <row r="4493" spans="1:5" ht="16">
      <c r="A4493" s="1" t="s">
        <v>4221</v>
      </c>
      <c r="B4493" s="1" t="s">
        <v>4226</v>
      </c>
      <c r="C4493" s="1" t="s">
        <v>334</v>
      </c>
      <c r="D4493" s="1" t="s">
        <v>229</v>
      </c>
      <c r="E4493" s="1" t="s">
        <v>500</v>
      </c>
    </row>
    <row r="4494" spans="1:5" ht="16">
      <c r="A4494" s="1" t="s">
        <v>4221</v>
      </c>
      <c r="B4494" s="1" t="s">
        <v>4227</v>
      </c>
      <c r="C4494" s="1" t="s">
        <v>334</v>
      </c>
      <c r="D4494" s="1" t="s">
        <v>229</v>
      </c>
      <c r="E4494" s="1" t="s">
        <v>500</v>
      </c>
    </row>
    <row r="4495" spans="1:5" ht="16">
      <c r="A4495" s="1" t="s">
        <v>4221</v>
      </c>
      <c r="B4495" s="1" t="s">
        <v>4225</v>
      </c>
      <c r="C4495" s="1" t="s">
        <v>334</v>
      </c>
      <c r="D4495" s="1" t="s">
        <v>229</v>
      </c>
      <c r="E4495" s="1" t="s">
        <v>500</v>
      </c>
    </row>
    <row r="4496" spans="1:5" ht="16">
      <c r="A4496" s="1" t="s">
        <v>4221</v>
      </c>
      <c r="B4496" s="1" t="s">
        <v>4224</v>
      </c>
      <c r="C4496" s="1" t="s">
        <v>334</v>
      </c>
      <c r="D4496" s="1" t="s">
        <v>229</v>
      </c>
      <c r="E4496" s="1" t="s">
        <v>500</v>
      </c>
    </row>
    <row r="4497" spans="1:5" ht="16">
      <c r="A4497" s="1" t="s">
        <v>4221</v>
      </c>
      <c r="B4497" s="1" t="s">
        <v>4226</v>
      </c>
      <c r="C4497" s="1" t="s">
        <v>334</v>
      </c>
      <c r="D4497" s="1" t="s">
        <v>229</v>
      </c>
      <c r="E4497" s="1" t="s">
        <v>500</v>
      </c>
    </row>
    <row r="4498" spans="1:5" ht="16">
      <c r="A4498" s="1" t="s">
        <v>4221</v>
      </c>
      <c r="B4498" s="1" t="s">
        <v>4227</v>
      </c>
      <c r="C4498" s="1" t="s">
        <v>334</v>
      </c>
      <c r="D4498" s="1" t="s">
        <v>229</v>
      </c>
      <c r="E4498" s="1" t="s">
        <v>500</v>
      </c>
    </row>
    <row r="4499" spans="1:5" ht="16">
      <c r="A4499" s="1" t="s">
        <v>4221</v>
      </c>
      <c r="B4499" s="1" t="s">
        <v>4226</v>
      </c>
      <c r="C4499" s="1" t="s">
        <v>334</v>
      </c>
      <c r="D4499" s="1" t="s">
        <v>229</v>
      </c>
      <c r="E4499" s="1" t="s">
        <v>500</v>
      </c>
    </row>
    <row r="4500" spans="1:5" ht="16">
      <c r="A4500" s="1" t="s">
        <v>4221</v>
      </c>
      <c r="B4500" s="1" t="s">
        <v>4227</v>
      </c>
      <c r="C4500" s="1" t="s">
        <v>334</v>
      </c>
      <c r="D4500" s="1" t="s">
        <v>229</v>
      </c>
      <c r="E4500" s="1" t="s">
        <v>500</v>
      </c>
    </row>
    <row r="4501" spans="1:5" ht="16">
      <c r="A4501" s="1" t="s">
        <v>4221</v>
      </c>
      <c r="B4501" s="1" t="s">
        <v>4225</v>
      </c>
      <c r="C4501" s="1" t="s">
        <v>334</v>
      </c>
      <c r="D4501" s="1" t="s">
        <v>229</v>
      </c>
      <c r="E4501" s="1" t="s">
        <v>500</v>
      </c>
    </row>
    <row r="4502" spans="1:5" ht="16">
      <c r="A4502" s="1" t="s">
        <v>4221</v>
      </c>
      <c r="B4502" s="1" t="s">
        <v>4226</v>
      </c>
      <c r="C4502" s="1" t="s">
        <v>334</v>
      </c>
      <c r="D4502" s="1" t="s">
        <v>229</v>
      </c>
      <c r="E4502" s="1" t="s">
        <v>500</v>
      </c>
    </row>
    <row r="4503" spans="1:5" ht="16">
      <c r="A4503" s="1" t="s">
        <v>4221</v>
      </c>
      <c r="B4503" s="1" t="s">
        <v>4227</v>
      </c>
      <c r="C4503" s="1" t="s">
        <v>334</v>
      </c>
      <c r="D4503" s="1" t="s">
        <v>229</v>
      </c>
      <c r="E4503" s="1" t="s">
        <v>500</v>
      </c>
    </row>
    <row r="4504" spans="1:5" ht="16">
      <c r="A4504" s="1" t="s">
        <v>4221</v>
      </c>
      <c r="B4504" s="1" t="s">
        <v>4226</v>
      </c>
      <c r="C4504" s="1" t="s">
        <v>334</v>
      </c>
      <c r="D4504" s="1" t="s">
        <v>229</v>
      </c>
      <c r="E4504" s="1" t="s">
        <v>500</v>
      </c>
    </row>
    <row r="4505" spans="1:5" ht="16">
      <c r="A4505" s="1" t="s">
        <v>4221</v>
      </c>
      <c r="B4505" s="1" t="s">
        <v>4227</v>
      </c>
      <c r="C4505" s="1" t="s">
        <v>334</v>
      </c>
      <c r="D4505" s="1" t="s">
        <v>229</v>
      </c>
      <c r="E4505" s="1" t="s">
        <v>500</v>
      </c>
    </row>
    <row r="4506" spans="1:5" ht="16">
      <c r="A4506" s="1" t="s">
        <v>4221</v>
      </c>
      <c r="B4506" s="1" t="s">
        <v>4224</v>
      </c>
      <c r="C4506" s="1" t="s">
        <v>334</v>
      </c>
      <c r="D4506" s="1" t="s">
        <v>229</v>
      </c>
      <c r="E4506" s="1" t="s">
        <v>500</v>
      </c>
    </row>
    <row r="4507" spans="1:5" ht="16">
      <c r="A4507" s="1" t="s">
        <v>4221</v>
      </c>
      <c r="B4507" s="1" t="s">
        <v>4228</v>
      </c>
      <c r="C4507" s="1" t="s">
        <v>332</v>
      </c>
      <c r="D4507" s="1" t="s">
        <v>229</v>
      </c>
      <c r="E4507" s="1"/>
    </row>
    <row r="4508" spans="1:5" ht="16">
      <c r="A4508" s="1" t="s">
        <v>4221</v>
      </c>
      <c r="B4508" s="1" t="s">
        <v>4026</v>
      </c>
      <c r="C4508" s="1" t="s">
        <v>332</v>
      </c>
      <c r="D4508" s="1" t="s">
        <v>229</v>
      </c>
      <c r="E4508" s="1"/>
    </row>
    <row r="4509" spans="1:5" ht="16">
      <c r="A4509" s="1" t="s">
        <v>4221</v>
      </c>
      <c r="B4509" s="1" t="s">
        <v>4027</v>
      </c>
      <c r="C4509" s="1" t="s">
        <v>332</v>
      </c>
      <c r="D4509" s="1" t="s">
        <v>229</v>
      </c>
      <c r="E4509" s="1"/>
    </row>
    <row r="4510" spans="1:5" ht="16">
      <c r="A4510" s="1" t="s">
        <v>4229</v>
      </c>
      <c r="B4510" s="1" t="s">
        <v>4230</v>
      </c>
      <c r="C4510" s="1" t="s">
        <v>334</v>
      </c>
      <c r="D4510" s="1" t="s">
        <v>229</v>
      </c>
      <c r="E4510" s="1" t="s">
        <v>500</v>
      </c>
    </row>
    <row r="4511" spans="1:5" ht="16">
      <c r="A4511" s="1" t="s">
        <v>4229</v>
      </c>
      <c r="B4511" s="1" t="s">
        <v>4231</v>
      </c>
      <c r="C4511" s="1" t="s">
        <v>334</v>
      </c>
      <c r="D4511" s="1" t="s">
        <v>229</v>
      </c>
      <c r="E4511" s="1" t="s">
        <v>500</v>
      </c>
    </row>
    <row r="4512" spans="1:5" ht="16">
      <c r="A4512" s="1" t="s">
        <v>4229</v>
      </c>
      <c r="B4512" s="1" t="s">
        <v>4232</v>
      </c>
      <c r="C4512" s="1" t="s">
        <v>334</v>
      </c>
      <c r="D4512" s="1" t="s">
        <v>229</v>
      </c>
      <c r="E4512" s="1" t="s">
        <v>500</v>
      </c>
    </row>
    <row r="4513" spans="1:5" ht="16">
      <c r="A4513" s="1" t="s">
        <v>4229</v>
      </c>
      <c r="B4513" s="1" t="s">
        <v>4233</v>
      </c>
      <c r="C4513" s="1" t="s">
        <v>334</v>
      </c>
      <c r="D4513" s="1" t="s">
        <v>229</v>
      </c>
      <c r="E4513" s="1" t="s">
        <v>500</v>
      </c>
    </row>
    <row r="4514" spans="1:5" ht="16">
      <c r="A4514" s="1" t="s">
        <v>4229</v>
      </c>
      <c r="B4514" s="1" t="s">
        <v>4234</v>
      </c>
      <c r="C4514" s="1" t="s">
        <v>334</v>
      </c>
      <c r="D4514" s="1" t="s">
        <v>229</v>
      </c>
      <c r="E4514" s="1"/>
    </row>
    <row r="4515" spans="1:5" ht="16">
      <c r="A4515" s="1" t="s">
        <v>4229</v>
      </c>
      <c r="B4515" s="1" t="s">
        <v>4235</v>
      </c>
      <c r="C4515" s="1" t="s">
        <v>334</v>
      </c>
      <c r="D4515" s="1" t="s">
        <v>229</v>
      </c>
      <c r="E4515" s="1"/>
    </row>
    <row r="4516" spans="1:5" ht="16">
      <c r="A4516" s="1" t="s">
        <v>4229</v>
      </c>
      <c r="B4516" s="1" t="s">
        <v>4236</v>
      </c>
      <c r="C4516" s="1" t="s">
        <v>334</v>
      </c>
      <c r="D4516" s="1" t="s">
        <v>229</v>
      </c>
      <c r="E4516" s="1"/>
    </row>
    <row r="4517" spans="1:5" ht="16">
      <c r="A4517" s="1" t="s">
        <v>4229</v>
      </c>
      <c r="B4517" s="1" t="s">
        <v>4237</v>
      </c>
      <c r="C4517" s="1" t="s">
        <v>334</v>
      </c>
      <c r="D4517" s="1" t="s">
        <v>229</v>
      </c>
      <c r="E4517" s="1"/>
    </row>
    <row r="4518" spans="1:5" ht="16">
      <c r="A4518" s="1" t="s">
        <v>4229</v>
      </c>
      <c r="B4518" s="1" t="s">
        <v>4238</v>
      </c>
      <c r="C4518" s="1" t="s">
        <v>334</v>
      </c>
      <c r="D4518" s="1" t="s">
        <v>229</v>
      </c>
      <c r="E4518" s="1"/>
    </row>
    <row r="4519" spans="1:5" ht="16">
      <c r="A4519" s="1" t="s">
        <v>4229</v>
      </c>
      <c r="B4519" s="1" t="s">
        <v>4239</v>
      </c>
      <c r="C4519" s="1" t="s">
        <v>334</v>
      </c>
      <c r="D4519" s="1" t="s">
        <v>229</v>
      </c>
      <c r="E4519" s="1" t="s">
        <v>500</v>
      </c>
    </row>
    <row r="4520" spans="1:5" ht="16">
      <c r="A4520" s="1" t="s">
        <v>4229</v>
      </c>
      <c r="B4520" s="1" t="s">
        <v>4240</v>
      </c>
      <c r="C4520" s="1" t="s">
        <v>334</v>
      </c>
      <c r="D4520" s="1" t="s">
        <v>229</v>
      </c>
      <c r="E4520" s="1" t="s">
        <v>500</v>
      </c>
    </row>
    <row r="4521" spans="1:5" ht="16">
      <c r="A4521" s="1" t="s">
        <v>4229</v>
      </c>
      <c r="B4521" s="1" t="s">
        <v>4241</v>
      </c>
      <c r="C4521" s="1" t="s">
        <v>334</v>
      </c>
      <c r="D4521" s="1" t="s">
        <v>229</v>
      </c>
      <c r="E4521" s="1" t="s">
        <v>500</v>
      </c>
    </row>
    <row r="4522" spans="1:5" ht="16">
      <c r="A4522" s="1" t="s">
        <v>4229</v>
      </c>
      <c r="B4522" s="1" t="s">
        <v>4242</v>
      </c>
      <c r="C4522" s="1" t="s">
        <v>334</v>
      </c>
      <c r="D4522" s="1" t="s">
        <v>229</v>
      </c>
      <c r="E4522" s="1" t="s">
        <v>500</v>
      </c>
    </row>
    <row r="4523" spans="1:5" ht="16">
      <c r="A4523" s="1" t="s">
        <v>4229</v>
      </c>
      <c r="B4523" s="1" t="s">
        <v>4243</v>
      </c>
      <c r="C4523" s="1" t="s">
        <v>334</v>
      </c>
      <c r="D4523" s="1" t="s">
        <v>229</v>
      </c>
      <c r="E4523" s="1"/>
    </row>
    <row r="4524" spans="1:5" ht="16">
      <c r="A4524" s="1" t="s">
        <v>4229</v>
      </c>
      <c r="B4524" s="1" t="s">
        <v>4244</v>
      </c>
      <c r="C4524" s="1" t="s">
        <v>334</v>
      </c>
      <c r="D4524" s="1" t="s">
        <v>229</v>
      </c>
      <c r="E4524" s="1"/>
    </row>
    <row r="4525" spans="1:5" ht="16">
      <c r="A4525" s="1" t="s">
        <v>4229</v>
      </c>
      <c r="B4525" s="1" t="s">
        <v>4245</v>
      </c>
      <c r="C4525" s="1" t="s">
        <v>334</v>
      </c>
      <c r="D4525" s="1" t="s">
        <v>229</v>
      </c>
      <c r="E4525" s="1" t="s">
        <v>500</v>
      </c>
    </row>
    <row r="4526" spans="1:5" ht="16">
      <c r="A4526" s="1" t="s">
        <v>4229</v>
      </c>
      <c r="B4526" s="1" t="s">
        <v>4246</v>
      </c>
      <c r="C4526" s="1" t="s">
        <v>334</v>
      </c>
      <c r="D4526" s="1" t="s">
        <v>229</v>
      </c>
      <c r="E4526" s="1" t="s">
        <v>500</v>
      </c>
    </row>
    <row r="4527" spans="1:5" ht="16">
      <c r="A4527" s="1" t="s">
        <v>4229</v>
      </c>
      <c r="B4527" s="1" t="s">
        <v>4247</v>
      </c>
      <c r="C4527" s="1" t="s">
        <v>334</v>
      </c>
      <c r="D4527" s="1" t="s">
        <v>229</v>
      </c>
      <c r="E4527" s="1"/>
    </row>
    <row r="4528" spans="1:5" ht="16">
      <c r="A4528" s="1" t="s">
        <v>4229</v>
      </c>
      <c r="B4528" s="1" t="s">
        <v>4248</v>
      </c>
      <c r="C4528" s="1" t="s">
        <v>334</v>
      </c>
      <c r="D4528" s="1" t="s">
        <v>229</v>
      </c>
      <c r="E4528" s="1"/>
    </row>
    <row r="4529" spans="1:5" ht="16">
      <c r="A4529" s="1" t="s">
        <v>4229</v>
      </c>
      <c r="B4529" s="1" t="s">
        <v>4249</v>
      </c>
      <c r="C4529" s="1" t="s">
        <v>334</v>
      </c>
      <c r="D4529" s="1" t="s">
        <v>229</v>
      </c>
      <c r="E4529" s="1" t="s">
        <v>500</v>
      </c>
    </row>
    <row r="4530" spans="1:5" ht="16">
      <c r="A4530" s="1" t="s">
        <v>4229</v>
      </c>
      <c r="B4530" s="1" t="s">
        <v>4250</v>
      </c>
      <c r="C4530" s="1" t="s">
        <v>334</v>
      </c>
      <c r="D4530" s="1" t="s">
        <v>229</v>
      </c>
      <c r="E4530" s="1" t="s">
        <v>500</v>
      </c>
    </row>
    <row r="4531" spans="1:5" ht="16">
      <c r="A4531" s="1" t="s">
        <v>4229</v>
      </c>
      <c r="B4531" s="1" t="s">
        <v>4251</v>
      </c>
      <c r="C4531" s="1" t="s">
        <v>334</v>
      </c>
      <c r="D4531" s="1" t="s">
        <v>229</v>
      </c>
      <c r="E4531" s="1" t="s">
        <v>500</v>
      </c>
    </row>
    <row r="4532" spans="1:5" ht="16">
      <c r="A4532" s="1" t="s">
        <v>4229</v>
      </c>
      <c r="B4532" s="1" t="s">
        <v>4252</v>
      </c>
      <c r="C4532" s="1" t="s">
        <v>334</v>
      </c>
      <c r="D4532" s="1" t="s">
        <v>229</v>
      </c>
      <c r="E4532" s="1" t="s">
        <v>500</v>
      </c>
    </row>
    <row r="4533" spans="1:5" ht="16">
      <c r="A4533" s="1" t="s">
        <v>4229</v>
      </c>
      <c r="B4533" s="1" t="s">
        <v>4253</v>
      </c>
      <c r="C4533" s="1" t="s">
        <v>334</v>
      </c>
      <c r="D4533" s="1" t="s">
        <v>229</v>
      </c>
      <c r="E4533" s="1" t="s">
        <v>500</v>
      </c>
    </row>
    <row r="4534" spans="1:5" ht="16">
      <c r="A4534" s="1" t="s">
        <v>4229</v>
      </c>
      <c r="B4534" s="1" t="s">
        <v>4254</v>
      </c>
      <c r="C4534" s="1" t="s">
        <v>334</v>
      </c>
      <c r="D4534" s="1" t="s">
        <v>229</v>
      </c>
      <c r="E4534" s="1" t="s">
        <v>500</v>
      </c>
    </row>
    <row r="4535" spans="1:5" ht="16">
      <c r="A4535" s="1" t="s">
        <v>4229</v>
      </c>
      <c r="B4535" s="1" t="s">
        <v>4255</v>
      </c>
      <c r="C4535" s="1" t="s">
        <v>334</v>
      </c>
      <c r="D4535" s="1" t="s">
        <v>229</v>
      </c>
      <c r="E4535" s="1" t="s">
        <v>500</v>
      </c>
    </row>
    <row r="4536" spans="1:5" ht="16">
      <c r="A4536" s="1" t="s">
        <v>4229</v>
      </c>
      <c r="B4536" s="1" t="s">
        <v>4256</v>
      </c>
      <c r="C4536" s="1" t="s">
        <v>334</v>
      </c>
      <c r="D4536" s="1" t="s">
        <v>229</v>
      </c>
      <c r="E4536" s="1" t="s">
        <v>500</v>
      </c>
    </row>
    <row r="4537" spans="1:5" ht="16">
      <c r="A4537" s="1" t="s">
        <v>4229</v>
      </c>
      <c r="B4537" s="1" t="s">
        <v>4257</v>
      </c>
      <c r="C4537" s="1" t="s">
        <v>334</v>
      </c>
      <c r="D4537" s="1" t="s">
        <v>229</v>
      </c>
      <c r="E4537" s="1"/>
    </row>
    <row r="4538" spans="1:5" ht="16">
      <c r="A4538" s="1" t="s">
        <v>4229</v>
      </c>
      <c r="B4538" s="1" t="s">
        <v>4258</v>
      </c>
      <c r="C4538" s="1" t="s">
        <v>334</v>
      </c>
      <c r="D4538" s="1" t="s">
        <v>229</v>
      </c>
      <c r="E4538" s="1" t="s">
        <v>500</v>
      </c>
    </row>
    <row r="4539" spans="1:5" ht="16">
      <c r="A4539" s="1" t="s">
        <v>4229</v>
      </c>
      <c r="B4539" s="1" t="s">
        <v>4259</v>
      </c>
      <c r="C4539" s="1" t="s">
        <v>334</v>
      </c>
      <c r="D4539" s="1" t="s">
        <v>229</v>
      </c>
      <c r="E4539" s="1"/>
    </row>
    <row r="4540" spans="1:5" ht="16">
      <c r="A4540" s="1" t="s">
        <v>4229</v>
      </c>
      <c r="B4540" s="1" t="s">
        <v>4260</v>
      </c>
      <c r="C4540" s="1" t="s">
        <v>334</v>
      </c>
      <c r="D4540" s="1" t="s">
        <v>229</v>
      </c>
      <c r="E4540" s="1"/>
    </row>
    <row r="4541" spans="1:5" ht="16">
      <c r="A4541" s="1" t="s">
        <v>4229</v>
      </c>
      <c r="B4541" s="1" t="s">
        <v>4261</v>
      </c>
      <c r="C4541" s="1" t="s">
        <v>334</v>
      </c>
      <c r="D4541" s="1" t="s">
        <v>229</v>
      </c>
      <c r="E4541" s="1" t="s">
        <v>500</v>
      </c>
    </row>
    <row r="4542" spans="1:5" ht="16">
      <c r="A4542" s="1" t="s">
        <v>4229</v>
      </c>
      <c r="B4542" s="1" t="s">
        <v>4262</v>
      </c>
      <c r="C4542" s="1" t="s">
        <v>334</v>
      </c>
      <c r="D4542" s="1" t="s">
        <v>229</v>
      </c>
      <c r="E4542" s="1"/>
    </row>
    <row r="4543" spans="1:5" ht="16">
      <c r="A4543" s="1" t="s">
        <v>4229</v>
      </c>
      <c r="B4543" s="1" t="s">
        <v>4263</v>
      </c>
      <c r="C4543" s="1" t="s">
        <v>334</v>
      </c>
      <c r="D4543" s="1" t="s">
        <v>229</v>
      </c>
      <c r="E4543" s="1"/>
    </row>
    <row r="4544" spans="1:5" ht="16">
      <c r="A4544" s="1" t="s">
        <v>4229</v>
      </c>
      <c r="B4544" s="1" t="s">
        <v>4264</v>
      </c>
      <c r="C4544" s="1" t="s">
        <v>334</v>
      </c>
      <c r="D4544" s="1" t="s">
        <v>229</v>
      </c>
      <c r="E4544" s="1"/>
    </row>
    <row r="4545" spans="1:5" ht="16">
      <c r="A4545" s="1" t="s">
        <v>4229</v>
      </c>
      <c r="B4545" s="1" t="s">
        <v>4265</v>
      </c>
      <c r="C4545" s="1" t="s">
        <v>334</v>
      </c>
      <c r="D4545" s="1" t="s">
        <v>229</v>
      </c>
      <c r="E4545" s="1"/>
    </row>
    <row r="4546" spans="1:5" ht="16">
      <c r="A4546" s="1" t="s">
        <v>4229</v>
      </c>
      <c r="B4546" s="1" t="s">
        <v>4266</v>
      </c>
      <c r="C4546" s="1" t="s">
        <v>334</v>
      </c>
      <c r="D4546" s="1" t="s">
        <v>229</v>
      </c>
      <c r="E4546" s="1"/>
    </row>
    <row r="4547" spans="1:5" ht="16">
      <c r="A4547" s="1" t="s">
        <v>4229</v>
      </c>
      <c r="B4547" s="1" t="s">
        <v>4267</v>
      </c>
      <c r="C4547" s="1" t="s">
        <v>334</v>
      </c>
      <c r="D4547" s="1" t="s">
        <v>229</v>
      </c>
      <c r="E4547" s="1"/>
    </row>
    <row r="4548" spans="1:5" ht="16">
      <c r="A4548" s="1" t="s">
        <v>4229</v>
      </c>
      <c r="B4548" s="1" t="s">
        <v>4268</v>
      </c>
      <c r="C4548" s="1" t="s">
        <v>334</v>
      </c>
      <c r="D4548" s="1" t="s">
        <v>229</v>
      </c>
      <c r="E4548" s="1"/>
    </row>
    <row r="4549" spans="1:5" ht="16">
      <c r="A4549" s="1" t="s">
        <v>4229</v>
      </c>
      <c r="B4549" s="1" t="s">
        <v>4269</v>
      </c>
      <c r="C4549" s="1" t="s">
        <v>334</v>
      </c>
      <c r="D4549" s="1" t="s">
        <v>229</v>
      </c>
      <c r="E4549" s="1"/>
    </row>
    <row r="4550" spans="1:5" ht="16">
      <c r="A4550" s="1" t="s">
        <v>4229</v>
      </c>
      <c r="B4550" s="1" t="s">
        <v>4270</v>
      </c>
      <c r="C4550" s="1" t="s">
        <v>334</v>
      </c>
      <c r="D4550" s="1" t="s">
        <v>229</v>
      </c>
      <c r="E4550" s="1"/>
    </row>
    <row r="4551" spans="1:5" ht="16">
      <c r="A4551" s="1" t="s">
        <v>4229</v>
      </c>
      <c r="B4551" s="1" t="s">
        <v>4271</v>
      </c>
      <c r="C4551" s="1" t="s">
        <v>334</v>
      </c>
      <c r="D4551" s="1" t="s">
        <v>229</v>
      </c>
      <c r="E4551" s="1"/>
    </row>
    <row r="4552" spans="1:5" ht="16">
      <c r="A4552" s="1" t="s">
        <v>4229</v>
      </c>
      <c r="B4552" s="1" t="s">
        <v>4272</v>
      </c>
      <c r="C4552" s="1" t="s">
        <v>334</v>
      </c>
      <c r="D4552" s="1" t="s">
        <v>229</v>
      </c>
      <c r="E4552" s="1"/>
    </row>
    <row r="4553" spans="1:5" ht="16">
      <c r="A4553" s="1" t="s">
        <v>4229</v>
      </c>
      <c r="B4553" s="1" t="s">
        <v>4273</v>
      </c>
      <c r="C4553" s="1" t="s">
        <v>334</v>
      </c>
      <c r="D4553" s="1" t="s">
        <v>229</v>
      </c>
      <c r="E4553" s="1"/>
    </row>
    <row r="4554" spans="1:5" ht="16">
      <c r="A4554" s="1" t="s">
        <v>4229</v>
      </c>
      <c r="B4554" s="1" t="s">
        <v>4274</v>
      </c>
      <c r="C4554" s="1" t="s">
        <v>334</v>
      </c>
      <c r="D4554" s="1" t="s">
        <v>229</v>
      </c>
      <c r="E4554" s="1"/>
    </row>
    <row r="4555" spans="1:5" ht="16">
      <c r="A4555" s="1" t="s">
        <v>4229</v>
      </c>
      <c r="B4555" s="1" t="s">
        <v>4275</v>
      </c>
      <c r="C4555" s="1" t="s">
        <v>334</v>
      </c>
      <c r="D4555" s="1" t="s">
        <v>229</v>
      </c>
      <c r="E4555" s="1"/>
    </row>
    <row r="4556" spans="1:5" ht="16">
      <c r="A4556" s="1" t="s">
        <v>4229</v>
      </c>
      <c r="B4556" s="1" t="s">
        <v>4276</v>
      </c>
      <c r="C4556" s="1" t="s">
        <v>334</v>
      </c>
      <c r="D4556" s="1" t="s">
        <v>229</v>
      </c>
      <c r="E4556" s="1"/>
    </row>
    <row r="4557" spans="1:5" ht="16">
      <c r="A4557" s="1" t="s">
        <v>4229</v>
      </c>
      <c r="B4557" s="1" t="s">
        <v>4277</v>
      </c>
      <c r="C4557" s="1" t="s">
        <v>334</v>
      </c>
      <c r="D4557" s="1" t="s">
        <v>229</v>
      </c>
      <c r="E4557" s="1"/>
    </row>
    <row r="4558" spans="1:5" ht="16">
      <c r="A4558" s="1" t="s">
        <v>4229</v>
      </c>
      <c r="B4558" s="1" t="s">
        <v>4278</v>
      </c>
      <c r="C4558" s="1" t="s">
        <v>334</v>
      </c>
      <c r="D4558" s="1" t="s">
        <v>229</v>
      </c>
      <c r="E4558" s="1"/>
    </row>
    <row r="4559" spans="1:5" ht="16">
      <c r="A4559" s="1" t="s">
        <v>4229</v>
      </c>
      <c r="B4559" s="1" t="s">
        <v>4279</v>
      </c>
      <c r="C4559" s="1" t="s">
        <v>334</v>
      </c>
      <c r="D4559" s="1" t="s">
        <v>229</v>
      </c>
      <c r="E4559" s="1"/>
    </row>
    <row r="4560" spans="1:5" ht="16">
      <c r="A4560" s="1" t="s">
        <v>4229</v>
      </c>
      <c r="B4560" s="1" t="s">
        <v>4280</v>
      </c>
      <c r="C4560" s="1" t="s">
        <v>334</v>
      </c>
      <c r="D4560" s="1" t="s">
        <v>229</v>
      </c>
      <c r="E4560" s="1"/>
    </row>
    <row r="4561" spans="1:5" ht="16">
      <c r="A4561" s="1" t="s">
        <v>4229</v>
      </c>
      <c r="B4561" s="1" t="s">
        <v>4281</v>
      </c>
      <c r="C4561" s="1" t="s">
        <v>334</v>
      </c>
      <c r="D4561" s="1" t="s">
        <v>229</v>
      </c>
      <c r="E4561" s="1"/>
    </row>
    <row r="4562" spans="1:5" ht="16">
      <c r="A4562" s="1" t="s">
        <v>4229</v>
      </c>
      <c r="B4562" s="1" t="s">
        <v>4282</v>
      </c>
      <c r="C4562" s="1" t="s">
        <v>334</v>
      </c>
      <c r="D4562" s="1" t="s">
        <v>229</v>
      </c>
      <c r="E4562" s="1"/>
    </row>
    <row r="4563" spans="1:5" ht="16">
      <c r="A4563" s="1" t="s">
        <v>4229</v>
      </c>
      <c r="B4563" s="1" t="s">
        <v>4283</v>
      </c>
      <c r="C4563" s="1" t="s">
        <v>334</v>
      </c>
      <c r="D4563" s="1" t="s">
        <v>229</v>
      </c>
      <c r="E4563" s="1"/>
    </row>
    <row r="4564" spans="1:5" ht="16">
      <c r="A4564" s="1" t="s">
        <v>4229</v>
      </c>
      <c r="B4564" s="1" t="s">
        <v>4284</v>
      </c>
      <c r="C4564" s="1" t="s">
        <v>334</v>
      </c>
      <c r="D4564" s="1" t="s">
        <v>229</v>
      </c>
      <c r="E4564" s="1"/>
    </row>
    <row r="4565" spans="1:5" ht="16">
      <c r="A4565" s="1" t="s">
        <v>4229</v>
      </c>
      <c r="B4565" s="1" t="s">
        <v>4285</v>
      </c>
      <c r="C4565" s="1" t="s">
        <v>334</v>
      </c>
      <c r="D4565" s="1" t="s">
        <v>229</v>
      </c>
      <c r="E4565" s="1"/>
    </row>
    <row r="4566" spans="1:5" ht="16">
      <c r="A4566" s="1" t="s">
        <v>4229</v>
      </c>
      <c r="B4566" s="1" t="s">
        <v>4286</v>
      </c>
      <c r="C4566" s="1" t="s">
        <v>334</v>
      </c>
      <c r="D4566" s="1" t="s">
        <v>229</v>
      </c>
      <c r="E4566" s="1"/>
    </row>
    <row r="4567" spans="1:5" ht="16">
      <c r="A4567" s="1" t="s">
        <v>4229</v>
      </c>
      <c r="B4567" s="1" t="s">
        <v>4287</v>
      </c>
      <c r="C4567" s="1" t="s">
        <v>334</v>
      </c>
      <c r="D4567" s="1" t="s">
        <v>229</v>
      </c>
      <c r="E4567" s="1"/>
    </row>
    <row r="4568" spans="1:5" ht="16">
      <c r="A4568" s="1" t="s">
        <v>4229</v>
      </c>
      <c r="B4568" s="1" t="s">
        <v>4288</v>
      </c>
      <c r="C4568" s="1" t="s">
        <v>334</v>
      </c>
      <c r="D4568" s="1" t="s">
        <v>229</v>
      </c>
      <c r="E4568" s="1"/>
    </row>
    <row r="4569" spans="1:5" ht="16">
      <c r="A4569" s="1" t="s">
        <v>4229</v>
      </c>
      <c r="B4569" s="1" t="s">
        <v>4289</v>
      </c>
      <c r="C4569" s="1" t="s">
        <v>334</v>
      </c>
      <c r="D4569" s="1" t="s">
        <v>229</v>
      </c>
      <c r="E4569" s="1"/>
    </row>
    <row r="4570" spans="1:5" ht="16">
      <c r="A4570" s="1" t="s">
        <v>4229</v>
      </c>
      <c r="B4570" s="1" t="s">
        <v>4290</v>
      </c>
      <c r="C4570" s="1" t="s">
        <v>334</v>
      </c>
      <c r="D4570" s="1" t="s">
        <v>229</v>
      </c>
      <c r="E4570" s="1"/>
    </row>
    <row r="4571" spans="1:5" ht="16">
      <c r="A4571" s="1" t="s">
        <v>4229</v>
      </c>
      <c r="B4571" s="1" t="s">
        <v>4291</v>
      </c>
      <c r="C4571" s="1" t="s">
        <v>334</v>
      </c>
      <c r="D4571" s="1" t="s">
        <v>229</v>
      </c>
      <c r="E4571" s="1"/>
    </row>
    <row r="4572" spans="1:5" ht="16">
      <c r="A4572" s="1" t="s">
        <v>4229</v>
      </c>
      <c r="B4572" s="1" t="s">
        <v>4292</v>
      </c>
      <c r="C4572" s="1" t="s">
        <v>334</v>
      </c>
      <c r="D4572" s="1" t="s">
        <v>229</v>
      </c>
      <c r="E4572" s="1"/>
    </row>
    <row r="4573" spans="1:5" ht="16">
      <c r="A4573" s="1" t="s">
        <v>4229</v>
      </c>
      <c r="B4573" s="1" t="s">
        <v>4293</v>
      </c>
      <c r="C4573" s="1" t="s">
        <v>334</v>
      </c>
      <c r="D4573" s="1" t="s">
        <v>229</v>
      </c>
      <c r="E4573" s="1"/>
    </row>
    <row r="4574" spans="1:5" ht="16">
      <c r="A4574" s="1" t="s">
        <v>4229</v>
      </c>
      <c r="B4574" s="1" t="s">
        <v>4294</v>
      </c>
      <c r="C4574" s="1" t="s">
        <v>334</v>
      </c>
      <c r="D4574" s="1" t="s">
        <v>229</v>
      </c>
      <c r="E4574" s="1"/>
    </row>
    <row r="4575" spans="1:5" ht="16">
      <c r="A4575" s="1" t="s">
        <v>4229</v>
      </c>
      <c r="B4575" s="1" t="s">
        <v>4295</v>
      </c>
      <c r="C4575" s="1" t="s">
        <v>334</v>
      </c>
      <c r="D4575" s="1" t="s">
        <v>229</v>
      </c>
      <c r="E4575" s="1"/>
    </row>
    <row r="4576" spans="1:5" ht="16">
      <c r="A4576" s="1" t="s">
        <v>4229</v>
      </c>
      <c r="B4576" s="1" t="s">
        <v>4296</v>
      </c>
      <c r="C4576" s="1" t="s">
        <v>334</v>
      </c>
      <c r="D4576" s="1" t="s">
        <v>229</v>
      </c>
      <c r="E4576" s="1"/>
    </row>
    <row r="4577" spans="1:5" ht="16">
      <c r="A4577" s="1" t="s">
        <v>4229</v>
      </c>
      <c r="B4577" s="1" t="s">
        <v>2907</v>
      </c>
      <c r="C4577" s="1" t="s">
        <v>334</v>
      </c>
      <c r="D4577" s="1" t="s">
        <v>229</v>
      </c>
      <c r="E4577" s="1"/>
    </row>
    <row r="4578" spans="1:5" ht="16">
      <c r="A4578" s="1" t="s">
        <v>4229</v>
      </c>
      <c r="B4578" s="1" t="s">
        <v>4297</v>
      </c>
      <c r="C4578" s="1" t="s">
        <v>334</v>
      </c>
      <c r="D4578" s="1" t="s">
        <v>229</v>
      </c>
      <c r="E4578" s="1"/>
    </row>
    <row r="4579" spans="1:5" ht="16">
      <c r="A4579" s="1" t="s">
        <v>4229</v>
      </c>
      <c r="B4579" s="1" t="s">
        <v>4298</v>
      </c>
      <c r="C4579" s="1" t="s">
        <v>334</v>
      </c>
      <c r="D4579" s="1" t="s">
        <v>229</v>
      </c>
      <c r="E4579" s="1"/>
    </row>
    <row r="4580" spans="1:5" ht="16">
      <c r="A4580" s="1" t="s">
        <v>4229</v>
      </c>
      <c r="B4580" s="1" t="s">
        <v>4299</v>
      </c>
      <c r="C4580" s="1" t="s">
        <v>334</v>
      </c>
      <c r="D4580" s="1" t="s">
        <v>229</v>
      </c>
      <c r="E4580" s="1"/>
    </row>
    <row r="4581" spans="1:5" ht="16">
      <c r="A4581" s="1" t="s">
        <v>4229</v>
      </c>
      <c r="B4581" s="1" t="s">
        <v>4300</v>
      </c>
      <c r="C4581" s="1" t="s">
        <v>334</v>
      </c>
      <c r="D4581" s="1" t="s">
        <v>229</v>
      </c>
      <c r="E4581" s="1"/>
    </row>
    <row r="4582" spans="1:5" ht="16">
      <c r="A4582" s="1" t="s">
        <v>4229</v>
      </c>
      <c r="B4582" s="1" t="s">
        <v>4301</v>
      </c>
      <c r="C4582" s="1" t="s">
        <v>334</v>
      </c>
      <c r="D4582" s="1" t="s">
        <v>229</v>
      </c>
      <c r="E4582" s="1"/>
    </row>
    <row r="4583" spans="1:5" ht="16">
      <c r="A4583" s="1" t="s">
        <v>4229</v>
      </c>
      <c r="B4583" s="1" t="s">
        <v>4302</v>
      </c>
      <c r="C4583" s="1" t="s">
        <v>334</v>
      </c>
      <c r="D4583" s="1" t="s">
        <v>229</v>
      </c>
      <c r="E4583" s="1"/>
    </row>
    <row r="4584" spans="1:5" ht="16">
      <c r="A4584" s="1" t="s">
        <v>4229</v>
      </c>
      <c r="B4584" s="1" t="s">
        <v>4303</v>
      </c>
      <c r="C4584" s="1" t="s">
        <v>334</v>
      </c>
      <c r="D4584" s="1" t="s">
        <v>229</v>
      </c>
      <c r="E4584" s="1"/>
    </row>
    <row r="4585" spans="1:5" ht="16">
      <c r="A4585" s="1" t="s">
        <v>4229</v>
      </c>
      <c r="B4585" s="1" t="s">
        <v>4304</v>
      </c>
      <c r="C4585" s="1" t="s">
        <v>334</v>
      </c>
      <c r="D4585" s="1" t="s">
        <v>229</v>
      </c>
      <c r="E4585" s="1"/>
    </row>
    <row r="4586" spans="1:5" ht="16">
      <c r="A4586" s="1" t="s">
        <v>4229</v>
      </c>
      <c r="B4586" s="1" t="s">
        <v>4305</v>
      </c>
      <c r="C4586" s="1" t="s">
        <v>334</v>
      </c>
      <c r="D4586" s="1" t="s">
        <v>229</v>
      </c>
      <c r="E4586" s="1"/>
    </row>
    <row r="4587" spans="1:5" ht="16">
      <c r="A4587" s="1" t="s">
        <v>4229</v>
      </c>
      <c r="B4587" s="1" t="s">
        <v>4306</v>
      </c>
      <c r="C4587" s="1" t="s">
        <v>334</v>
      </c>
      <c r="D4587" s="1" t="s">
        <v>229</v>
      </c>
      <c r="E4587" s="1"/>
    </row>
    <row r="4588" spans="1:5" ht="16">
      <c r="A4588" s="1" t="s">
        <v>4229</v>
      </c>
      <c r="B4588" s="1" t="s">
        <v>4307</v>
      </c>
      <c r="C4588" s="1" t="s">
        <v>334</v>
      </c>
      <c r="D4588" s="1" t="s">
        <v>229</v>
      </c>
      <c r="E4588" s="1"/>
    </row>
    <row r="4589" spans="1:5" ht="16">
      <c r="A4589" s="1" t="s">
        <v>4229</v>
      </c>
      <c r="B4589" s="1" t="s">
        <v>4308</v>
      </c>
      <c r="C4589" s="1" t="s">
        <v>334</v>
      </c>
      <c r="D4589" s="1" t="s">
        <v>229</v>
      </c>
      <c r="E4589" s="1"/>
    </row>
    <row r="4590" spans="1:5" ht="16">
      <c r="A4590" s="1" t="s">
        <v>4229</v>
      </c>
      <c r="B4590" s="1" t="s">
        <v>4309</v>
      </c>
      <c r="C4590" s="1" t="s">
        <v>334</v>
      </c>
      <c r="D4590" s="1" t="s">
        <v>229</v>
      </c>
      <c r="E4590" s="1"/>
    </row>
    <row r="4591" spans="1:5" ht="16">
      <c r="A4591" s="1" t="s">
        <v>4229</v>
      </c>
      <c r="B4591" s="1" t="s">
        <v>4310</v>
      </c>
      <c r="C4591" s="1" t="s">
        <v>334</v>
      </c>
      <c r="D4591" s="1" t="s">
        <v>229</v>
      </c>
      <c r="E4591" s="1"/>
    </row>
    <row r="4592" spans="1:5" ht="16">
      <c r="A4592" s="1" t="s">
        <v>4229</v>
      </c>
      <c r="B4592" s="1" t="s">
        <v>4311</v>
      </c>
      <c r="C4592" s="1" t="s">
        <v>334</v>
      </c>
      <c r="D4592" s="1" t="s">
        <v>229</v>
      </c>
      <c r="E4592" s="1"/>
    </row>
    <row r="4593" spans="1:5" ht="16">
      <c r="A4593" s="1" t="s">
        <v>4229</v>
      </c>
      <c r="B4593" s="1" t="s">
        <v>4312</v>
      </c>
      <c r="C4593" s="1" t="s">
        <v>334</v>
      </c>
      <c r="D4593" s="1" t="s">
        <v>229</v>
      </c>
      <c r="E4593" s="1"/>
    </row>
    <row r="4594" spans="1:5" ht="16">
      <c r="A4594" s="1" t="s">
        <v>4229</v>
      </c>
      <c r="B4594" s="1" t="s">
        <v>4313</v>
      </c>
      <c r="C4594" s="1" t="s">
        <v>334</v>
      </c>
      <c r="D4594" s="1" t="s">
        <v>229</v>
      </c>
      <c r="E4594" s="1"/>
    </row>
    <row r="4595" spans="1:5" ht="16">
      <c r="A4595" s="1" t="s">
        <v>4229</v>
      </c>
      <c r="B4595" s="1" t="s">
        <v>4314</v>
      </c>
      <c r="C4595" s="1" t="s">
        <v>334</v>
      </c>
      <c r="D4595" s="1" t="s">
        <v>229</v>
      </c>
      <c r="E4595" s="1"/>
    </row>
    <row r="4596" spans="1:5" ht="16">
      <c r="A4596" s="1" t="s">
        <v>4229</v>
      </c>
      <c r="B4596" s="1" t="s">
        <v>4315</v>
      </c>
      <c r="C4596" s="1" t="s">
        <v>334</v>
      </c>
      <c r="D4596" s="1" t="s">
        <v>229</v>
      </c>
      <c r="E4596" s="1"/>
    </row>
    <row r="4597" spans="1:5" ht="16">
      <c r="A4597" s="1" t="s">
        <v>4229</v>
      </c>
      <c r="B4597" s="1" t="s">
        <v>4316</v>
      </c>
      <c r="C4597" s="1" t="s">
        <v>334</v>
      </c>
      <c r="D4597" s="1" t="s">
        <v>229</v>
      </c>
      <c r="E4597" s="1"/>
    </row>
    <row r="4598" spans="1:5" ht="16">
      <c r="A4598" s="1" t="s">
        <v>4229</v>
      </c>
      <c r="B4598" s="1" t="s">
        <v>4317</v>
      </c>
      <c r="C4598" s="1" t="s">
        <v>334</v>
      </c>
      <c r="D4598" s="1" t="s">
        <v>229</v>
      </c>
      <c r="E4598" s="1"/>
    </row>
    <row r="4599" spans="1:5" ht="16">
      <c r="A4599" s="1" t="s">
        <v>4229</v>
      </c>
      <c r="B4599" s="1" t="s">
        <v>4318</v>
      </c>
      <c r="C4599" s="1" t="s">
        <v>334</v>
      </c>
      <c r="D4599" s="1" t="s">
        <v>229</v>
      </c>
      <c r="E4599" s="1"/>
    </row>
    <row r="4600" spans="1:5" ht="16">
      <c r="A4600" s="1" t="s">
        <v>4229</v>
      </c>
      <c r="B4600" s="1" t="s">
        <v>4319</v>
      </c>
      <c r="C4600" s="1" t="s">
        <v>334</v>
      </c>
      <c r="D4600" s="1" t="s">
        <v>229</v>
      </c>
      <c r="E4600" s="1"/>
    </row>
    <row r="4601" spans="1:5" ht="16">
      <c r="A4601" s="1" t="s">
        <v>4229</v>
      </c>
      <c r="B4601" s="1" t="s">
        <v>4320</v>
      </c>
      <c r="C4601" s="1" t="s">
        <v>334</v>
      </c>
      <c r="D4601" s="1" t="s">
        <v>229</v>
      </c>
      <c r="E4601" s="1"/>
    </row>
    <row r="4602" spans="1:5" ht="16">
      <c r="A4602" s="1" t="s">
        <v>4229</v>
      </c>
      <c r="B4602" s="1" t="s">
        <v>4321</v>
      </c>
      <c r="C4602" s="1" t="s">
        <v>334</v>
      </c>
      <c r="D4602" s="1" t="s">
        <v>229</v>
      </c>
      <c r="E4602" s="1"/>
    </row>
    <row r="4603" spans="1:5" ht="16">
      <c r="A4603" s="1" t="s">
        <v>4229</v>
      </c>
      <c r="B4603" s="1" t="s">
        <v>4322</v>
      </c>
      <c r="C4603" s="1" t="s">
        <v>334</v>
      </c>
      <c r="D4603" s="1" t="s">
        <v>229</v>
      </c>
      <c r="E4603" s="1"/>
    </row>
    <row r="4604" spans="1:5" ht="16">
      <c r="A4604" s="1" t="s">
        <v>4229</v>
      </c>
      <c r="B4604" s="1" t="s">
        <v>4323</v>
      </c>
      <c r="C4604" s="1" t="s">
        <v>334</v>
      </c>
      <c r="D4604" s="1" t="s">
        <v>229</v>
      </c>
      <c r="E4604" s="1"/>
    </row>
    <row r="4605" spans="1:5" ht="16">
      <c r="A4605" s="1" t="s">
        <v>4229</v>
      </c>
      <c r="B4605" s="1" t="s">
        <v>4324</v>
      </c>
      <c r="C4605" s="1" t="s">
        <v>334</v>
      </c>
      <c r="D4605" s="1" t="s">
        <v>229</v>
      </c>
      <c r="E4605" s="1"/>
    </row>
    <row r="4606" spans="1:5" ht="16">
      <c r="A4606" s="1" t="s">
        <v>4229</v>
      </c>
      <c r="B4606" s="1" t="s">
        <v>4325</v>
      </c>
      <c r="C4606" s="1" t="s">
        <v>334</v>
      </c>
      <c r="D4606" s="1" t="s">
        <v>229</v>
      </c>
      <c r="E4606" s="1" t="s">
        <v>500</v>
      </c>
    </row>
    <row r="4607" spans="1:5" ht="16">
      <c r="A4607" s="1" t="s">
        <v>4229</v>
      </c>
      <c r="B4607" s="1" t="s">
        <v>4326</v>
      </c>
      <c r="C4607" s="1" t="s">
        <v>334</v>
      </c>
      <c r="D4607" s="1" t="s">
        <v>229</v>
      </c>
      <c r="E4607" s="1" t="s">
        <v>500</v>
      </c>
    </row>
    <row r="4608" spans="1:5" ht="16">
      <c r="A4608" s="1" t="s">
        <v>4229</v>
      </c>
      <c r="B4608" s="1" t="s">
        <v>4327</v>
      </c>
      <c r="C4608" s="1" t="s">
        <v>334</v>
      </c>
      <c r="D4608" s="1" t="s">
        <v>229</v>
      </c>
      <c r="E4608" s="1" t="s">
        <v>500</v>
      </c>
    </row>
    <row r="4609" spans="1:5" ht="16">
      <c r="A4609" s="1" t="s">
        <v>4229</v>
      </c>
      <c r="B4609" s="1" t="s">
        <v>4328</v>
      </c>
      <c r="C4609" s="1" t="s">
        <v>334</v>
      </c>
      <c r="D4609" s="1" t="s">
        <v>229</v>
      </c>
      <c r="E4609" s="1" t="s">
        <v>500</v>
      </c>
    </row>
    <row r="4610" spans="1:5" ht="16">
      <c r="A4610" s="1" t="s">
        <v>4229</v>
      </c>
      <c r="B4610" s="1" t="s">
        <v>4329</v>
      </c>
      <c r="C4610" s="1" t="s">
        <v>334</v>
      </c>
      <c r="D4610" s="1" t="s">
        <v>229</v>
      </c>
      <c r="E4610" s="1"/>
    </row>
    <row r="4611" spans="1:5" ht="16">
      <c r="A4611" s="1" t="s">
        <v>4229</v>
      </c>
      <c r="B4611" s="1" t="s">
        <v>4330</v>
      </c>
      <c r="C4611" s="1" t="s">
        <v>334</v>
      </c>
      <c r="D4611" s="1" t="s">
        <v>229</v>
      </c>
      <c r="E4611" s="1"/>
    </row>
    <row r="4612" spans="1:5" ht="16">
      <c r="A4612" s="1" t="s">
        <v>4229</v>
      </c>
      <c r="B4612" s="1" t="s">
        <v>4331</v>
      </c>
      <c r="C4612" s="1" t="s">
        <v>334</v>
      </c>
      <c r="D4612" s="1" t="s">
        <v>229</v>
      </c>
      <c r="E4612" s="1"/>
    </row>
    <row r="4613" spans="1:5" ht="16">
      <c r="A4613" s="1" t="s">
        <v>4229</v>
      </c>
      <c r="B4613" s="1" t="s">
        <v>4332</v>
      </c>
      <c r="C4613" s="1" t="s">
        <v>334</v>
      </c>
      <c r="D4613" s="1" t="s">
        <v>229</v>
      </c>
      <c r="E4613" s="1"/>
    </row>
    <row r="4614" spans="1:5" ht="16">
      <c r="A4614" s="1" t="s">
        <v>4229</v>
      </c>
      <c r="B4614" s="1" t="s">
        <v>4333</v>
      </c>
      <c r="C4614" s="1" t="s">
        <v>334</v>
      </c>
      <c r="D4614" s="1" t="s">
        <v>229</v>
      </c>
      <c r="E4614" s="1"/>
    </row>
    <row r="4615" spans="1:5" ht="16">
      <c r="A4615" s="1" t="s">
        <v>4229</v>
      </c>
      <c r="B4615" s="1" t="s">
        <v>4334</v>
      </c>
      <c r="C4615" s="1" t="s">
        <v>334</v>
      </c>
      <c r="D4615" s="1" t="s">
        <v>229</v>
      </c>
      <c r="E4615" s="1"/>
    </row>
    <row r="4616" spans="1:5" ht="16">
      <c r="A4616" s="1" t="s">
        <v>4229</v>
      </c>
      <c r="B4616" s="1" t="s">
        <v>4335</v>
      </c>
      <c r="C4616" s="1" t="s">
        <v>334</v>
      </c>
      <c r="D4616" s="1" t="s">
        <v>229</v>
      </c>
      <c r="E4616" s="1"/>
    </row>
    <row r="4617" spans="1:5" ht="16">
      <c r="A4617" s="1" t="s">
        <v>4229</v>
      </c>
      <c r="B4617" s="1" t="s">
        <v>4336</v>
      </c>
      <c r="C4617" s="1" t="s">
        <v>334</v>
      </c>
      <c r="D4617" s="1" t="s">
        <v>229</v>
      </c>
      <c r="E4617" s="1"/>
    </row>
    <row r="4618" spans="1:5" ht="16">
      <c r="A4618" s="1" t="s">
        <v>4229</v>
      </c>
      <c r="B4618" s="1" t="s">
        <v>4337</v>
      </c>
      <c r="C4618" s="1" t="s">
        <v>334</v>
      </c>
      <c r="D4618" s="1" t="s">
        <v>229</v>
      </c>
      <c r="E4618" s="1"/>
    </row>
    <row r="4619" spans="1:5" ht="16">
      <c r="A4619" s="1" t="s">
        <v>4229</v>
      </c>
      <c r="B4619" s="1" t="s">
        <v>4338</v>
      </c>
      <c r="C4619" s="1" t="s">
        <v>334</v>
      </c>
      <c r="D4619" s="1" t="s">
        <v>229</v>
      </c>
      <c r="E4619" s="1"/>
    </row>
    <row r="4620" spans="1:5" ht="16">
      <c r="A4620" s="1" t="s">
        <v>4229</v>
      </c>
      <c r="B4620" s="1" t="s">
        <v>4339</v>
      </c>
      <c r="C4620" s="1" t="s">
        <v>334</v>
      </c>
      <c r="D4620" s="1" t="s">
        <v>229</v>
      </c>
      <c r="E4620" s="1"/>
    </row>
    <row r="4621" spans="1:5" ht="16">
      <c r="A4621" s="1" t="s">
        <v>4229</v>
      </c>
      <c r="B4621" s="1" t="s">
        <v>4340</v>
      </c>
      <c r="C4621" s="1" t="s">
        <v>334</v>
      </c>
      <c r="D4621" s="1" t="s">
        <v>229</v>
      </c>
      <c r="E4621" s="1"/>
    </row>
    <row r="4622" spans="1:5" ht="16">
      <c r="A4622" s="1" t="s">
        <v>4229</v>
      </c>
      <c r="B4622" s="1" t="s">
        <v>4341</v>
      </c>
      <c r="C4622" s="1" t="s">
        <v>334</v>
      </c>
      <c r="D4622" s="1" t="s">
        <v>229</v>
      </c>
      <c r="E4622" s="1"/>
    </row>
    <row r="4623" spans="1:5" ht="16">
      <c r="A4623" s="1" t="s">
        <v>4229</v>
      </c>
      <c r="B4623" s="1" t="s">
        <v>4342</v>
      </c>
      <c r="C4623" s="1" t="s">
        <v>334</v>
      </c>
      <c r="D4623" s="1" t="s">
        <v>229</v>
      </c>
      <c r="E4623" s="1"/>
    </row>
    <row r="4624" spans="1:5" ht="16">
      <c r="A4624" s="1" t="s">
        <v>4229</v>
      </c>
      <c r="B4624" s="1" t="s">
        <v>4343</v>
      </c>
      <c r="C4624" s="1" t="s">
        <v>334</v>
      </c>
      <c r="D4624" s="1" t="s">
        <v>229</v>
      </c>
      <c r="E4624" s="1"/>
    </row>
    <row r="4625" spans="1:5" ht="16">
      <c r="A4625" s="1" t="s">
        <v>4229</v>
      </c>
      <c r="B4625" s="1" t="s">
        <v>4344</v>
      </c>
      <c r="C4625" s="1" t="s">
        <v>334</v>
      </c>
      <c r="D4625" s="1" t="s">
        <v>229</v>
      </c>
      <c r="E4625" s="1"/>
    </row>
    <row r="4626" spans="1:5" ht="16">
      <c r="A4626" s="1" t="s">
        <v>4229</v>
      </c>
      <c r="B4626" s="1" t="s">
        <v>4345</v>
      </c>
      <c r="C4626" s="1" t="s">
        <v>334</v>
      </c>
      <c r="D4626" s="1" t="s">
        <v>229</v>
      </c>
      <c r="E4626" s="1"/>
    </row>
    <row r="4627" spans="1:5" ht="16">
      <c r="A4627" s="1" t="s">
        <v>4229</v>
      </c>
      <c r="B4627" s="1" t="s">
        <v>4346</v>
      </c>
      <c r="C4627" s="1" t="s">
        <v>334</v>
      </c>
      <c r="D4627" s="1" t="s">
        <v>229</v>
      </c>
      <c r="E4627" s="1"/>
    </row>
    <row r="4628" spans="1:5" ht="16">
      <c r="A4628" s="1" t="s">
        <v>4229</v>
      </c>
      <c r="B4628" s="1" t="s">
        <v>4347</v>
      </c>
      <c r="C4628" s="1" t="s">
        <v>334</v>
      </c>
      <c r="D4628" s="1" t="s">
        <v>229</v>
      </c>
      <c r="E4628" s="1"/>
    </row>
    <row r="4629" spans="1:5" ht="16">
      <c r="A4629" s="1" t="s">
        <v>4229</v>
      </c>
      <c r="B4629" s="1" t="s">
        <v>4348</v>
      </c>
      <c r="C4629" s="1" t="s">
        <v>334</v>
      </c>
      <c r="D4629" s="1" t="s">
        <v>229</v>
      </c>
      <c r="E4629" s="1"/>
    </row>
    <row r="4630" spans="1:5" ht="16">
      <c r="A4630" s="1" t="s">
        <v>4229</v>
      </c>
      <c r="B4630" s="1" t="s">
        <v>4349</v>
      </c>
      <c r="C4630" s="1" t="s">
        <v>334</v>
      </c>
      <c r="D4630" s="1" t="s">
        <v>229</v>
      </c>
      <c r="E4630" s="1"/>
    </row>
    <row r="4631" spans="1:5" ht="16">
      <c r="A4631" s="1" t="s">
        <v>4229</v>
      </c>
      <c r="B4631" s="1" t="s">
        <v>4350</v>
      </c>
      <c r="C4631" s="1" t="s">
        <v>334</v>
      </c>
      <c r="D4631" s="1" t="s">
        <v>229</v>
      </c>
      <c r="E4631" s="1"/>
    </row>
    <row r="4632" spans="1:5" ht="16">
      <c r="A4632" s="1" t="s">
        <v>4229</v>
      </c>
      <c r="B4632" s="1" t="s">
        <v>4351</v>
      </c>
      <c r="C4632" s="1" t="s">
        <v>334</v>
      </c>
      <c r="D4632" s="1" t="s">
        <v>229</v>
      </c>
      <c r="E4632" s="1"/>
    </row>
    <row r="4633" spans="1:5" ht="16">
      <c r="A4633" s="1" t="s">
        <v>4229</v>
      </c>
      <c r="B4633" s="1" t="s">
        <v>4352</v>
      </c>
      <c r="C4633" s="1" t="s">
        <v>334</v>
      </c>
      <c r="D4633" s="1" t="s">
        <v>229</v>
      </c>
      <c r="E4633" s="1"/>
    </row>
    <row r="4634" spans="1:5" ht="16">
      <c r="A4634" s="1" t="s">
        <v>4229</v>
      </c>
      <c r="B4634" s="1" t="s">
        <v>4353</v>
      </c>
      <c r="C4634" s="1" t="s">
        <v>334</v>
      </c>
      <c r="D4634" s="1" t="s">
        <v>229</v>
      </c>
      <c r="E4634" s="1"/>
    </row>
    <row r="4635" spans="1:5" ht="16">
      <c r="A4635" s="1" t="s">
        <v>4229</v>
      </c>
      <c r="B4635" s="1" t="s">
        <v>4354</v>
      </c>
      <c r="C4635" s="1" t="s">
        <v>334</v>
      </c>
      <c r="D4635" s="1" t="s">
        <v>229</v>
      </c>
      <c r="E4635" s="1"/>
    </row>
    <row r="4636" spans="1:5" ht="16">
      <c r="A4636" s="1" t="s">
        <v>4229</v>
      </c>
      <c r="B4636" s="1" t="s">
        <v>4355</v>
      </c>
      <c r="C4636" s="1" t="s">
        <v>334</v>
      </c>
      <c r="D4636" s="1" t="s">
        <v>229</v>
      </c>
      <c r="E4636" s="1"/>
    </row>
    <row r="4637" spans="1:5" ht="16">
      <c r="A4637" s="1" t="s">
        <v>4229</v>
      </c>
      <c r="B4637" s="1" t="s">
        <v>4356</v>
      </c>
      <c r="C4637" s="1" t="s">
        <v>334</v>
      </c>
      <c r="D4637" s="1" t="s">
        <v>229</v>
      </c>
      <c r="E4637" s="1"/>
    </row>
    <row r="4638" spans="1:5" ht="16">
      <c r="A4638" s="1" t="s">
        <v>4229</v>
      </c>
      <c r="B4638" s="1" t="s">
        <v>4357</v>
      </c>
      <c r="C4638" s="1" t="s">
        <v>334</v>
      </c>
      <c r="D4638" s="1" t="s">
        <v>229</v>
      </c>
      <c r="E4638" s="1"/>
    </row>
    <row r="4639" spans="1:5" ht="16">
      <c r="A4639" s="1" t="s">
        <v>4229</v>
      </c>
      <c r="B4639" s="1" t="s">
        <v>4358</v>
      </c>
      <c r="C4639" s="1" t="s">
        <v>334</v>
      </c>
      <c r="D4639" s="1" t="s">
        <v>229</v>
      </c>
      <c r="E4639" s="1"/>
    </row>
    <row r="4640" spans="1:5" ht="16">
      <c r="A4640" s="1" t="s">
        <v>4229</v>
      </c>
      <c r="B4640" s="1" t="s">
        <v>4359</v>
      </c>
      <c r="C4640" s="1" t="s">
        <v>334</v>
      </c>
      <c r="D4640" s="1" t="s">
        <v>229</v>
      </c>
      <c r="E4640" s="1"/>
    </row>
    <row r="4641" spans="1:5" ht="16">
      <c r="A4641" s="1" t="s">
        <v>4229</v>
      </c>
      <c r="B4641" s="1" t="s">
        <v>4360</v>
      </c>
      <c r="C4641" s="1" t="s">
        <v>334</v>
      </c>
      <c r="D4641" s="1" t="s">
        <v>229</v>
      </c>
      <c r="E4641" s="1"/>
    </row>
    <row r="4642" spans="1:5" ht="16">
      <c r="A4642" s="1" t="s">
        <v>4229</v>
      </c>
      <c r="B4642" s="1" t="s">
        <v>4361</v>
      </c>
      <c r="C4642" s="1" t="s">
        <v>334</v>
      </c>
      <c r="D4642" s="1" t="s">
        <v>229</v>
      </c>
      <c r="E4642" s="1"/>
    </row>
    <row r="4643" spans="1:5" ht="16">
      <c r="A4643" s="1" t="s">
        <v>4229</v>
      </c>
      <c r="B4643" s="1" t="s">
        <v>4362</v>
      </c>
      <c r="C4643" s="1" t="s">
        <v>334</v>
      </c>
      <c r="D4643" s="1" t="s">
        <v>229</v>
      </c>
      <c r="E4643" s="1"/>
    </row>
    <row r="4644" spans="1:5" ht="16">
      <c r="A4644" s="1" t="s">
        <v>4229</v>
      </c>
      <c r="B4644" s="1" t="s">
        <v>4363</v>
      </c>
      <c r="C4644" s="1" t="s">
        <v>334</v>
      </c>
      <c r="D4644" s="1" t="s">
        <v>229</v>
      </c>
      <c r="E4644" s="1"/>
    </row>
    <row r="4645" spans="1:5" ht="16">
      <c r="A4645" s="1" t="s">
        <v>4229</v>
      </c>
      <c r="B4645" s="1" t="s">
        <v>4364</v>
      </c>
      <c r="C4645" s="1" t="s">
        <v>334</v>
      </c>
      <c r="D4645" s="1" t="s">
        <v>229</v>
      </c>
      <c r="E4645" s="1"/>
    </row>
    <row r="4646" spans="1:5" ht="16">
      <c r="A4646" s="1" t="s">
        <v>4229</v>
      </c>
      <c r="B4646" s="1" t="s">
        <v>4365</v>
      </c>
      <c r="C4646" s="1" t="s">
        <v>334</v>
      </c>
      <c r="D4646" s="1" t="s">
        <v>229</v>
      </c>
      <c r="E4646" s="1"/>
    </row>
    <row r="4647" spans="1:5" ht="16">
      <c r="A4647" s="1" t="s">
        <v>4229</v>
      </c>
      <c r="B4647" s="1" t="s">
        <v>4366</v>
      </c>
      <c r="C4647" s="1" t="s">
        <v>334</v>
      </c>
      <c r="D4647" s="1" t="s">
        <v>229</v>
      </c>
      <c r="E4647" s="1"/>
    </row>
    <row r="4648" spans="1:5" ht="16">
      <c r="A4648" s="1" t="s">
        <v>4229</v>
      </c>
      <c r="B4648" s="1" t="s">
        <v>4367</v>
      </c>
      <c r="C4648" s="1" t="s">
        <v>334</v>
      </c>
      <c r="D4648" s="1" t="s">
        <v>229</v>
      </c>
      <c r="E4648" s="1"/>
    </row>
    <row r="4649" spans="1:5" ht="16">
      <c r="A4649" s="1" t="s">
        <v>4229</v>
      </c>
      <c r="B4649" s="1" t="s">
        <v>4368</v>
      </c>
      <c r="C4649" s="1" t="s">
        <v>334</v>
      </c>
      <c r="D4649" s="1" t="s">
        <v>229</v>
      </c>
      <c r="E4649" s="1"/>
    </row>
    <row r="4650" spans="1:5" ht="16">
      <c r="A4650" s="1" t="s">
        <v>4229</v>
      </c>
      <c r="B4650" s="1" t="s">
        <v>4369</v>
      </c>
      <c r="C4650" s="1" t="s">
        <v>334</v>
      </c>
      <c r="D4650" s="1" t="s">
        <v>229</v>
      </c>
      <c r="E4650" s="1"/>
    </row>
    <row r="4651" spans="1:5" ht="16">
      <c r="A4651" s="1" t="s">
        <v>4229</v>
      </c>
      <c r="B4651" s="1" t="s">
        <v>4370</v>
      </c>
      <c r="C4651" s="1" t="s">
        <v>334</v>
      </c>
      <c r="D4651" s="1" t="s">
        <v>229</v>
      </c>
      <c r="E4651" s="1"/>
    </row>
    <row r="4652" spans="1:5" ht="16">
      <c r="A4652" s="1" t="s">
        <v>4229</v>
      </c>
      <c r="B4652" s="1" t="s">
        <v>4371</v>
      </c>
      <c r="C4652" s="1" t="s">
        <v>334</v>
      </c>
      <c r="D4652" s="1" t="s">
        <v>229</v>
      </c>
      <c r="E4652" s="1"/>
    </row>
    <row r="4653" spans="1:5" ht="16">
      <c r="A4653" s="1" t="s">
        <v>4229</v>
      </c>
      <c r="B4653" s="1" t="s">
        <v>4372</v>
      </c>
      <c r="C4653" s="1" t="s">
        <v>334</v>
      </c>
      <c r="D4653" s="1" t="s">
        <v>229</v>
      </c>
      <c r="E4653" s="1"/>
    </row>
    <row r="4654" spans="1:5" ht="16">
      <c r="A4654" s="1" t="s">
        <v>4229</v>
      </c>
      <c r="B4654" s="1" t="s">
        <v>4373</v>
      </c>
      <c r="C4654" s="1" t="s">
        <v>334</v>
      </c>
      <c r="D4654" s="1" t="s">
        <v>229</v>
      </c>
      <c r="E4654" s="1"/>
    </row>
    <row r="4655" spans="1:5" ht="16">
      <c r="A4655" s="1" t="s">
        <v>4229</v>
      </c>
      <c r="B4655" s="1" t="s">
        <v>4374</v>
      </c>
      <c r="C4655" s="1" t="s">
        <v>334</v>
      </c>
      <c r="D4655" s="1" t="s">
        <v>229</v>
      </c>
      <c r="E4655" s="1"/>
    </row>
    <row r="4656" spans="1:5" ht="16">
      <c r="A4656" s="1" t="s">
        <v>4229</v>
      </c>
      <c r="B4656" s="1" t="s">
        <v>4375</v>
      </c>
      <c r="C4656" s="1" t="s">
        <v>334</v>
      </c>
      <c r="D4656" s="1" t="s">
        <v>229</v>
      </c>
      <c r="E4656" s="1"/>
    </row>
    <row r="4657" spans="1:5" ht="16">
      <c r="A4657" s="1" t="s">
        <v>4229</v>
      </c>
      <c r="B4657" s="1" t="s">
        <v>4376</v>
      </c>
      <c r="C4657" s="1" t="s">
        <v>334</v>
      </c>
      <c r="D4657" s="1" t="s">
        <v>229</v>
      </c>
      <c r="E4657" s="1"/>
    </row>
    <row r="4658" spans="1:5" ht="16">
      <c r="A4658" s="1" t="s">
        <v>4229</v>
      </c>
      <c r="B4658" s="1" t="s">
        <v>4377</v>
      </c>
      <c r="C4658" s="1" t="s">
        <v>334</v>
      </c>
      <c r="D4658" s="1" t="s">
        <v>229</v>
      </c>
      <c r="E4658" s="1"/>
    </row>
    <row r="4659" spans="1:5" ht="16">
      <c r="A4659" s="1" t="s">
        <v>4229</v>
      </c>
      <c r="B4659" s="1" t="s">
        <v>4378</v>
      </c>
      <c r="C4659" s="1" t="s">
        <v>334</v>
      </c>
      <c r="D4659" s="1" t="s">
        <v>229</v>
      </c>
      <c r="E4659" s="1"/>
    </row>
    <row r="4660" spans="1:5" ht="16">
      <c r="A4660" s="1" t="s">
        <v>4229</v>
      </c>
      <c r="B4660" s="1" t="s">
        <v>4379</v>
      </c>
      <c r="C4660" s="1" t="s">
        <v>334</v>
      </c>
      <c r="D4660" s="1" t="s">
        <v>229</v>
      </c>
      <c r="E4660" s="1"/>
    </row>
    <row r="4661" spans="1:5" ht="16">
      <c r="A4661" s="1" t="s">
        <v>4229</v>
      </c>
      <c r="B4661" s="1" t="s">
        <v>4380</v>
      </c>
      <c r="C4661" s="1" t="s">
        <v>334</v>
      </c>
      <c r="D4661" s="1" t="s">
        <v>229</v>
      </c>
      <c r="E4661" s="1"/>
    </row>
    <row r="4662" spans="1:5" ht="16">
      <c r="A4662" s="1" t="s">
        <v>4229</v>
      </c>
      <c r="B4662" s="1" t="s">
        <v>4381</v>
      </c>
      <c r="C4662" s="1" t="s">
        <v>334</v>
      </c>
      <c r="D4662" s="1" t="s">
        <v>229</v>
      </c>
      <c r="E4662" s="1"/>
    </row>
    <row r="4663" spans="1:5" ht="16">
      <c r="A4663" s="1" t="s">
        <v>4229</v>
      </c>
      <c r="B4663" s="1" t="s">
        <v>4382</v>
      </c>
      <c r="C4663" s="1" t="s">
        <v>334</v>
      </c>
      <c r="D4663" s="1" t="s">
        <v>229</v>
      </c>
      <c r="E4663" s="1"/>
    </row>
    <row r="4664" spans="1:5" ht="16">
      <c r="A4664" s="1" t="s">
        <v>4229</v>
      </c>
      <c r="B4664" s="1" t="s">
        <v>4383</v>
      </c>
      <c r="C4664" s="1" t="s">
        <v>334</v>
      </c>
      <c r="D4664" s="1" t="s">
        <v>229</v>
      </c>
      <c r="E4664" s="1"/>
    </row>
    <row r="4665" spans="1:5" ht="16">
      <c r="A4665" s="1" t="s">
        <v>4229</v>
      </c>
      <c r="B4665" s="1" t="s">
        <v>4384</v>
      </c>
      <c r="C4665" s="1" t="s">
        <v>334</v>
      </c>
      <c r="D4665" s="1" t="s">
        <v>229</v>
      </c>
      <c r="E4665" s="1"/>
    </row>
    <row r="4666" spans="1:5" ht="16">
      <c r="A4666" s="1" t="s">
        <v>4229</v>
      </c>
      <c r="B4666" s="1" t="s">
        <v>4385</v>
      </c>
      <c r="C4666" s="1" t="s">
        <v>334</v>
      </c>
      <c r="D4666" s="1" t="s">
        <v>229</v>
      </c>
      <c r="E4666" s="1"/>
    </row>
    <row r="4667" spans="1:5" ht="16">
      <c r="A4667" s="1" t="s">
        <v>4229</v>
      </c>
      <c r="B4667" s="1" t="s">
        <v>4386</v>
      </c>
      <c r="C4667" s="1" t="s">
        <v>334</v>
      </c>
      <c r="D4667" s="1" t="s">
        <v>229</v>
      </c>
      <c r="E4667" s="1"/>
    </row>
    <row r="4668" spans="1:5" ht="16">
      <c r="A4668" s="1" t="s">
        <v>4229</v>
      </c>
      <c r="B4668" s="1" t="s">
        <v>4387</v>
      </c>
      <c r="C4668" s="1" t="s">
        <v>334</v>
      </c>
      <c r="D4668" s="1" t="s">
        <v>229</v>
      </c>
      <c r="E4668" s="1"/>
    </row>
    <row r="4669" spans="1:5" ht="16">
      <c r="A4669" s="1" t="s">
        <v>4229</v>
      </c>
      <c r="B4669" s="1" t="s">
        <v>4388</v>
      </c>
      <c r="C4669" s="1" t="s">
        <v>334</v>
      </c>
      <c r="D4669" s="1" t="s">
        <v>229</v>
      </c>
      <c r="E4669" s="1"/>
    </row>
    <row r="4670" spans="1:5" ht="16">
      <c r="A4670" s="1" t="s">
        <v>4229</v>
      </c>
      <c r="B4670" s="1" t="s">
        <v>4389</v>
      </c>
      <c r="C4670" s="1" t="s">
        <v>334</v>
      </c>
      <c r="D4670" s="1" t="s">
        <v>229</v>
      </c>
      <c r="E4670" s="1"/>
    </row>
    <row r="4671" spans="1:5" ht="16">
      <c r="A4671" s="1" t="s">
        <v>4229</v>
      </c>
      <c r="B4671" s="1" t="s">
        <v>4390</v>
      </c>
      <c r="C4671" s="1" t="s">
        <v>334</v>
      </c>
      <c r="D4671" s="1" t="s">
        <v>229</v>
      </c>
      <c r="E4671" s="1"/>
    </row>
    <row r="4672" spans="1:5" ht="16">
      <c r="A4672" s="1" t="s">
        <v>4229</v>
      </c>
      <c r="B4672" s="1" t="s">
        <v>4391</v>
      </c>
      <c r="C4672" s="1" t="s">
        <v>334</v>
      </c>
      <c r="D4672" s="1" t="s">
        <v>229</v>
      </c>
      <c r="E4672" s="1"/>
    </row>
    <row r="4673" spans="1:5" ht="16">
      <c r="A4673" s="1" t="s">
        <v>4229</v>
      </c>
      <c r="B4673" s="1" t="s">
        <v>4392</v>
      </c>
      <c r="C4673" s="1" t="s">
        <v>334</v>
      </c>
      <c r="D4673" s="1" t="s">
        <v>229</v>
      </c>
      <c r="E4673" s="1"/>
    </row>
    <row r="4674" spans="1:5" ht="16">
      <c r="A4674" s="1" t="s">
        <v>4229</v>
      </c>
      <c r="B4674" s="1" t="s">
        <v>4393</v>
      </c>
      <c r="C4674" s="1" t="s">
        <v>334</v>
      </c>
      <c r="D4674" s="1" t="s">
        <v>229</v>
      </c>
      <c r="E4674" s="1"/>
    </row>
    <row r="4675" spans="1:5" ht="16">
      <c r="A4675" s="1" t="s">
        <v>4229</v>
      </c>
      <c r="B4675" s="1" t="s">
        <v>4394</v>
      </c>
      <c r="C4675" s="1" t="s">
        <v>334</v>
      </c>
      <c r="D4675" s="1" t="s">
        <v>229</v>
      </c>
      <c r="E4675" s="1"/>
    </row>
    <row r="4676" spans="1:5" ht="16">
      <c r="A4676" s="1" t="s">
        <v>4229</v>
      </c>
      <c r="B4676" s="1" t="s">
        <v>4395</v>
      </c>
      <c r="C4676" s="1" t="s">
        <v>334</v>
      </c>
      <c r="D4676" s="1" t="s">
        <v>229</v>
      </c>
      <c r="E4676" s="1"/>
    </row>
    <row r="4677" spans="1:5" ht="16">
      <c r="A4677" s="1" t="s">
        <v>4229</v>
      </c>
      <c r="B4677" s="1" t="s">
        <v>4396</v>
      </c>
      <c r="C4677" s="1" t="s">
        <v>334</v>
      </c>
      <c r="D4677" s="1" t="s">
        <v>229</v>
      </c>
      <c r="E4677" s="1"/>
    </row>
    <row r="4678" spans="1:5" ht="16">
      <c r="A4678" s="1" t="s">
        <v>4229</v>
      </c>
      <c r="B4678" s="1" t="s">
        <v>4397</v>
      </c>
      <c r="C4678" s="1" t="s">
        <v>334</v>
      </c>
      <c r="D4678" s="1" t="s">
        <v>229</v>
      </c>
      <c r="E4678" s="1"/>
    </row>
    <row r="4679" spans="1:5" ht="16">
      <c r="A4679" s="1" t="s">
        <v>4229</v>
      </c>
      <c r="B4679" s="1" t="s">
        <v>4398</v>
      </c>
      <c r="C4679" s="1" t="s">
        <v>334</v>
      </c>
      <c r="D4679" s="1" t="s">
        <v>229</v>
      </c>
      <c r="E4679" s="1"/>
    </row>
    <row r="4680" spans="1:5" ht="16">
      <c r="A4680" s="1" t="s">
        <v>4229</v>
      </c>
      <c r="B4680" s="1" t="s">
        <v>4399</v>
      </c>
      <c r="C4680" s="1" t="s">
        <v>334</v>
      </c>
      <c r="D4680" s="1" t="s">
        <v>229</v>
      </c>
      <c r="E4680" s="1"/>
    </row>
    <row r="4681" spans="1:5" ht="16">
      <c r="A4681" s="1" t="s">
        <v>4229</v>
      </c>
      <c r="B4681" s="1" t="s">
        <v>4400</v>
      </c>
      <c r="C4681" s="1" t="s">
        <v>334</v>
      </c>
      <c r="D4681" s="1" t="s">
        <v>229</v>
      </c>
      <c r="E4681" s="1"/>
    </row>
    <row r="4682" spans="1:5" ht="16">
      <c r="A4682" s="1" t="s">
        <v>4229</v>
      </c>
      <c r="B4682" s="1" t="s">
        <v>4401</v>
      </c>
      <c r="C4682" s="1" t="s">
        <v>334</v>
      </c>
      <c r="D4682" s="1" t="s">
        <v>229</v>
      </c>
      <c r="E4682" s="1"/>
    </row>
    <row r="4683" spans="1:5" ht="16">
      <c r="A4683" s="1" t="s">
        <v>4229</v>
      </c>
      <c r="B4683" s="1" t="s">
        <v>4402</v>
      </c>
      <c r="C4683" s="1" t="s">
        <v>334</v>
      </c>
      <c r="D4683" s="1" t="s">
        <v>229</v>
      </c>
      <c r="E4683" s="1"/>
    </row>
    <row r="4684" spans="1:5" ht="16">
      <c r="A4684" s="1" t="s">
        <v>4229</v>
      </c>
      <c r="B4684" s="1" t="s">
        <v>4403</v>
      </c>
      <c r="C4684" s="1" t="s">
        <v>334</v>
      </c>
      <c r="D4684" s="1" t="s">
        <v>229</v>
      </c>
      <c r="E4684" s="1"/>
    </row>
    <row r="4685" spans="1:5" ht="16">
      <c r="A4685" s="1" t="s">
        <v>4229</v>
      </c>
      <c r="B4685" s="1" t="s">
        <v>4404</v>
      </c>
      <c r="C4685" s="1" t="s">
        <v>334</v>
      </c>
      <c r="D4685" s="1" t="s">
        <v>229</v>
      </c>
      <c r="E4685" s="1"/>
    </row>
    <row r="4686" spans="1:5" ht="16">
      <c r="A4686" s="1" t="s">
        <v>4229</v>
      </c>
      <c r="B4686" s="1" t="s">
        <v>4405</v>
      </c>
      <c r="C4686" s="1" t="s">
        <v>334</v>
      </c>
      <c r="D4686" s="1" t="s">
        <v>229</v>
      </c>
      <c r="E4686" s="1"/>
    </row>
    <row r="4687" spans="1:5" ht="16">
      <c r="A4687" s="1" t="s">
        <v>4229</v>
      </c>
      <c r="B4687" s="1" t="s">
        <v>4406</v>
      </c>
      <c r="C4687" s="1" t="s">
        <v>334</v>
      </c>
      <c r="D4687" s="1" t="s">
        <v>229</v>
      </c>
      <c r="E4687" s="1"/>
    </row>
    <row r="4688" spans="1:5" ht="16">
      <c r="A4688" s="1" t="s">
        <v>4229</v>
      </c>
      <c r="B4688" s="1" t="s">
        <v>4407</v>
      </c>
      <c r="C4688" s="1" t="s">
        <v>334</v>
      </c>
      <c r="D4688" s="1" t="s">
        <v>229</v>
      </c>
      <c r="E4688" s="1"/>
    </row>
    <row r="4689" spans="1:5" ht="16">
      <c r="A4689" s="1" t="s">
        <v>4229</v>
      </c>
      <c r="B4689" s="1" t="s">
        <v>4408</v>
      </c>
      <c r="C4689" s="1" t="s">
        <v>334</v>
      </c>
      <c r="D4689" s="1" t="s">
        <v>229</v>
      </c>
      <c r="E4689" s="1"/>
    </row>
    <row r="4690" spans="1:5" ht="16">
      <c r="A4690" s="1" t="s">
        <v>4229</v>
      </c>
      <c r="B4690" s="1" t="s">
        <v>4409</v>
      </c>
      <c r="C4690" s="1" t="s">
        <v>334</v>
      </c>
      <c r="D4690" s="1" t="s">
        <v>229</v>
      </c>
      <c r="E4690" s="1"/>
    </row>
    <row r="4691" spans="1:5" ht="16">
      <c r="A4691" s="1" t="s">
        <v>4229</v>
      </c>
      <c r="B4691" s="1" t="s">
        <v>4410</v>
      </c>
      <c r="C4691" s="1" t="s">
        <v>334</v>
      </c>
      <c r="D4691" s="1" t="s">
        <v>229</v>
      </c>
      <c r="E4691" s="1"/>
    </row>
    <row r="4692" spans="1:5" ht="16">
      <c r="A4692" s="1" t="s">
        <v>4229</v>
      </c>
      <c r="B4692" s="1" t="s">
        <v>4411</v>
      </c>
      <c r="C4692" s="1" t="s">
        <v>334</v>
      </c>
      <c r="D4692" s="1" t="s">
        <v>229</v>
      </c>
      <c r="E4692" s="1"/>
    </row>
    <row r="4693" spans="1:5" ht="16">
      <c r="A4693" s="1" t="s">
        <v>4229</v>
      </c>
      <c r="B4693" s="1" t="s">
        <v>4412</v>
      </c>
      <c r="C4693" s="1" t="s">
        <v>334</v>
      </c>
      <c r="D4693" s="1" t="s">
        <v>229</v>
      </c>
      <c r="E4693" s="1"/>
    </row>
    <row r="4694" spans="1:5" ht="16">
      <c r="A4694" s="1" t="s">
        <v>4229</v>
      </c>
      <c r="B4694" s="1" t="s">
        <v>4413</v>
      </c>
      <c r="C4694" s="1" t="s">
        <v>334</v>
      </c>
      <c r="D4694" s="1" t="s">
        <v>229</v>
      </c>
      <c r="E4694" s="1"/>
    </row>
    <row r="4695" spans="1:5" ht="16">
      <c r="A4695" s="1" t="s">
        <v>4229</v>
      </c>
      <c r="B4695" s="1" t="s">
        <v>4414</v>
      </c>
      <c r="C4695" s="1" t="s">
        <v>334</v>
      </c>
      <c r="D4695" s="1" t="s">
        <v>229</v>
      </c>
      <c r="E4695" s="1"/>
    </row>
    <row r="4696" spans="1:5" ht="16">
      <c r="A4696" s="1" t="s">
        <v>4229</v>
      </c>
      <c r="B4696" s="1" t="s">
        <v>4415</v>
      </c>
      <c r="C4696" s="1" t="s">
        <v>334</v>
      </c>
      <c r="D4696" s="1" t="s">
        <v>229</v>
      </c>
      <c r="E4696" s="1"/>
    </row>
    <row r="4697" spans="1:5" ht="16">
      <c r="A4697" s="1" t="s">
        <v>4229</v>
      </c>
      <c r="B4697" s="1" t="s">
        <v>4416</v>
      </c>
      <c r="C4697" s="1" t="s">
        <v>334</v>
      </c>
      <c r="D4697" s="1" t="s">
        <v>229</v>
      </c>
      <c r="E4697" s="1"/>
    </row>
    <row r="4698" spans="1:5" ht="16">
      <c r="A4698" s="1" t="s">
        <v>4229</v>
      </c>
      <c r="B4698" s="1" t="s">
        <v>4417</v>
      </c>
      <c r="C4698" s="1" t="s">
        <v>334</v>
      </c>
      <c r="D4698" s="1" t="s">
        <v>229</v>
      </c>
      <c r="E4698" s="1"/>
    </row>
    <row r="4699" spans="1:5" ht="16">
      <c r="A4699" s="1" t="s">
        <v>4229</v>
      </c>
      <c r="B4699" s="1" t="s">
        <v>4418</v>
      </c>
      <c r="C4699" s="1" t="s">
        <v>334</v>
      </c>
      <c r="D4699" s="1" t="s">
        <v>229</v>
      </c>
      <c r="E4699" s="1"/>
    </row>
    <row r="4700" spans="1:5" ht="16">
      <c r="A4700" s="1" t="s">
        <v>4229</v>
      </c>
      <c r="B4700" s="1" t="s">
        <v>4419</v>
      </c>
      <c r="C4700" s="1" t="s">
        <v>334</v>
      </c>
      <c r="D4700" s="1" t="s">
        <v>229</v>
      </c>
      <c r="E4700" s="1"/>
    </row>
    <row r="4701" spans="1:5" ht="16">
      <c r="A4701" s="1" t="s">
        <v>4229</v>
      </c>
      <c r="B4701" s="1" t="s">
        <v>4420</v>
      </c>
      <c r="C4701" s="1" t="s">
        <v>334</v>
      </c>
      <c r="D4701" s="1" t="s">
        <v>229</v>
      </c>
      <c r="E4701" s="1"/>
    </row>
    <row r="4702" spans="1:5" ht="16">
      <c r="A4702" s="1" t="s">
        <v>4229</v>
      </c>
      <c r="B4702" s="1" t="s">
        <v>4421</v>
      </c>
      <c r="C4702" s="1" t="s">
        <v>334</v>
      </c>
      <c r="D4702" s="1" t="s">
        <v>229</v>
      </c>
      <c r="E4702" s="1"/>
    </row>
    <row r="4703" spans="1:5" ht="16">
      <c r="A4703" s="1" t="s">
        <v>4229</v>
      </c>
      <c r="B4703" s="1" t="s">
        <v>4422</v>
      </c>
      <c r="C4703" s="1" t="s">
        <v>334</v>
      </c>
      <c r="D4703" s="1" t="s">
        <v>229</v>
      </c>
      <c r="E4703" s="1"/>
    </row>
    <row r="4704" spans="1:5" ht="16">
      <c r="A4704" s="1" t="s">
        <v>4229</v>
      </c>
      <c r="B4704" s="1" t="s">
        <v>4423</v>
      </c>
      <c r="C4704" s="1" t="s">
        <v>334</v>
      </c>
      <c r="D4704" s="1" t="s">
        <v>229</v>
      </c>
      <c r="E4704" s="1"/>
    </row>
    <row r="4705" spans="1:5" ht="16">
      <c r="A4705" s="1" t="s">
        <v>4229</v>
      </c>
      <c r="B4705" s="1" t="s">
        <v>4424</v>
      </c>
      <c r="C4705" s="1" t="s">
        <v>334</v>
      </c>
      <c r="D4705" s="1" t="s">
        <v>229</v>
      </c>
      <c r="E4705" s="1"/>
    </row>
    <row r="4706" spans="1:5" ht="16">
      <c r="A4706" s="1" t="s">
        <v>4229</v>
      </c>
      <c r="B4706" s="1" t="s">
        <v>4385</v>
      </c>
      <c r="C4706" s="1" t="s">
        <v>334</v>
      </c>
      <c r="D4706" s="1" t="s">
        <v>229</v>
      </c>
      <c r="E4706" s="1"/>
    </row>
    <row r="4707" spans="1:5" ht="16">
      <c r="A4707" s="1" t="s">
        <v>4229</v>
      </c>
      <c r="B4707" s="1" t="s">
        <v>4425</v>
      </c>
      <c r="C4707" s="1" t="s">
        <v>334</v>
      </c>
      <c r="D4707" s="1" t="s">
        <v>229</v>
      </c>
      <c r="E4707" s="1"/>
    </row>
    <row r="4708" spans="1:5" ht="16">
      <c r="A4708" s="1" t="s">
        <v>4229</v>
      </c>
      <c r="B4708" s="1" t="s">
        <v>4426</v>
      </c>
      <c r="C4708" s="1" t="s">
        <v>334</v>
      </c>
      <c r="D4708" s="1" t="s">
        <v>229</v>
      </c>
      <c r="E4708" s="1"/>
    </row>
    <row r="4709" spans="1:5" ht="16">
      <c r="A4709" s="1" t="s">
        <v>4229</v>
      </c>
      <c r="B4709" s="1" t="s">
        <v>4427</v>
      </c>
      <c r="C4709" s="1" t="s">
        <v>334</v>
      </c>
      <c r="D4709" s="1" t="s">
        <v>229</v>
      </c>
      <c r="E4709" s="1"/>
    </row>
    <row r="4710" spans="1:5" ht="16">
      <c r="A4710" s="1" t="s">
        <v>4229</v>
      </c>
      <c r="B4710" s="1" t="s">
        <v>4428</v>
      </c>
      <c r="C4710" s="1" t="s">
        <v>334</v>
      </c>
      <c r="D4710" s="1" t="s">
        <v>229</v>
      </c>
      <c r="E4710" s="1"/>
    </row>
    <row r="4711" spans="1:5" ht="16">
      <c r="A4711" s="1" t="s">
        <v>4229</v>
      </c>
      <c r="B4711" s="1" t="s">
        <v>4429</v>
      </c>
      <c r="C4711" s="1" t="s">
        <v>334</v>
      </c>
      <c r="D4711" s="1" t="s">
        <v>229</v>
      </c>
      <c r="E4711" s="1"/>
    </row>
    <row r="4712" spans="1:5" ht="16">
      <c r="A4712" s="1" t="s">
        <v>4229</v>
      </c>
      <c r="B4712" s="1" t="s">
        <v>4430</v>
      </c>
      <c r="C4712" s="1" t="s">
        <v>334</v>
      </c>
      <c r="D4712" s="1" t="s">
        <v>229</v>
      </c>
      <c r="E4712" s="1"/>
    </row>
    <row r="4713" spans="1:5" ht="16">
      <c r="A4713" s="1" t="s">
        <v>4229</v>
      </c>
      <c r="B4713" s="1" t="s">
        <v>4431</v>
      </c>
      <c r="C4713" s="1" t="s">
        <v>334</v>
      </c>
      <c r="D4713" s="1" t="s">
        <v>229</v>
      </c>
      <c r="E4713" s="1"/>
    </row>
    <row r="4714" spans="1:5" ht="16">
      <c r="A4714" s="1" t="s">
        <v>4229</v>
      </c>
      <c r="B4714" s="1" t="s">
        <v>4432</v>
      </c>
      <c r="C4714" s="1" t="s">
        <v>334</v>
      </c>
      <c r="D4714" s="1" t="s">
        <v>229</v>
      </c>
      <c r="E4714" s="1"/>
    </row>
    <row r="4715" spans="1:5" ht="16">
      <c r="A4715" s="1" t="s">
        <v>4229</v>
      </c>
      <c r="B4715" s="1" t="s">
        <v>4433</v>
      </c>
      <c r="C4715" s="1" t="s">
        <v>334</v>
      </c>
      <c r="D4715" s="1" t="s">
        <v>229</v>
      </c>
      <c r="E4715" s="1"/>
    </row>
    <row r="4716" spans="1:5" ht="16">
      <c r="A4716" s="1" t="s">
        <v>4229</v>
      </c>
      <c r="B4716" s="1" t="s">
        <v>4434</v>
      </c>
      <c r="C4716" s="1" t="s">
        <v>334</v>
      </c>
      <c r="D4716" s="1" t="s">
        <v>229</v>
      </c>
      <c r="E4716" s="1"/>
    </row>
    <row r="4717" spans="1:5" ht="16">
      <c r="A4717" s="1" t="s">
        <v>4229</v>
      </c>
      <c r="B4717" s="1" t="s">
        <v>4435</v>
      </c>
      <c r="C4717" s="1" t="s">
        <v>334</v>
      </c>
      <c r="D4717" s="1" t="s">
        <v>229</v>
      </c>
      <c r="E4717" s="1"/>
    </row>
    <row r="4718" spans="1:5" ht="16">
      <c r="A4718" s="1" t="s">
        <v>4229</v>
      </c>
      <c r="B4718" s="1" t="s">
        <v>4412</v>
      </c>
      <c r="C4718" s="1" t="s">
        <v>334</v>
      </c>
      <c r="D4718" s="1" t="s">
        <v>229</v>
      </c>
      <c r="E4718" s="1"/>
    </row>
    <row r="4719" spans="1:5" ht="16">
      <c r="A4719" s="1" t="s">
        <v>4229</v>
      </c>
      <c r="B4719" s="1" t="s">
        <v>4413</v>
      </c>
      <c r="C4719" s="1" t="s">
        <v>334</v>
      </c>
      <c r="D4719" s="1" t="s">
        <v>229</v>
      </c>
      <c r="E4719" s="1"/>
    </row>
    <row r="4720" spans="1:5" ht="16">
      <c r="A4720" s="1" t="s">
        <v>4229</v>
      </c>
      <c r="B4720" s="1" t="s">
        <v>4380</v>
      </c>
      <c r="C4720" s="1" t="s">
        <v>334</v>
      </c>
      <c r="D4720" s="1" t="s">
        <v>229</v>
      </c>
      <c r="E4720" s="1"/>
    </row>
    <row r="4721" spans="1:5" ht="16">
      <c r="A4721" s="1" t="s">
        <v>4229</v>
      </c>
      <c r="B4721" s="1" t="s">
        <v>4436</v>
      </c>
      <c r="C4721" s="1" t="s">
        <v>334</v>
      </c>
      <c r="D4721" s="1" t="s">
        <v>229</v>
      </c>
      <c r="E4721" s="1"/>
    </row>
    <row r="4722" spans="1:5" ht="16">
      <c r="A4722" s="1" t="s">
        <v>4229</v>
      </c>
      <c r="B4722" s="1" t="s">
        <v>4437</v>
      </c>
      <c r="C4722" s="1" t="s">
        <v>334</v>
      </c>
      <c r="D4722" s="1" t="s">
        <v>229</v>
      </c>
      <c r="E4722" s="1"/>
    </row>
    <row r="4723" spans="1:5" ht="16">
      <c r="A4723" s="1" t="s">
        <v>4229</v>
      </c>
      <c r="B4723" s="1" t="s">
        <v>4438</v>
      </c>
      <c r="C4723" s="1" t="s">
        <v>334</v>
      </c>
      <c r="D4723" s="1" t="s">
        <v>229</v>
      </c>
      <c r="E4723" s="1"/>
    </row>
    <row r="4724" spans="1:5" ht="16">
      <c r="A4724" s="1" t="s">
        <v>4229</v>
      </c>
      <c r="B4724" s="1" t="s">
        <v>4439</v>
      </c>
      <c r="C4724" s="1" t="s">
        <v>334</v>
      </c>
      <c r="D4724" s="1" t="s">
        <v>229</v>
      </c>
      <c r="E4724" s="1"/>
    </row>
    <row r="4725" spans="1:5" ht="16">
      <c r="A4725" s="1" t="s">
        <v>4229</v>
      </c>
      <c r="B4725" s="1" t="s">
        <v>4440</v>
      </c>
      <c r="C4725" s="1" t="s">
        <v>334</v>
      </c>
      <c r="D4725" s="1" t="s">
        <v>229</v>
      </c>
      <c r="E4725" s="1"/>
    </row>
    <row r="4726" spans="1:5" ht="16">
      <c r="A4726" s="1" t="s">
        <v>4229</v>
      </c>
      <c r="B4726" s="1" t="s">
        <v>4441</v>
      </c>
      <c r="C4726" s="1" t="s">
        <v>334</v>
      </c>
      <c r="D4726" s="1" t="s">
        <v>229</v>
      </c>
      <c r="E4726" s="1"/>
    </row>
    <row r="4727" spans="1:5" ht="16">
      <c r="A4727" s="1" t="s">
        <v>4229</v>
      </c>
      <c r="B4727" s="1" t="s">
        <v>4442</v>
      </c>
      <c r="C4727" s="1" t="s">
        <v>334</v>
      </c>
      <c r="D4727" s="1" t="s">
        <v>229</v>
      </c>
      <c r="E4727" s="1"/>
    </row>
    <row r="4728" spans="1:5" ht="16">
      <c r="A4728" s="1" t="s">
        <v>4229</v>
      </c>
      <c r="B4728" s="1" t="s">
        <v>4443</v>
      </c>
      <c r="C4728" s="1" t="s">
        <v>334</v>
      </c>
      <c r="D4728" s="1" t="s">
        <v>229</v>
      </c>
      <c r="E4728" s="1"/>
    </row>
    <row r="4729" spans="1:5" ht="16">
      <c r="A4729" s="1" t="s">
        <v>4229</v>
      </c>
      <c r="B4729" s="1" t="s">
        <v>4444</v>
      </c>
      <c r="C4729" s="1" t="s">
        <v>334</v>
      </c>
      <c r="D4729" s="1" t="s">
        <v>229</v>
      </c>
      <c r="E4729" s="1"/>
    </row>
    <row r="4730" spans="1:5" ht="16">
      <c r="A4730" s="1" t="s">
        <v>4229</v>
      </c>
      <c r="B4730" s="1" t="s">
        <v>4445</v>
      </c>
      <c r="C4730" s="1" t="s">
        <v>334</v>
      </c>
      <c r="D4730" s="1" t="s">
        <v>229</v>
      </c>
      <c r="E4730" s="1"/>
    </row>
    <row r="4731" spans="1:5" ht="16">
      <c r="A4731" s="1" t="s">
        <v>4229</v>
      </c>
      <c r="B4731" s="1" t="s">
        <v>4446</v>
      </c>
      <c r="C4731" s="1" t="s">
        <v>334</v>
      </c>
      <c r="D4731" s="1" t="s">
        <v>229</v>
      </c>
      <c r="E4731" s="1"/>
    </row>
    <row r="4732" spans="1:5" ht="16">
      <c r="A4732" s="1" t="s">
        <v>4229</v>
      </c>
      <c r="B4732" s="1" t="s">
        <v>4447</v>
      </c>
      <c r="C4732" s="1" t="s">
        <v>334</v>
      </c>
      <c r="D4732" s="1" t="s">
        <v>229</v>
      </c>
      <c r="E4732" s="1"/>
    </row>
    <row r="4733" spans="1:5" ht="16">
      <c r="A4733" s="1" t="s">
        <v>4229</v>
      </c>
      <c r="B4733" s="1" t="s">
        <v>4448</v>
      </c>
      <c r="C4733" s="1" t="s">
        <v>334</v>
      </c>
      <c r="D4733" s="1" t="s">
        <v>229</v>
      </c>
      <c r="E4733" s="1"/>
    </row>
    <row r="4734" spans="1:5" ht="16">
      <c r="A4734" s="1" t="s">
        <v>4229</v>
      </c>
      <c r="B4734" s="1" t="s">
        <v>4449</v>
      </c>
      <c r="C4734" s="1" t="s">
        <v>334</v>
      </c>
      <c r="D4734" s="1" t="s">
        <v>229</v>
      </c>
      <c r="E4734" s="1"/>
    </row>
    <row r="4735" spans="1:5" ht="16">
      <c r="A4735" s="1" t="s">
        <v>4229</v>
      </c>
      <c r="B4735" s="1" t="s">
        <v>4450</v>
      </c>
      <c r="C4735" s="1" t="s">
        <v>334</v>
      </c>
      <c r="D4735" s="1" t="s">
        <v>229</v>
      </c>
      <c r="E4735" s="1"/>
    </row>
    <row r="4736" spans="1:5" ht="16">
      <c r="A4736" s="1" t="s">
        <v>4229</v>
      </c>
      <c r="B4736" s="1" t="s">
        <v>4451</v>
      </c>
      <c r="C4736" s="1" t="s">
        <v>334</v>
      </c>
      <c r="D4736" s="1" t="s">
        <v>229</v>
      </c>
      <c r="E4736" s="1"/>
    </row>
    <row r="4737" spans="1:5" ht="16">
      <c r="A4737" s="1" t="s">
        <v>4229</v>
      </c>
      <c r="B4737" s="1" t="s">
        <v>4452</v>
      </c>
      <c r="C4737" s="1" t="s">
        <v>334</v>
      </c>
      <c r="D4737" s="1" t="s">
        <v>229</v>
      </c>
      <c r="E4737" s="1"/>
    </row>
    <row r="4738" spans="1:5" ht="16">
      <c r="A4738" s="1" t="s">
        <v>4229</v>
      </c>
      <c r="B4738" s="1" t="s">
        <v>4453</v>
      </c>
      <c r="C4738" s="1" t="s">
        <v>334</v>
      </c>
      <c r="D4738" s="1" t="s">
        <v>229</v>
      </c>
      <c r="E4738" s="1"/>
    </row>
    <row r="4739" spans="1:5" ht="16">
      <c r="A4739" s="1" t="s">
        <v>4229</v>
      </c>
      <c r="B4739" s="1" t="s">
        <v>4454</v>
      </c>
      <c r="C4739" s="1" t="s">
        <v>334</v>
      </c>
      <c r="D4739" s="1" t="s">
        <v>229</v>
      </c>
      <c r="E4739" s="1"/>
    </row>
    <row r="4740" spans="1:5" ht="16">
      <c r="A4740" s="1" t="s">
        <v>4229</v>
      </c>
      <c r="B4740" s="1" t="s">
        <v>4455</v>
      </c>
      <c r="C4740" s="1" t="s">
        <v>334</v>
      </c>
      <c r="D4740" s="1" t="s">
        <v>229</v>
      </c>
      <c r="E4740" s="1"/>
    </row>
    <row r="4741" spans="1:5" ht="16">
      <c r="A4741" s="1" t="s">
        <v>4229</v>
      </c>
      <c r="B4741" s="1" t="s">
        <v>4456</v>
      </c>
      <c r="C4741" s="1" t="s">
        <v>334</v>
      </c>
      <c r="D4741" s="1" t="s">
        <v>229</v>
      </c>
      <c r="E4741" s="1"/>
    </row>
    <row r="4742" spans="1:5" ht="16">
      <c r="A4742" s="1" t="s">
        <v>4229</v>
      </c>
      <c r="B4742" s="1" t="s">
        <v>4457</v>
      </c>
      <c r="C4742" s="1" t="s">
        <v>334</v>
      </c>
      <c r="D4742" s="1" t="s">
        <v>229</v>
      </c>
      <c r="E4742" s="1"/>
    </row>
    <row r="4743" spans="1:5" ht="16">
      <c r="A4743" s="1" t="s">
        <v>4229</v>
      </c>
      <c r="B4743" s="1" t="s">
        <v>4458</v>
      </c>
      <c r="C4743" s="1" t="s">
        <v>334</v>
      </c>
      <c r="D4743" s="1" t="s">
        <v>229</v>
      </c>
      <c r="E4743" s="1"/>
    </row>
    <row r="4744" spans="1:5" ht="16">
      <c r="A4744" s="1" t="s">
        <v>4229</v>
      </c>
      <c r="B4744" s="1" t="s">
        <v>4459</v>
      </c>
      <c r="C4744" s="1" t="s">
        <v>334</v>
      </c>
      <c r="D4744" s="1" t="s">
        <v>229</v>
      </c>
      <c r="E4744" s="1"/>
    </row>
    <row r="4745" spans="1:5" ht="16">
      <c r="A4745" s="1" t="s">
        <v>4229</v>
      </c>
      <c r="B4745" s="1" t="s">
        <v>4460</v>
      </c>
      <c r="C4745" s="1" t="s">
        <v>334</v>
      </c>
      <c r="D4745" s="1" t="s">
        <v>229</v>
      </c>
      <c r="E4745" s="1"/>
    </row>
    <row r="4746" spans="1:5" ht="16">
      <c r="A4746" s="1" t="s">
        <v>4229</v>
      </c>
      <c r="B4746" s="1" t="s">
        <v>4461</v>
      </c>
      <c r="C4746" s="1" t="s">
        <v>334</v>
      </c>
      <c r="D4746" s="1" t="s">
        <v>355</v>
      </c>
      <c r="E4746" s="1"/>
    </row>
    <row r="4747" spans="1:5" ht="16">
      <c r="A4747" s="1" t="s">
        <v>4229</v>
      </c>
      <c r="B4747" s="1" t="s">
        <v>4462</v>
      </c>
      <c r="C4747" s="1" t="s">
        <v>334</v>
      </c>
      <c r="D4747" s="1" t="s">
        <v>229</v>
      </c>
      <c r="E4747" s="1"/>
    </row>
    <row r="4748" spans="1:5" ht="16">
      <c r="A4748" s="1" t="s">
        <v>4229</v>
      </c>
      <c r="B4748" s="1" t="s">
        <v>4463</v>
      </c>
      <c r="C4748" s="1" t="s">
        <v>334</v>
      </c>
      <c r="D4748" s="1" t="s">
        <v>229</v>
      </c>
      <c r="E4748" s="1"/>
    </row>
    <row r="4749" spans="1:5" ht="16">
      <c r="A4749" s="1" t="s">
        <v>4229</v>
      </c>
      <c r="B4749" s="1" t="s">
        <v>4464</v>
      </c>
      <c r="C4749" s="1" t="s">
        <v>334</v>
      </c>
      <c r="D4749" s="1" t="s">
        <v>229</v>
      </c>
      <c r="E4749" s="1"/>
    </row>
    <row r="4750" spans="1:5" ht="16">
      <c r="A4750" s="1" t="s">
        <v>4229</v>
      </c>
      <c r="B4750" s="1" t="s">
        <v>4465</v>
      </c>
      <c r="C4750" s="1" t="s">
        <v>334</v>
      </c>
      <c r="D4750" s="1" t="s">
        <v>229</v>
      </c>
      <c r="E4750" s="1"/>
    </row>
    <row r="4751" spans="1:5" ht="16">
      <c r="A4751" s="1" t="s">
        <v>4229</v>
      </c>
      <c r="B4751" s="1" t="s">
        <v>4466</v>
      </c>
      <c r="C4751" s="1" t="s">
        <v>334</v>
      </c>
      <c r="D4751" s="1" t="s">
        <v>229</v>
      </c>
      <c r="E4751" s="1"/>
    </row>
    <row r="4752" spans="1:5" ht="16">
      <c r="A4752" s="1" t="s">
        <v>4229</v>
      </c>
      <c r="B4752" s="1" t="s">
        <v>4467</v>
      </c>
      <c r="C4752" s="1" t="s">
        <v>334</v>
      </c>
      <c r="D4752" s="1" t="s">
        <v>229</v>
      </c>
      <c r="E4752" s="1"/>
    </row>
    <row r="4753" spans="1:5" ht="16">
      <c r="A4753" s="1" t="s">
        <v>4229</v>
      </c>
      <c r="B4753" s="1" t="s">
        <v>4468</v>
      </c>
      <c r="C4753" s="1" t="s">
        <v>334</v>
      </c>
      <c r="D4753" s="1" t="s">
        <v>229</v>
      </c>
      <c r="E4753" s="1"/>
    </row>
    <row r="4754" spans="1:5" ht="16">
      <c r="A4754" s="1" t="s">
        <v>4229</v>
      </c>
      <c r="B4754" s="1" t="s">
        <v>4469</v>
      </c>
      <c r="C4754" s="1" t="s">
        <v>334</v>
      </c>
      <c r="D4754" s="1" t="s">
        <v>229</v>
      </c>
      <c r="E4754" s="1"/>
    </row>
    <row r="4755" spans="1:5" ht="16">
      <c r="A4755" s="1" t="s">
        <v>4229</v>
      </c>
      <c r="B4755" s="1" t="s">
        <v>4470</v>
      </c>
      <c r="C4755" s="1" t="s">
        <v>334</v>
      </c>
      <c r="D4755" s="1" t="s">
        <v>229</v>
      </c>
      <c r="E4755" s="1"/>
    </row>
    <row r="4756" spans="1:5" ht="16">
      <c r="A4756" s="1" t="s">
        <v>4229</v>
      </c>
      <c r="B4756" s="1" t="s">
        <v>4471</v>
      </c>
      <c r="C4756" s="1" t="s">
        <v>334</v>
      </c>
      <c r="D4756" s="1" t="s">
        <v>229</v>
      </c>
      <c r="E4756" s="1"/>
    </row>
    <row r="4757" spans="1:5" ht="16">
      <c r="A4757" s="1" t="s">
        <v>4229</v>
      </c>
      <c r="B4757" s="1" t="s">
        <v>4472</v>
      </c>
      <c r="C4757" s="1" t="s">
        <v>334</v>
      </c>
      <c r="D4757" s="1" t="s">
        <v>229</v>
      </c>
      <c r="E4757" s="1"/>
    </row>
    <row r="4758" spans="1:5" ht="16">
      <c r="A4758" s="1" t="s">
        <v>4229</v>
      </c>
      <c r="B4758" s="1" t="s">
        <v>4449</v>
      </c>
      <c r="C4758" s="1" t="s">
        <v>334</v>
      </c>
      <c r="D4758" s="1" t="s">
        <v>355</v>
      </c>
      <c r="E4758" s="1"/>
    </row>
    <row r="4759" spans="1:5" ht="16">
      <c r="A4759" s="1" t="s">
        <v>4229</v>
      </c>
      <c r="B4759" s="1" t="s">
        <v>4473</v>
      </c>
      <c r="C4759" s="1" t="s">
        <v>334</v>
      </c>
      <c r="D4759" s="1" t="s">
        <v>229</v>
      </c>
      <c r="E4759" s="1"/>
    </row>
    <row r="4760" spans="1:5" ht="16">
      <c r="A4760" s="1" t="s">
        <v>4229</v>
      </c>
      <c r="B4760" s="1" t="s">
        <v>4474</v>
      </c>
      <c r="C4760" s="1" t="s">
        <v>334</v>
      </c>
      <c r="D4760" s="1" t="s">
        <v>229</v>
      </c>
      <c r="E4760" s="1"/>
    </row>
    <row r="4761" spans="1:5" ht="16">
      <c r="A4761" s="1" t="s">
        <v>4475</v>
      </c>
      <c r="B4761" s="1" t="s">
        <v>4476</v>
      </c>
      <c r="C4761" s="1" t="s">
        <v>332</v>
      </c>
      <c r="D4761" s="1" t="s">
        <v>229</v>
      </c>
      <c r="E4761" s="1"/>
    </row>
    <row r="4762" spans="1:5" ht="16">
      <c r="A4762" s="1" t="s">
        <v>4475</v>
      </c>
      <c r="B4762" s="1" t="s">
        <v>4477</v>
      </c>
      <c r="C4762" s="1" t="s">
        <v>332</v>
      </c>
      <c r="D4762" s="1" t="s">
        <v>229</v>
      </c>
      <c r="E4762" s="1"/>
    </row>
    <row r="4763" spans="1:5" ht="16">
      <c r="A4763" s="1" t="s">
        <v>4475</v>
      </c>
      <c r="B4763" s="1" t="s">
        <v>4478</v>
      </c>
      <c r="C4763" s="1" t="s">
        <v>332</v>
      </c>
      <c r="D4763" s="1" t="s">
        <v>229</v>
      </c>
      <c r="E4763" s="1"/>
    </row>
    <row r="4764" spans="1:5" ht="16">
      <c r="A4764" s="1" t="s">
        <v>4475</v>
      </c>
      <c r="B4764" s="1" t="s">
        <v>4479</v>
      </c>
      <c r="C4764" s="1" t="s">
        <v>332</v>
      </c>
      <c r="D4764" s="1" t="s">
        <v>229</v>
      </c>
      <c r="E4764" s="1"/>
    </row>
    <row r="4765" spans="1:5" ht="16">
      <c r="A4765" s="1" t="s">
        <v>4475</v>
      </c>
      <c r="B4765" s="1" t="s">
        <v>4480</v>
      </c>
      <c r="C4765" s="1" t="s">
        <v>332</v>
      </c>
      <c r="D4765" s="1" t="s">
        <v>229</v>
      </c>
      <c r="E4765" s="1"/>
    </row>
    <row r="4766" spans="1:5" ht="16">
      <c r="A4766" s="1" t="s">
        <v>4475</v>
      </c>
      <c r="B4766" s="1" t="s">
        <v>4481</v>
      </c>
      <c r="C4766" s="1" t="s">
        <v>332</v>
      </c>
      <c r="D4766" s="1" t="s">
        <v>229</v>
      </c>
      <c r="E4766" s="1"/>
    </row>
    <row r="4767" spans="1:5" ht="16">
      <c r="A4767" s="1" t="s">
        <v>4475</v>
      </c>
      <c r="B4767" s="1" t="s">
        <v>4482</v>
      </c>
      <c r="C4767" s="1" t="s">
        <v>332</v>
      </c>
      <c r="D4767" s="1" t="s">
        <v>229</v>
      </c>
      <c r="E4767" s="1"/>
    </row>
    <row r="4768" spans="1:5" ht="16">
      <c r="A4768" s="1" t="s">
        <v>4475</v>
      </c>
      <c r="B4768" s="1" t="s">
        <v>4483</v>
      </c>
      <c r="C4768" s="1" t="s">
        <v>332</v>
      </c>
      <c r="D4768" s="1" t="s">
        <v>229</v>
      </c>
      <c r="E4768" s="1"/>
    </row>
    <row r="4769" spans="1:5" ht="16">
      <c r="A4769" s="1" t="s">
        <v>4475</v>
      </c>
      <c r="B4769" s="1" t="s">
        <v>4484</v>
      </c>
      <c r="C4769" s="1" t="s">
        <v>332</v>
      </c>
      <c r="D4769" s="1" t="s">
        <v>229</v>
      </c>
      <c r="E4769" s="1"/>
    </row>
    <row r="4770" spans="1:5" ht="16">
      <c r="A4770" s="1" t="s">
        <v>4475</v>
      </c>
      <c r="B4770" s="1" t="s">
        <v>4485</v>
      </c>
      <c r="C4770" s="1" t="s">
        <v>332</v>
      </c>
      <c r="D4770" s="1" t="s">
        <v>229</v>
      </c>
      <c r="E4770" s="1"/>
    </row>
    <row r="4771" spans="1:5" ht="16">
      <c r="A4771" s="1" t="s">
        <v>4475</v>
      </c>
      <c r="B4771" s="1" t="s">
        <v>4486</v>
      </c>
      <c r="C4771" s="1" t="s">
        <v>332</v>
      </c>
      <c r="D4771" s="1" t="s">
        <v>229</v>
      </c>
      <c r="E4771" s="1"/>
    </row>
    <row r="4772" spans="1:5" ht="16">
      <c r="A4772" s="1" t="s">
        <v>4475</v>
      </c>
      <c r="B4772" s="1" t="s">
        <v>4487</v>
      </c>
      <c r="C4772" s="1" t="s">
        <v>332</v>
      </c>
      <c r="D4772" s="1" t="s">
        <v>229</v>
      </c>
      <c r="E4772" s="1"/>
    </row>
    <row r="4773" spans="1:5" ht="16">
      <c r="A4773" s="1" t="s">
        <v>4475</v>
      </c>
      <c r="B4773" s="1" t="s">
        <v>4488</v>
      </c>
      <c r="C4773" s="1" t="s">
        <v>332</v>
      </c>
      <c r="D4773" s="1" t="s">
        <v>229</v>
      </c>
      <c r="E4773" s="1"/>
    </row>
    <row r="4774" spans="1:5" ht="16">
      <c r="A4774" s="1" t="s">
        <v>4475</v>
      </c>
      <c r="B4774" s="1" t="s">
        <v>4489</v>
      </c>
      <c r="C4774" s="1" t="s">
        <v>332</v>
      </c>
      <c r="D4774" s="1" t="s">
        <v>229</v>
      </c>
      <c r="E4774" s="1"/>
    </row>
    <row r="4775" spans="1:5" ht="16">
      <c r="A4775" s="1" t="s">
        <v>4475</v>
      </c>
      <c r="B4775" s="1" t="s">
        <v>4490</v>
      </c>
      <c r="C4775" s="1" t="s">
        <v>332</v>
      </c>
      <c r="D4775" s="1" t="s">
        <v>229</v>
      </c>
      <c r="E4775" s="1"/>
    </row>
    <row r="4776" spans="1:5" ht="16">
      <c r="A4776" s="1" t="s">
        <v>4475</v>
      </c>
      <c r="B4776" s="1" t="s">
        <v>4491</v>
      </c>
      <c r="C4776" s="1" t="s">
        <v>332</v>
      </c>
      <c r="D4776" s="1" t="s">
        <v>229</v>
      </c>
      <c r="E4776" s="1"/>
    </row>
    <row r="4777" spans="1:5" ht="16">
      <c r="A4777" s="1" t="s">
        <v>4475</v>
      </c>
      <c r="B4777" s="1" t="s">
        <v>4492</v>
      </c>
      <c r="C4777" s="1" t="s">
        <v>332</v>
      </c>
      <c r="D4777" s="1" t="s">
        <v>229</v>
      </c>
      <c r="E4777" s="1"/>
    </row>
    <row r="4778" spans="1:5" ht="16">
      <c r="A4778" s="1" t="s">
        <v>4475</v>
      </c>
      <c r="B4778" s="1" t="s">
        <v>4493</v>
      </c>
      <c r="C4778" s="1" t="s">
        <v>332</v>
      </c>
      <c r="D4778" s="1" t="s">
        <v>229</v>
      </c>
      <c r="E4778" s="1"/>
    </row>
    <row r="4779" spans="1:5" ht="16">
      <c r="A4779" s="1" t="s">
        <v>4475</v>
      </c>
      <c r="B4779" s="1" t="s">
        <v>4494</v>
      </c>
      <c r="C4779" s="1" t="s">
        <v>332</v>
      </c>
      <c r="D4779" s="1" t="s">
        <v>229</v>
      </c>
      <c r="E4779" s="1"/>
    </row>
    <row r="4780" spans="1:5" ht="16">
      <c r="A4780" s="1" t="s">
        <v>4475</v>
      </c>
      <c r="B4780" s="1" t="s">
        <v>4495</v>
      </c>
      <c r="C4780" s="1" t="s">
        <v>332</v>
      </c>
      <c r="D4780" s="1" t="s">
        <v>229</v>
      </c>
      <c r="E4780" s="1"/>
    </row>
    <row r="4781" spans="1:5" ht="16">
      <c r="A4781" s="1" t="s">
        <v>4475</v>
      </c>
      <c r="B4781" s="1" t="s">
        <v>4496</v>
      </c>
      <c r="C4781" s="1" t="s">
        <v>332</v>
      </c>
      <c r="D4781" s="1" t="s">
        <v>229</v>
      </c>
      <c r="E4781" s="1"/>
    </row>
    <row r="4782" spans="1:5" ht="16">
      <c r="A4782" s="1" t="s">
        <v>4475</v>
      </c>
      <c r="B4782" s="1" t="s">
        <v>4497</v>
      </c>
      <c r="C4782" s="1" t="s">
        <v>332</v>
      </c>
      <c r="D4782" s="1" t="s">
        <v>229</v>
      </c>
      <c r="E4782" s="1"/>
    </row>
    <row r="4783" spans="1:5" ht="16">
      <c r="A4783" s="1" t="s">
        <v>4475</v>
      </c>
      <c r="B4783" s="1" t="s">
        <v>4498</v>
      </c>
      <c r="C4783" s="1" t="s">
        <v>332</v>
      </c>
      <c r="D4783" s="1" t="s">
        <v>229</v>
      </c>
      <c r="E4783" s="1"/>
    </row>
    <row r="4784" spans="1:5" ht="16">
      <c r="A4784" s="1" t="s">
        <v>4475</v>
      </c>
      <c r="B4784" s="1" t="s">
        <v>4499</v>
      </c>
      <c r="C4784" s="1" t="s">
        <v>332</v>
      </c>
      <c r="D4784" s="1" t="s">
        <v>229</v>
      </c>
      <c r="E4784" s="1"/>
    </row>
    <row r="4785" spans="1:5" ht="16">
      <c r="A4785" s="1" t="s">
        <v>4475</v>
      </c>
      <c r="B4785" s="1" t="s">
        <v>4500</v>
      </c>
      <c r="C4785" s="1" t="s">
        <v>332</v>
      </c>
      <c r="D4785" s="1" t="s">
        <v>229</v>
      </c>
      <c r="E4785" s="1"/>
    </row>
    <row r="4786" spans="1:5" ht="16">
      <c r="A4786" s="1" t="s">
        <v>4475</v>
      </c>
      <c r="B4786" s="1" t="s">
        <v>4501</v>
      </c>
      <c r="C4786" s="1" t="s">
        <v>332</v>
      </c>
      <c r="D4786" s="1" t="s">
        <v>229</v>
      </c>
      <c r="E4786" s="1"/>
    </row>
    <row r="4787" spans="1:5" ht="16">
      <c r="A4787" s="1" t="s">
        <v>4475</v>
      </c>
      <c r="B4787" s="1" t="s">
        <v>4502</v>
      </c>
      <c r="C4787" s="1" t="s">
        <v>332</v>
      </c>
      <c r="D4787" s="1" t="s">
        <v>229</v>
      </c>
      <c r="E4787" s="1"/>
    </row>
    <row r="4788" spans="1:5" ht="16">
      <c r="A4788" s="1" t="s">
        <v>4475</v>
      </c>
      <c r="B4788" s="1" t="s">
        <v>4503</v>
      </c>
      <c r="C4788" s="1" t="s">
        <v>332</v>
      </c>
      <c r="D4788" s="1" t="s">
        <v>229</v>
      </c>
      <c r="E4788" s="1"/>
    </row>
    <row r="4789" spans="1:5" ht="16">
      <c r="A4789" s="1" t="s">
        <v>4475</v>
      </c>
      <c r="B4789" s="1" t="s">
        <v>4504</v>
      </c>
      <c r="C4789" s="1" t="s">
        <v>332</v>
      </c>
      <c r="D4789" s="1" t="s">
        <v>229</v>
      </c>
      <c r="E4789" s="1"/>
    </row>
    <row r="4790" spans="1:5" ht="16">
      <c r="A4790" s="1" t="s">
        <v>4475</v>
      </c>
      <c r="B4790" s="1" t="s">
        <v>4505</v>
      </c>
      <c r="C4790" s="1" t="s">
        <v>332</v>
      </c>
      <c r="D4790" s="1" t="s">
        <v>229</v>
      </c>
      <c r="E4790" s="1"/>
    </row>
    <row r="4791" spans="1:5" ht="16">
      <c r="A4791" s="1" t="s">
        <v>4475</v>
      </c>
      <c r="B4791" s="1" t="s">
        <v>4506</v>
      </c>
      <c r="C4791" s="1" t="s">
        <v>332</v>
      </c>
      <c r="D4791" s="1" t="s">
        <v>229</v>
      </c>
      <c r="E4791" s="1"/>
    </row>
    <row r="4792" spans="1:5" ht="16">
      <c r="A4792" s="1" t="s">
        <v>4475</v>
      </c>
      <c r="B4792" s="1" t="s">
        <v>4507</v>
      </c>
      <c r="C4792" s="1" t="s">
        <v>332</v>
      </c>
      <c r="D4792" s="1" t="s">
        <v>229</v>
      </c>
      <c r="E4792" s="1"/>
    </row>
    <row r="4793" spans="1:5" ht="16">
      <c r="A4793" s="1" t="s">
        <v>4475</v>
      </c>
      <c r="B4793" s="1" t="s">
        <v>4508</v>
      </c>
      <c r="C4793" s="1" t="s">
        <v>332</v>
      </c>
      <c r="D4793" s="1" t="s">
        <v>229</v>
      </c>
      <c r="E4793" s="1"/>
    </row>
    <row r="4794" spans="1:5" ht="16">
      <c r="A4794" s="1" t="s">
        <v>4475</v>
      </c>
      <c r="B4794" s="1" t="s">
        <v>4509</v>
      </c>
      <c r="C4794" s="1" t="s">
        <v>332</v>
      </c>
      <c r="D4794" s="1" t="s">
        <v>229</v>
      </c>
      <c r="E4794" s="1"/>
    </row>
    <row r="4795" spans="1:5" ht="16">
      <c r="A4795" s="1" t="s">
        <v>4475</v>
      </c>
      <c r="B4795" s="1" t="s">
        <v>4510</v>
      </c>
      <c r="C4795" s="1" t="s">
        <v>332</v>
      </c>
      <c r="D4795" s="1" t="s">
        <v>229</v>
      </c>
      <c r="E4795" s="1"/>
    </row>
    <row r="4796" spans="1:5" ht="16">
      <c r="A4796" s="1" t="s">
        <v>4475</v>
      </c>
      <c r="B4796" s="1" t="s">
        <v>4511</v>
      </c>
      <c r="C4796" s="1" t="s">
        <v>332</v>
      </c>
      <c r="D4796" s="1" t="s">
        <v>229</v>
      </c>
      <c r="E4796" s="1"/>
    </row>
    <row r="4797" spans="1:5" ht="16">
      <c r="A4797" s="1" t="s">
        <v>4475</v>
      </c>
      <c r="B4797" s="1" t="s">
        <v>4512</v>
      </c>
      <c r="C4797" s="1" t="s">
        <v>332</v>
      </c>
      <c r="D4797" s="1" t="s">
        <v>229</v>
      </c>
      <c r="E4797" s="1"/>
    </row>
    <row r="4798" spans="1:5" ht="16">
      <c r="A4798" s="1" t="s">
        <v>4475</v>
      </c>
      <c r="B4798" s="1" t="s">
        <v>4513</v>
      </c>
      <c r="C4798" s="1" t="s">
        <v>332</v>
      </c>
      <c r="D4798" s="1" t="s">
        <v>229</v>
      </c>
      <c r="E4798" s="1"/>
    </row>
    <row r="4799" spans="1:5" ht="16">
      <c r="A4799" s="1" t="s">
        <v>4475</v>
      </c>
      <c r="B4799" s="1" t="s">
        <v>4514</v>
      </c>
      <c r="C4799" s="1" t="s">
        <v>332</v>
      </c>
      <c r="D4799" s="1" t="s">
        <v>229</v>
      </c>
      <c r="E4799" s="1"/>
    </row>
    <row r="4800" spans="1:5" ht="16">
      <c r="A4800" s="1" t="s">
        <v>4475</v>
      </c>
      <c r="B4800" s="1" t="s">
        <v>4515</v>
      </c>
      <c r="C4800" s="1" t="s">
        <v>332</v>
      </c>
      <c r="D4800" s="1" t="s">
        <v>229</v>
      </c>
      <c r="E4800" s="1"/>
    </row>
    <row r="4801" spans="1:5" ht="16">
      <c r="A4801" s="1" t="s">
        <v>4475</v>
      </c>
      <c r="B4801" s="1" t="s">
        <v>4516</v>
      </c>
      <c r="C4801" s="1" t="s">
        <v>332</v>
      </c>
      <c r="D4801" s="1" t="s">
        <v>229</v>
      </c>
      <c r="E4801" s="1"/>
    </row>
    <row r="4802" spans="1:5" ht="16">
      <c r="A4802" s="1" t="s">
        <v>4475</v>
      </c>
      <c r="B4802" s="1" t="s">
        <v>4517</v>
      </c>
      <c r="C4802" s="1" t="s">
        <v>332</v>
      </c>
      <c r="D4802" s="1" t="s">
        <v>229</v>
      </c>
      <c r="E4802" s="1"/>
    </row>
    <row r="4803" spans="1:5" ht="16">
      <c r="A4803" s="1" t="s">
        <v>4475</v>
      </c>
      <c r="B4803" s="1" t="s">
        <v>4518</v>
      </c>
      <c r="C4803" s="1" t="s">
        <v>332</v>
      </c>
      <c r="D4803" s="1" t="s">
        <v>229</v>
      </c>
      <c r="E4803" s="1"/>
    </row>
    <row r="4804" spans="1:5" ht="16">
      <c r="A4804" s="1" t="s">
        <v>4475</v>
      </c>
      <c r="B4804" s="1" t="s">
        <v>4519</v>
      </c>
      <c r="C4804" s="1" t="s">
        <v>332</v>
      </c>
      <c r="D4804" s="1" t="s">
        <v>229</v>
      </c>
      <c r="E4804" s="1"/>
    </row>
    <row r="4805" spans="1:5" ht="16">
      <c r="A4805" s="1" t="s">
        <v>4475</v>
      </c>
      <c r="B4805" s="1" t="s">
        <v>4520</v>
      </c>
      <c r="C4805" s="1" t="s">
        <v>332</v>
      </c>
      <c r="D4805" s="1" t="s">
        <v>229</v>
      </c>
      <c r="E4805" s="1"/>
    </row>
    <row r="4806" spans="1:5" ht="16">
      <c r="A4806" s="1" t="s">
        <v>4475</v>
      </c>
      <c r="B4806" s="1" t="s">
        <v>4521</v>
      </c>
      <c r="C4806" s="1" t="s">
        <v>332</v>
      </c>
      <c r="D4806" s="1" t="s">
        <v>229</v>
      </c>
      <c r="E4806" s="1"/>
    </row>
    <row r="4807" spans="1:5" ht="16">
      <c r="A4807" s="1" t="s">
        <v>4475</v>
      </c>
      <c r="B4807" s="1" t="s">
        <v>4522</v>
      </c>
      <c r="C4807" s="1" t="s">
        <v>332</v>
      </c>
      <c r="D4807" s="1" t="s">
        <v>229</v>
      </c>
      <c r="E4807" s="1"/>
    </row>
    <row r="4808" spans="1:5" ht="16">
      <c r="A4808" s="1" t="s">
        <v>4475</v>
      </c>
      <c r="B4808" s="1" t="s">
        <v>4523</v>
      </c>
      <c r="C4808" s="1" t="s">
        <v>332</v>
      </c>
      <c r="D4808" s="1" t="s">
        <v>229</v>
      </c>
      <c r="E4808" s="1"/>
    </row>
    <row r="4809" spans="1:5" ht="16">
      <c r="A4809" s="1" t="s">
        <v>4475</v>
      </c>
      <c r="B4809" s="1" t="s">
        <v>4524</v>
      </c>
      <c r="C4809" s="1" t="s">
        <v>332</v>
      </c>
      <c r="D4809" s="1" t="s">
        <v>229</v>
      </c>
      <c r="E4809" s="1"/>
    </row>
    <row r="4810" spans="1:5" ht="16">
      <c r="A4810" s="1" t="s">
        <v>4475</v>
      </c>
      <c r="B4810" s="1" t="s">
        <v>4525</v>
      </c>
      <c r="C4810" s="1" t="s">
        <v>332</v>
      </c>
      <c r="D4810" s="1" t="s">
        <v>229</v>
      </c>
      <c r="E4810" s="1"/>
    </row>
    <row r="4811" spans="1:5" ht="16">
      <c r="A4811" s="1" t="s">
        <v>4475</v>
      </c>
      <c r="B4811" s="1" t="s">
        <v>4526</v>
      </c>
      <c r="C4811" s="1" t="s">
        <v>332</v>
      </c>
      <c r="D4811" s="1" t="s">
        <v>229</v>
      </c>
      <c r="E4811" s="1"/>
    </row>
    <row r="4812" spans="1:5" ht="16">
      <c r="A4812" s="1" t="s">
        <v>4475</v>
      </c>
      <c r="B4812" s="1" t="s">
        <v>4527</v>
      </c>
      <c r="C4812" s="1" t="s">
        <v>332</v>
      </c>
      <c r="D4812" s="1" t="s">
        <v>229</v>
      </c>
      <c r="E4812" s="1"/>
    </row>
    <row r="4813" spans="1:5" ht="16">
      <c r="A4813" s="1" t="s">
        <v>4475</v>
      </c>
      <c r="B4813" s="1" t="s">
        <v>4528</v>
      </c>
      <c r="C4813" s="1" t="s">
        <v>332</v>
      </c>
      <c r="D4813" s="1" t="s">
        <v>229</v>
      </c>
      <c r="E4813" s="1"/>
    </row>
    <row r="4814" spans="1:5" ht="16">
      <c r="A4814" s="1" t="s">
        <v>4475</v>
      </c>
      <c r="B4814" s="1" t="s">
        <v>4529</v>
      </c>
      <c r="C4814" s="1" t="s">
        <v>332</v>
      </c>
      <c r="D4814" s="1" t="s">
        <v>229</v>
      </c>
      <c r="E4814" s="1"/>
    </row>
    <row r="4815" spans="1:5" ht="16">
      <c r="A4815" s="1" t="s">
        <v>4475</v>
      </c>
      <c r="B4815" s="1" t="s">
        <v>4530</v>
      </c>
      <c r="C4815" s="1" t="s">
        <v>332</v>
      </c>
      <c r="D4815" s="1" t="s">
        <v>229</v>
      </c>
      <c r="E4815" s="1"/>
    </row>
    <row r="4816" spans="1:5" ht="16">
      <c r="A4816" s="1" t="s">
        <v>4475</v>
      </c>
      <c r="B4816" s="1" t="s">
        <v>4531</v>
      </c>
      <c r="C4816" s="1" t="s">
        <v>332</v>
      </c>
      <c r="D4816" s="1" t="s">
        <v>229</v>
      </c>
      <c r="E4816" s="1"/>
    </row>
    <row r="4817" spans="1:5" ht="16">
      <c r="A4817" s="1" t="s">
        <v>4475</v>
      </c>
      <c r="B4817" s="1" t="s">
        <v>4532</v>
      </c>
      <c r="C4817" s="1" t="s">
        <v>332</v>
      </c>
      <c r="D4817" s="1" t="s">
        <v>229</v>
      </c>
      <c r="E4817" s="1"/>
    </row>
    <row r="4818" spans="1:5" ht="16">
      <c r="A4818" s="1" t="s">
        <v>4475</v>
      </c>
      <c r="B4818" s="1" t="s">
        <v>4533</v>
      </c>
      <c r="C4818" s="1" t="s">
        <v>332</v>
      </c>
      <c r="D4818" s="1" t="s">
        <v>229</v>
      </c>
      <c r="E4818" s="1"/>
    </row>
    <row r="4819" spans="1:5" ht="16">
      <c r="A4819" s="1" t="s">
        <v>4475</v>
      </c>
      <c r="B4819" s="1" t="s">
        <v>4534</v>
      </c>
      <c r="C4819" s="1" t="s">
        <v>332</v>
      </c>
      <c r="D4819" s="1" t="s">
        <v>229</v>
      </c>
      <c r="E4819" s="1"/>
    </row>
    <row r="4820" spans="1:5" ht="16">
      <c r="A4820" s="1" t="s">
        <v>4475</v>
      </c>
      <c r="B4820" s="1" t="s">
        <v>4535</v>
      </c>
      <c r="C4820" s="1" t="s">
        <v>332</v>
      </c>
      <c r="D4820" s="1" t="s">
        <v>229</v>
      </c>
      <c r="E4820" s="1"/>
    </row>
    <row r="4821" spans="1:5" ht="16">
      <c r="A4821" s="1" t="s">
        <v>4475</v>
      </c>
      <c r="B4821" s="1" t="s">
        <v>4536</v>
      </c>
      <c r="C4821" s="1" t="s">
        <v>332</v>
      </c>
      <c r="D4821" s="1" t="s">
        <v>229</v>
      </c>
      <c r="E4821" s="1"/>
    </row>
    <row r="4822" spans="1:5" ht="16">
      <c r="A4822" s="1" t="s">
        <v>4475</v>
      </c>
      <c r="B4822" s="1" t="s">
        <v>4537</v>
      </c>
      <c r="C4822" s="1" t="s">
        <v>332</v>
      </c>
      <c r="D4822" s="1" t="s">
        <v>229</v>
      </c>
      <c r="E4822" s="1"/>
    </row>
    <row r="4823" spans="1:5" ht="16">
      <c r="A4823" s="1" t="s">
        <v>4475</v>
      </c>
      <c r="B4823" s="1" t="s">
        <v>4538</v>
      </c>
      <c r="C4823" s="1" t="s">
        <v>332</v>
      </c>
      <c r="D4823" s="1" t="s">
        <v>229</v>
      </c>
      <c r="E4823" s="1"/>
    </row>
    <row r="4824" spans="1:5" ht="16">
      <c r="A4824" s="1" t="s">
        <v>4475</v>
      </c>
      <c r="B4824" s="1" t="s">
        <v>4539</v>
      </c>
      <c r="C4824" s="1" t="s">
        <v>332</v>
      </c>
      <c r="D4824" s="1" t="s">
        <v>229</v>
      </c>
      <c r="E4824" s="1"/>
    </row>
    <row r="4825" spans="1:5" ht="16">
      <c r="A4825" s="1" t="s">
        <v>4475</v>
      </c>
      <c r="B4825" s="1" t="s">
        <v>4540</v>
      </c>
      <c r="C4825" s="1" t="s">
        <v>332</v>
      </c>
      <c r="D4825" s="1" t="s">
        <v>229</v>
      </c>
      <c r="E4825" s="1"/>
    </row>
    <row r="4826" spans="1:5" ht="16">
      <c r="A4826" s="1" t="s">
        <v>4475</v>
      </c>
      <c r="B4826" s="1" t="s">
        <v>4541</v>
      </c>
      <c r="C4826" s="1" t="s">
        <v>332</v>
      </c>
      <c r="D4826" s="1" t="s">
        <v>229</v>
      </c>
      <c r="E4826" s="1"/>
    </row>
    <row r="4827" spans="1:5" ht="16">
      <c r="A4827" s="1" t="s">
        <v>4475</v>
      </c>
      <c r="B4827" s="1" t="s">
        <v>4542</v>
      </c>
      <c r="C4827" s="1" t="s">
        <v>332</v>
      </c>
      <c r="D4827" s="1" t="s">
        <v>229</v>
      </c>
      <c r="E4827" s="1"/>
    </row>
    <row r="4828" spans="1:5" ht="16">
      <c r="A4828" s="1" t="s">
        <v>4475</v>
      </c>
      <c r="B4828" s="1" t="s">
        <v>4543</v>
      </c>
      <c r="C4828" s="1" t="s">
        <v>332</v>
      </c>
      <c r="D4828" s="1" t="s">
        <v>229</v>
      </c>
      <c r="E4828" s="1"/>
    </row>
    <row r="4829" spans="1:5" ht="16">
      <c r="A4829" s="1" t="s">
        <v>4475</v>
      </c>
      <c r="B4829" s="1" t="s">
        <v>4544</v>
      </c>
      <c r="C4829" s="1" t="s">
        <v>332</v>
      </c>
      <c r="D4829" s="1" t="s">
        <v>229</v>
      </c>
      <c r="E4829" s="1"/>
    </row>
    <row r="4830" spans="1:5" ht="16">
      <c r="A4830" s="1" t="s">
        <v>4475</v>
      </c>
      <c r="B4830" s="1" t="s">
        <v>4545</v>
      </c>
      <c r="C4830" s="1" t="s">
        <v>332</v>
      </c>
      <c r="D4830" s="1" t="s">
        <v>229</v>
      </c>
      <c r="E4830" s="1"/>
    </row>
    <row r="4831" spans="1:5" ht="16">
      <c r="A4831" s="1" t="s">
        <v>4475</v>
      </c>
      <c r="B4831" s="1" t="s">
        <v>4546</v>
      </c>
      <c r="C4831" s="1" t="s">
        <v>332</v>
      </c>
      <c r="D4831" s="1" t="s">
        <v>229</v>
      </c>
      <c r="E4831" s="1"/>
    </row>
    <row r="4832" spans="1:5" ht="16">
      <c r="A4832" s="1" t="s">
        <v>4475</v>
      </c>
      <c r="B4832" s="1" t="s">
        <v>4547</v>
      </c>
      <c r="C4832" s="1" t="s">
        <v>332</v>
      </c>
      <c r="D4832" s="1" t="s">
        <v>229</v>
      </c>
      <c r="E4832" s="1"/>
    </row>
    <row r="4833" spans="1:5" ht="16">
      <c r="A4833" s="1" t="s">
        <v>4475</v>
      </c>
      <c r="B4833" s="1" t="s">
        <v>4548</v>
      </c>
      <c r="C4833" s="1" t="s">
        <v>332</v>
      </c>
      <c r="D4833" s="1" t="s">
        <v>229</v>
      </c>
      <c r="E4833" s="1"/>
    </row>
    <row r="4834" spans="1:5" ht="16">
      <c r="A4834" s="1" t="s">
        <v>4475</v>
      </c>
      <c r="B4834" s="1" t="s">
        <v>4549</v>
      </c>
      <c r="C4834" s="1" t="s">
        <v>332</v>
      </c>
      <c r="D4834" s="1" t="s">
        <v>229</v>
      </c>
      <c r="E4834" s="1"/>
    </row>
    <row r="4835" spans="1:5" ht="16">
      <c r="A4835" s="1" t="s">
        <v>4475</v>
      </c>
      <c r="B4835" s="1" t="s">
        <v>4550</v>
      </c>
      <c r="C4835" s="1" t="s">
        <v>332</v>
      </c>
      <c r="D4835" s="1" t="s">
        <v>229</v>
      </c>
      <c r="E4835" s="1"/>
    </row>
    <row r="4836" spans="1:5" ht="16">
      <c r="A4836" s="1" t="s">
        <v>4475</v>
      </c>
      <c r="B4836" s="1" t="s">
        <v>4551</v>
      </c>
      <c r="C4836" s="1" t="s">
        <v>332</v>
      </c>
      <c r="D4836" s="1" t="s">
        <v>229</v>
      </c>
      <c r="E4836" s="1"/>
    </row>
    <row r="4837" spans="1:5" ht="16">
      <c r="A4837" s="1" t="s">
        <v>4475</v>
      </c>
      <c r="B4837" s="1" t="s">
        <v>4552</v>
      </c>
      <c r="C4837" s="1" t="s">
        <v>332</v>
      </c>
      <c r="D4837" s="1" t="s">
        <v>229</v>
      </c>
      <c r="E4837" s="1"/>
    </row>
    <row r="4838" spans="1:5" ht="16">
      <c r="A4838" s="1" t="s">
        <v>4475</v>
      </c>
      <c r="B4838" s="1" t="s">
        <v>4553</v>
      </c>
      <c r="C4838" s="1" t="s">
        <v>332</v>
      </c>
      <c r="D4838" s="1" t="s">
        <v>229</v>
      </c>
      <c r="E4838" s="1"/>
    </row>
    <row r="4839" spans="1:5" ht="16">
      <c r="A4839" s="1" t="s">
        <v>4475</v>
      </c>
      <c r="B4839" s="1" t="s">
        <v>4554</v>
      </c>
      <c r="C4839" s="1" t="s">
        <v>332</v>
      </c>
      <c r="D4839" s="1" t="s">
        <v>229</v>
      </c>
      <c r="E4839" s="1"/>
    </row>
    <row r="4840" spans="1:5" ht="16">
      <c r="A4840" s="1" t="s">
        <v>4475</v>
      </c>
      <c r="B4840" s="1" t="s">
        <v>4555</v>
      </c>
      <c r="C4840" s="1" t="s">
        <v>332</v>
      </c>
      <c r="D4840" s="1" t="s">
        <v>229</v>
      </c>
      <c r="E4840" s="1"/>
    </row>
    <row r="4841" spans="1:5" ht="16">
      <c r="A4841" s="1" t="s">
        <v>4475</v>
      </c>
      <c r="B4841" s="1" t="s">
        <v>4556</v>
      </c>
      <c r="C4841" s="1" t="s">
        <v>332</v>
      </c>
      <c r="D4841" s="1" t="s">
        <v>229</v>
      </c>
      <c r="E4841" s="1"/>
    </row>
    <row r="4842" spans="1:5" ht="16">
      <c r="A4842" s="1" t="s">
        <v>4475</v>
      </c>
      <c r="B4842" s="1" t="s">
        <v>4557</v>
      </c>
      <c r="C4842" s="1" t="s">
        <v>332</v>
      </c>
      <c r="D4842" s="1" t="s">
        <v>229</v>
      </c>
      <c r="E4842" s="1"/>
    </row>
    <row r="4843" spans="1:5" ht="16">
      <c r="A4843" s="1" t="s">
        <v>4475</v>
      </c>
      <c r="B4843" s="1" t="s">
        <v>4558</v>
      </c>
      <c r="C4843" s="1" t="s">
        <v>332</v>
      </c>
      <c r="D4843" s="1" t="s">
        <v>229</v>
      </c>
      <c r="E4843" s="1"/>
    </row>
    <row r="4844" spans="1:5" ht="16">
      <c r="A4844" s="1" t="s">
        <v>4475</v>
      </c>
      <c r="B4844" s="1" t="s">
        <v>4559</v>
      </c>
      <c r="C4844" s="1" t="s">
        <v>332</v>
      </c>
      <c r="D4844" s="1" t="s">
        <v>229</v>
      </c>
      <c r="E4844" s="1"/>
    </row>
    <row r="4845" spans="1:5" ht="16">
      <c r="A4845" s="1" t="s">
        <v>4475</v>
      </c>
      <c r="B4845" s="1" t="s">
        <v>4560</v>
      </c>
      <c r="C4845" s="1" t="s">
        <v>332</v>
      </c>
      <c r="D4845" s="1" t="s">
        <v>229</v>
      </c>
      <c r="E4845" s="1"/>
    </row>
    <row r="4846" spans="1:5" ht="16">
      <c r="A4846" s="1" t="s">
        <v>4475</v>
      </c>
      <c r="B4846" s="1" t="s">
        <v>4561</v>
      </c>
      <c r="C4846" s="1" t="s">
        <v>332</v>
      </c>
      <c r="D4846" s="1" t="s">
        <v>229</v>
      </c>
      <c r="E4846" s="1"/>
    </row>
    <row r="4847" spans="1:5" ht="16">
      <c r="A4847" s="1" t="s">
        <v>4475</v>
      </c>
      <c r="B4847" s="1" t="s">
        <v>4562</v>
      </c>
      <c r="C4847" s="1" t="s">
        <v>332</v>
      </c>
      <c r="D4847" s="1" t="s">
        <v>229</v>
      </c>
      <c r="E4847" s="1"/>
    </row>
    <row r="4848" spans="1:5" ht="16">
      <c r="A4848" s="1" t="s">
        <v>4475</v>
      </c>
      <c r="B4848" s="1" t="s">
        <v>4563</v>
      </c>
      <c r="C4848" s="1" t="s">
        <v>332</v>
      </c>
      <c r="D4848" s="1" t="s">
        <v>229</v>
      </c>
      <c r="E4848" s="1"/>
    </row>
    <row r="4849" spans="1:5" ht="16">
      <c r="A4849" s="1" t="s">
        <v>4475</v>
      </c>
      <c r="B4849" s="1" t="s">
        <v>4564</v>
      </c>
      <c r="C4849" s="1" t="s">
        <v>332</v>
      </c>
      <c r="D4849" s="1" t="s">
        <v>229</v>
      </c>
      <c r="E4849" s="1"/>
    </row>
    <row r="4850" spans="1:5" ht="16">
      <c r="A4850" s="1" t="s">
        <v>4475</v>
      </c>
      <c r="B4850" s="1" t="s">
        <v>4565</v>
      </c>
      <c r="C4850" s="1" t="s">
        <v>332</v>
      </c>
      <c r="D4850" s="1" t="s">
        <v>229</v>
      </c>
      <c r="E4850" s="1"/>
    </row>
    <row r="4851" spans="1:5" ht="16">
      <c r="A4851" s="1" t="s">
        <v>4475</v>
      </c>
      <c r="B4851" s="1" t="s">
        <v>4566</v>
      </c>
      <c r="C4851" s="1" t="s">
        <v>332</v>
      </c>
      <c r="D4851" s="1" t="s">
        <v>229</v>
      </c>
      <c r="E4851" s="1"/>
    </row>
    <row r="4852" spans="1:5" ht="16">
      <c r="A4852" s="1" t="s">
        <v>4475</v>
      </c>
      <c r="B4852" s="1" t="s">
        <v>4567</v>
      </c>
      <c r="C4852" s="1" t="s">
        <v>332</v>
      </c>
      <c r="D4852" s="1" t="s">
        <v>229</v>
      </c>
      <c r="E4852" s="1"/>
    </row>
    <row r="4853" spans="1:5" ht="16">
      <c r="A4853" s="1" t="s">
        <v>4475</v>
      </c>
      <c r="B4853" s="1" t="s">
        <v>4568</v>
      </c>
      <c r="C4853" s="1" t="s">
        <v>332</v>
      </c>
      <c r="D4853" s="1" t="s">
        <v>229</v>
      </c>
      <c r="E4853" s="1"/>
    </row>
    <row r="4854" spans="1:5" ht="16">
      <c r="A4854" s="1" t="s">
        <v>4475</v>
      </c>
      <c r="B4854" s="1" t="s">
        <v>4569</v>
      </c>
      <c r="C4854" s="1" t="s">
        <v>332</v>
      </c>
      <c r="D4854" s="1" t="s">
        <v>229</v>
      </c>
      <c r="E4854" s="1"/>
    </row>
    <row r="4855" spans="1:5" ht="16">
      <c r="A4855" s="1" t="s">
        <v>4475</v>
      </c>
      <c r="B4855" s="1" t="s">
        <v>4570</v>
      </c>
      <c r="C4855" s="1" t="s">
        <v>332</v>
      </c>
      <c r="D4855" s="1" t="s">
        <v>229</v>
      </c>
      <c r="E4855" s="1"/>
    </row>
    <row r="4856" spans="1:5" ht="16">
      <c r="A4856" s="1" t="s">
        <v>4475</v>
      </c>
      <c r="B4856" s="1" t="s">
        <v>4571</v>
      </c>
      <c r="C4856" s="1" t="s">
        <v>332</v>
      </c>
      <c r="D4856" s="1" t="s">
        <v>229</v>
      </c>
      <c r="E4856" s="1"/>
    </row>
    <row r="4857" spans="1:5" ht="16">
      <c r="A4857" s="1" t="s">
        <v>4475</v>
      </c>
      <c r="B4857" s="1" t="s">
        <v>4572</v>
      </c>
      <c r="C4857" s="1" t="s">
        <v>332</v>
      </c>
      <c r="D4857" s="1" t="s">
        <v>229</v>
      </c>
      <c r="E4857" s="1"/>
    </row>
    <row r="4858" spans="1:5" ht="16">
      <c r="A4858" s="1" t="s">
        <v>4475</v>
      </c>
      <c r="B4858" s="1" t="s">
        <v>4573</v>
      </c>
      <c r="C4858" s="1" t="s">
        <v>332</v>
      </c>
      <c r="D4858" s="1" t="s">
        <v>229</v>
      </c>
      <c r="E4858" s="1"/>
    </row>
    <row r="4859" spans="1:5" ht="16">
      <c r="A4859" s="1" t="s">
        <v>4475</v>
      </c>
      <c r="B4859" s="1" t="s">
        <v>4574</v>
      </c>
      <c r="C4859" s="1" t="s">
        <v>332</v>
      </c>
      <c r="D4859" s="1" t="s">
        <v>229</v>
      </c>
      <c r="E4859" s="1"/>
    </row>
    <row r="4860" spans="1:5" ht="16">
      <c r="A4860" s="1" t="s">
        <v>4475</v>
      </c>
      <c r="B4860" s="1" t="s">
        <v>4575</v>
      </c>
      <c r="C4860" s="1" t="s">
        <v>332</v>
      </c>
      <c r="D4860" s="1" t="s">
        <v>229</v>
      </c>
      <c r="E4860" s="1"/>
    </row>
    <row r="4861" spans="1:5" ht="16">
      <c r="A4861" s="1" t="s">
        <v>4475</v>
      </c>
      <c r="B4861" s="1" t="s">
        <v>4576</v>
      </c>
      <c r="C4861" s="1" t="s">
        <v>332</v>
      </c>
      <c r="D4861" s="1" t="s">
        <v>229</v>
      </c>
      <c r="E4861" s="1"/>
    </row>
    <row r="4862" spans="1:5" ht="16">
      <c r="A4862" s="1" t="s">
        <v>4475</v>
      </c>
      <c r="B4862" s="1" t="s">
        <v>4577</v>
      </c>
      <c r="C4862" s="1" t="s">
        <v>332</v>
      </c>
      <c r="D4862" s="1" t="s">
        <v>229</v>
      </c>
      <c r="E4862" s="1"/>
    </row>
    <row r="4863" spans="1:5" ht="16">
      <c r="A4863" s="1" t="s">
        <v>4475</v>
      </c>
      <c r="B4863" s="1" t="s">
        <v>4578</v>
      </c>
      <c r="C4863" s="1" t="s">
        <v>332</v>
      </c>
      <c r="D4863" s="1" t="s">
        <v>229</v>
      </c>
      <c r="E4863" s="1"/>
    </row>
    <row r="4864" spans="1:5" ht="16">
      <c r="A4864" s="1" t="s">
        <v>4475</v>
      </c>
      <c r="B4864" s="1" t="s">
        <v>4579</v>
      </c>
      <c r="C4864" s="1" t="s">
        <v>332</v>
      </c>
      <c r="D4864" s="1" t="s">
        <v>229</v>
      </c>
      <c r="E4864" s="1"/>
    </row>
    <row r="4865" spans="1:5" ht="16">
      <c r="A4865" s="1" t="s">
        <v>4475</v>
      </c>
      <c r="B4865" s="1" t="s">
        <v>4580</v>
      </c>
      <c r="C4865" s="1" t="s">
        <v>332</v>
      </c>
      <c r="D4865" s="1" t="s">
        <v>229</v>
      </c>
      <c r="E4865" s="1"/>
    </row>
    <row r="4866" spans="1:5" ht="16">
      <c r="A4866" s="1" t="s">
        <v>4475</v>
      </c>
      <c r="B4866" s="1" t="s">
        <v>4581</v>
      </c>
      <c r="C4866" s="1" t="s">
        <v>332</v>
      </c>
      <c r="D4866" s="1" t="s">
        <v>229</v>
      </c>
      <c r="E4866" s="1"/>
    </row>
    <row r="4867" spans="1:5" ht="16">
      <c r="A4867" s="1" t="s">
        <v>4475</v>
      </c>
      <c r="B4867" s="1" t="s">
        <v>4582</v>
      </c>
      <c r="C4867" s="1" t="s">
        <v>332</v>
      </c>
      <c r="D4867" s="1" t="s">
        <v>229</v>
      </c>
      <c r="E4867" s="1"/>
    </row>
    <row r="4868" spans="1:5" ht="16">
      <c r="A4868" s="1" t="s">
        <v>4475</v>
      </c>
      <c r="B4868" s="1" t="s">
        <v>4583</v>
      </c>
      <c r="C4868" s="1" t="s">
        <v>332</v>
      </c>
      <c r="D4868" s="1" t="s">
        <v>229</v>
      </c>
      <c r="E4868" s="1"/>
    </row>
    <row r="4869" spans="1:5" ht="16">
      <c r="A4869" s="1" t="s">
        <v>4475</v>
      </c>
      <c r="B4869" s="1" t="s">
        <v>4584</v>
      </c>
      <c r="C4869" s="1" t="s">
        <v>332</v>
      </c>
      <c r="D4869" s="1" t="s">
        <v>229</v>
      </c>
      <c r="E4869" s="1"/>
    </row>
    <row r="4870" spans="1:5" ht="16">
      <c r="A4870" s="1" t="s">
        <v>4475</v>
      </c>
      <c r="B4870" s="1" t="s">
        <v>4585</v>
      </c>
      <c r="C4870" s="1" t="s">
        <v>332</v>
      </c>
      <c r="D4870" s="1" t="s">
        <v>229</v>
      </c>
      <c r="E4870" s="1"/>
    </row>
    <row r="4871" spans="1:5" ht="16">
      <c r="A4871" s="1" t="s">
        <v>4475</v>
      </c>
      <c r="B4871" s="1" t="s">
        <v>4586</v>
      </c>
      <c r="C4871" s="1" t="s">
        <v>332</v>
      </c>
      <c r="D4871" s="1" t="s">
        <v>229</v>
      </c>
      <c r="E4871" s="1"/>
    </row>
    <row r="4872" spans="1:5" ht="16">
      <c r="A4872" s="1" t="s">
        <v>4475</v>
      </c>
      <c r="B4872" s="1" t="s">
        <v>4587</v>
      </c>
      <c r="C4872" s="1" t="s">
        <v>332</v>
      </c>
      <c r="D4872" s="1" t="s">
        <v>229</v>
      </c>
      <c r="E4872" s="1"/>
    </row>
    <row r="4873" spans="1:5" ht="16">
      <c r="A4873" s="1" t="s">
        <v>4475</v>
      </c>
      <c r="B4873" s="1" t="s">
        <v>4588</v>
      </c>
      <c r="C4873" s="1" t="s">
        <v>332</v>
      </c>
      <c r="D4873" s="1" t="s">
        <v>229</v>
      </c>
      <c r="E4873" s="1"/>
    </row>
    <row r="4874" spans="1:5" ht="16">
      <c r="A4874" s="1" t="s">
        <v>4475</v>
      </c>
      <c r="B4874" s="1" t="s">
        <v>4589</v>
      </c>
      <c r="C4874" s="1" t="s">
        <v>332</v>
      </c>
      <c r="D4874" s="1" t="s">
        <v>229</v>
      </c>
      <c r="E4874" s="1"/>
    </row>
    <row r="4875" spans="1:5" ht="16">
      <c r="A4875" s="1" t="s">
        <v>4475</v>
      </c>
      <c r="B4875" s="1" t="s">
        <v>4590</v>
      </c>
      <c r="C4875" s="1" t="s">
        <v>332</v>
      </c>
      <c r="D4875" s="1" t="s">
        <v>229</v>
      </c>
      <c r="E4875" s="1"/>
    </row>
    <row r="4876" spans="1:5" ht="16">
      <c r="A4876" s="1" t="s">
        <v>4475</v>
      </c>
      <c r="B4876" s="1" t="s">
        <v>4591</v>
      </c>
      <c r="C4876" s="1" t="s">
        <v>332</v>
      </c>
      <c r="D4876" s="1" t="s">
        <v>229</v>
      </c>
      <c r="E4876" s="1"/>
    </row>
    <row r="4877" spans="1:5" ht="16">
      <c r="A4877" s="1" t="s">
        <v>4475</v>
      </c>
      <c r="B4877" s="1" t="s">
        <v>4592</v>
      </c>
      <c r="C4877" s="1" t="s">
        <v>332</v>
      </c>
      <c r="D4877" s="1" t="s">
        <v>229</v>
      </c>
      <c r="E4877" s="1"/>
    </row>
    <row r="4878" spans="1:5" ht="16">
      <c r="A4878" s="1" t="s">
        <v>4475</v>
      </c>
      <c r="B4878" s="1" t="s">
        <v>4593</v>
      </c>
      <c r="C4878" s="1" t="s">
        <v>332</v>
      </c>
      <c r="D4878" s="1" t="s">
        <v>229</v>
      </c>
      <c r="E4878" s="1"/>
    </row>
    <row r="4879" spans="1:5" ht="16">
      <c r="A4879" s="1" t="s">
        <v>4475</v>
      </c>
      <c r="B4879" s="1" t="s">
        <v>4594</v>
      </c>
      <c r="C4879" s="1" t="s">
        <v>332</v>
      </c>
      <c r="D4879" s="1" t="s">
        <v>229</v>
      </c>
      <c r="E4879" s="1"/>
    </row>
    <row r="4880" spans="1:5" ht="16">
      <c r="A4880" s="1" t="s">
        <v>4475</v>
      </c>
      <c r="B4880" s="1" t="s">
        <v>4595</v>
      </c>
      <c r="C4880" s="1" t="s">
        <v>332</v>
      </c>
      <c r="D4880" s="1" t="s">
        <v>229</v>
      </c>
      <c r="E4880" s="1"/>
    </row>
    <row r="4881" spans="1:5" ht="16">
      <c r="A4881" s="1" t="s">
        <v>4475</v>
      </c>
      <c r="B4881" s="1" t="s">
        <v>4596</v>
      </c>
      <c r="C4881" s="1" t="s">
        <v>332</v>
      </c>
      <c r="D4881" s="1" t="s">
        <v>229</v>
      </c>
      <c r="E4881" s="1"/>
    </row>
    <row r="4882" spans="1:5" ht="16">
      <c r="A4882" s="1" t="s">
        <v>4475</v>
      </c>
      <c r="B4882" s="1" t="s">
        <v>4597</v>
      </c>
      <c r="C4882" s="1" t="s">
        <v>332</v>
      </c>
      <c r="D4882" s="1" t="s">
        <v>229</v>
      </c>
      <c r="E4882" s="1"/>
    </row>
    <row r="4883" spans="1:5" ht="16">
      <c r="A4883" s="1" t="s">
        <v>4475</v>
      </c>
      <c r="B4883" s="1" t="s">
        <v>4598</v>
      </c>
      <c r="C4883" s="1" t="s">
        <v>332</v>
      </c>
      <c r="D4883" s="1" t="s">
        <v>229</v>
      </c>
      <c r="E4883" s="1"/>
    </row>
    <row r="4884" spans="1:5" ht="16">
      <c r="A4884" s="1" t="s">
        <v>4475</v>
      </c>
      <c r="B4884" s="1" t="s">
        <v>4599</v>
      </c>
      <c r="C4884" s="1" t="s">
        <v>332</v>
      </c>
      <c r="D4884" s="1" t="s">
        <v>229</v>
      </c>
      <c r="E4884" s="1"/>
    </row>
    <row r="4885" spans="1:5" ht="16">
      <c r="A4885" s="1" t="s">
        <v>4475</v>
      </c>
      <c r="B4885" s="1" t="s">
        <v>4600</v>
      </c>
      <c r="C4885" s="1" t="s">
        <v>332</v>
      </c>
      <c r="D4885" s="1" t="s">
        <v>229</v>
      </c>
      <c r="E4885" s="1"/>
    </row>
    <row r="4886" spans="1:5" ht="16">
      <c r="A4886" s="1" t="s">
        <v>4475</v>
      </c>
      <c r="B4886" s="1" t="s">
        <v>4601</v>
      </c>
      <c r="C4886" s="1" t="s">
        <v>332</v>
      </c>
      <c r="D4886" s="1" t="s">
        <v>229</v>
      </c>
      <c r="E4886" s="1"/>
    </row>
    <row r="4887" spans="1:5" ht="16">
      <c r="A4887" s="1" t="s">
        <v>4475</v>
      </c>
      <c r="B4887" s="1" t="s">
        <v>4602</v>
      </c>
      <c r="C4887" s="1" t="s">
        <v>332</v>
      </c>
      <c r="D4887" s="1" t="s">
        <v>229</v>
      </c>
      <c r="E4887" s="1"/>
    </row>
    <row r="4888" spans="1:5" ht="16">
      <c r="A4888" s="1" t="s">
        <v>4475</v>
      </c>
      <c r="B4888" s="1" t="s">
        <v>4603</v>
      </c>
      <c r="C4888" s="1" t="s">
        <v>332</v>
      </c>
      <c r="D4888" s="1" t="s">
        <v>229</v>
      </c>
      <c r="E4888" s="1"/>
    </row>
    <row r="4889" spans="1:5" ht="16">
      <c r="A4889" s="1" t="s">
        <v>4475</v>
      </c>
      <c r="B4889" s="1" t="s">
        <v>4604</v>
      </c>
      <c r="C4889" s="1" t="s">
        <v>332</v>
      </c>
      <c r="D4889" s="1" t="s">
        <v>229</v>
      </c>
      <c r="E4889" s="1"/>
    </row>
    <row r="4890" spans="1:5" ht="16">
      <c r="A4890" s="1" t="s">
        <v>4475</v>
      </c>
      <c r="B4890" s="1" t="s">
        <v>4605</v>
      </c>
      <c r="C4890" s="1" t="s">
        <v>332</v>
      </c>
      <c r="D4890" s="1" t="s">
        <v>229</v>
      </c>
      <c r="E4890" s="1"/>
    </row>
    <row r="4891" spans="1:5" ht="16">
      <c r="A4891" s="1" t="s">
        <v>4475</v>
      </c>
      <c r="B4891" s="1" t="s">
        <v>4606</v>
      </c>
      <c r="C4891" s="1" t="s">
        <v>332</v>
      </c>
      <c r="D4891" s="1" t="s">
        <v>229</v>
      </c>
      <c r="E4891" s="1"/>
    </row>
    <row r="4892" spans="1:5" ht="16">
      <c r="A4892" s="1" t="s">
        <v>4475</v>
      </c>
      <c r="B4892" s="1" t="s">
        <v>4607</v>
      </c>
      <c r="C4892" s="1" t="s">
        <v>332</v>
      </c>
      <c r="D4892" s="1" t="s">
        <v>229</v>
      </c>
      <c r="E4892" s="1"/>
    </row>
    <row r="4893" spans="1:5" ht="16">
      <c r="A4893" s="1" t="s">
        <v>4475</v>
      </c>
      <c r="B4893" s="1" t="s">
        <v>4608</v>
      </c>
      <c r="C4893" s="1" t="s">
        <v>332</v>
      </c>
      <c r="D4893" s="1" t="s">
        <v>229</v>
      </c>
      <c r="E4893" s="1"/>
    </row>
    <row r="4894" spans="1:5" ht="16">
      <c r="A4894" s="1" t="s">
        <v>4475</v>
      </c>
      <c r="B4894" s="1" t="s">
        <v>4609</v>
      </c>
      <c r="C4894" s="1" t="s">
        <v>332</v>
      </c>
      <c r="D4894" s="1" t="s">
        <v>229</v>
      </c>
      <c r="E4894" s="1"/>
    </row>
    <row r="4895" spans="1:5" ht="16">
      <c r="A4895" s="1" t="s">
        <v>4475</v>
      </c>
      <c r="B4895" s="1" t="s">
        <v>4610</v>
      </c>
      <c r="C4895" s="1" t="s">
        <v>332</v>
      </c>
      <c r="D4895" s="1" t="s">
        <v>229</v>
      </c>
      <c r="E4895" s="1"/>
    </row>
    <row r="4896" spans="1:5" ht="16">
      <c r="A4896" s="1" t="s">
        <v>4475</v>
      </c>
      <c r="B4896" s="1" t="s">
        <v>4611</v>
      </c>
      <c r="C4896" s="1" t="s">
        <v>332</v>
      </c>
      <c r="D4896" s="1" t="s">
        <v>229</v>
      </c>
      <c r="E4896" s="1"/>
    </row>
    <row r="4897" spans="1:5" ht="16">
      <c r="A4897" s="1" t="s">
        <v>4475</v>
      </c>
      <c r="B4897" s="1" t="s">
        <v>4612</v>
      </c>
      <c r="C4897" s="1" t="s">
        <v>332</v>
      </c>
      <c r="D4897" s="1" t="s">
        <v>229</v>
      </c>
      <c r="E4897" s="1"/>
    </row>
    <row r="4898" spans="1:5" ht="16">
      <c r="A4898" s="1" t="s">
        <v>4475</v>
      </c>
      <c r="B4898" s="1" t="s">
        <v>4613</v>
      </c>
      <c r="C4898" s="1" t="s">
        <v>332</v>
      </c>
      <c r="D4898" s="1" t="s">
        <v>229</v>
      </c>
      <c r="E4898" s="1"/>
    </row>
    <row r="4899" spans="1:5" ht="16">
      <c r="A4899" s="1" t="s">
        <v>4475</v>
      </c>
      <c r="B4899" s="1" t="s">
        <v>4614</v>
      </c>
      <c r="C4899" s="1" t="s">
        <v>332</v>
      </c>
      <c r="D4899" s="1" t="s">
        <v>229</v>
      </c>
      <c r="E4899" s="1"/>
    </row>
    <row r="4900" spans="1:5" ht="16">
      <c r="A4900" s="1" t="s">
        <v>4475</v>
      </c>
      <c r="B4900" s="1" t="s">
        <v>4615</v>
      </c>
      <c r="C4900" s="1" t="s">
        <v>332</v>
      </c>
      <c r="D4900" s="1" t="s">
        <v>229</v>
      </c>
      <c r="E4900" s="1"/>
    </row>
    <row r="4901" spans="1:5" ht="16">
      <c r="A4901" s="1" t="s">
        <v>4475</v>
      </c>
      <c r="B4901" s="1" t="s">
        <v>4616</v>
      </c>
      <c r="C4901" s="1" t="s">
        <v>332</v>
      </c>
      <c r="D4901" s="1" t="s">
        <v>229</v>
      </c>
      <c r="E4901" s="1"/>
    </row>
    <row r="4902" spans="1:5" ht="16">
      <c r="A4902" s="1" t="s">
        <v>4475</v>
      </c>
      <c r="B4902" s="1" t="s">
        <v>4617</v>
      </c>
      <c r="C4902" s="1" t="s">
        <v>332</v>
      </c>
      <c r="D4902" s="1" t="s">
        <v>229</v>
      </c>
      <c r="E4902" s="1"/>
    </row>
    <row r="4903" spans="1:5" ht="16">
      <c r="A4903" s="1" t="s">
        <v>4475</v>
      </c>
      <c r="B4903" s="1" t="s">
        <v>4618</v>
      </c>
      <c r="C4903" s="1" t="s">
        <v>332</v>
      </c>
      <c r="D4903" s="1" t="s">
        <v>229</v>
      </c>
      <c r="E4903" s="1"/>
    </row>
    <row r="4904" spans="1:5" ht="16">
      <c r="A4904" s="1" t="s">
        <v>4475</v>
      </c>
      <c r="B4904" s="1" t="s">
        <v>4619</v>
      </c>
      <c r="C4904" s="1" t="s">
        <v>332</v>
      </c>
      <c r="D4904" s="1" t="s">
        <v>229</v>
      </c>
      <c r="E4904" s="1"/>
    </row>
    <row r="4905" spans="1:5" ht="16">
      <c r="A4905" s="1" t="s">
        <v>4475</v>
      </c>
      <c r="B4905" s="1" t="s">
        <v>4620</v>
      </c>
      <c r="C4905" s="1" t="s">
        <v>332</v>
      </c>
      <c r="D4905" s="1" t="s">
        <v>229</v>
      </c>
      <c r="E4905" s="1"/>
    </row>
    <row r="4906" spans="1:5" ht="16">
      <c r="A4906" s="1" t="s">
        <v>4475</v>
      </c>
      <c r="B4906" s="1" t="s">
        <v>4621</v>
      </c>
      <c r="C4906" s="1" t="s">
        <v>332</v>
      </c>
      <c r="D4906" s="1" t="s">
        <v>229</v>
      </c>
      <c r="E4906" s="1"/>
    </row>
    <row r="4907" spans="1:5" ht="16">
      <c r="A4907" s="1" t="s">
        <v>4475</v>
      </c>
      <c r="B4907" s="1" t="s">
        <v>4622</v>
      </c>
      <c r="C4907" s="1" t="s">
        <v>332</v>
      </c>
      <c r="D4907" s="1" t="s">
        <v>229</v>
      </c>
      <c r="E4907" s="1"/>
    </row>
    <row r="4908" spans="1:5" ht="16">
      <c r="A4908" s="1" t="s">
        <v>4475</v>
      </c>
      <c r="B4908" s="1" t="s">
        <v>4623</v>
      </c>
      <c r="C4908" s="1" t="s">
        <v>332</v>
      </c>
      <c r="D4908" s="1" t="s">
        <v>229</v>
      </c>
      <c r="E4908" s="1"/>
    </row>
    <row r="4909" spans="1:5" ht="16">
      <c r="A4909" s="1" t="s">
        <v>4475</v>
      </c>
      <c r="B4909" s="1" t="s">
        <v>4624</v>
      </c>
      <c r="C4909" s="1" t="s">
        <v>332</v>
      </c>
      <c r="D4909" s="1" t="s">
        <v>229</v>
      </c>
      <c r="E4909" s="1"/>
    </row>
    <row r="4910" spans="1:5" ht="16">
      <c r="A4910" s="1" t="s">
        <v>4475</v>
      </c>
      <c r="B4910" s="1" t="s">
        <v>4625</v>
      </c>
      <c r="C4910" s="1" t="s">
        <v>332</v>
      </c>
      <c r="D4910" s="1" t="s">
        <v>229</v>
      </c>
      <c r="E4910" s="1"/>
    </row>
    <row r="4911" spans="1:5" ht="16">
      <c r="A4911" s="1" t="s">
        <v>4475</v>
      </c>
      <c r="B4911" s="1" t="s">
        <v>4626</v>
      </c>
      <c r="C4911" s="1" t="s">
        <v>332</v>
      </c>
      <c r="D4911" s="1" t="s">
        <v>229</v>
      </c>
      <c r="E4911" s="1"/>
    </row>
    <row r="4912" spans="1:5" ht="16">
      <c r="A4912" s="1" t="s">
        <v>4475</v>
      </c>
      <c r="B4912" s="1" t="s">
        <v>4627</v>
      </c>
      <c r="C4912" s="1" t="s">
        <v>332</v>
      </c>
      <c r="D4912" s="1" t="s">
        <v>229</v>
      </c>
      <c r="E4912" s="1"/>
    </row>
    <row r="4913" spans="1:5" ht="16">
      <c r="A4913" s="1" t="s">
        <v>4475</v>
      </c>
      <c r="B4913" s="1" t="s">
        <v>4628</v>
      </c>
      <c r="C4913" s="1" t="s">
        <v>332</v>
      </c>
      <c r="D4913" s="1" t="s">
        <v>229</v>
      </c>
      <c r="E4913" s="1"/>
    </row>
    <row r="4914" spans="1:5" ht="16">
      <c r="A4914" s="1" t="s">
        <v>4475</v>
      </c>
      <c r="B4914" s="1" t="s">
        <v>4629</v>
      </c>
      <c r="C4914" s="1" t="s">
        <v>332</v>
      </c>
      <c r="D4914" s="1" t="s">
        <v>229</v>
      </c>
      <c r="E4914" s="1"/>
    </row>
    <row r="4915" spans="1:5" ht="16">
      <c r="A4915" s="1" t="s">
        <v>4475</v>
      </c>
      <c r="B4915" s="1" t="s">
        <v>4630</v>
      </c>
      <c r="C4915" s="1" t="s">
        <v>332</v>
      </c>
      <c r="D4915" s="1" t="s">
        <v>229</v>
      </c>
      <c r="E4915" s="1"/>
    </row>
    <row r="4916" spans="1:5" ht="16">
      <c r="A4916" s="1" t="s">
        <v>4475</v>
      </c>
      <c r="B4916" s="1" t="s">
        <v>4631</v>
      </c>
      <c r="C4916" s="1" t="s">
        <v>332</v>
      </c>
      <c r="D4916" s="1" t="s">
        <v>229</v>
      </c>
      <c r="E4916" s="1"/>
    </row>
    <row r="4917" spans="1:5" ht="16">
      <c r="A4917" s="1" t="s">
        <v>4475</v>
      </c>
      <c r="B4917" s="1" t="s">
        <v>4632</v>
      </c>
      <c r="C4917" s="1" t="s">
        <v>332</v>
      </c>
      <c r="D4917" s="1" t="s">
        <v>229</v>
      </c>
      <c r="E4917" s="1"/>
    </row>
    <row r="4918" spans="1:5" ht="16">
      <c r="A4918" s="1" t="s">
        <v>4475</v>
      </c>
      <c r="B4918" s="1" t="s">
        <v>4633</v>
      </c>
      <c r="C4918" s="1" t="s">
        <v>332</v>
      </c>
      <c r="D4918" s="1" t="s">
        <v>229</v>
      </c>
      <c r="E4918" s="1"/>
    </row>
    <row r="4919" spans="1:5" ht="16">
      <c r="A4919" s="1" t="s">
        <v>4475</v>
      </c>
      <c r="B4919" s="1" t="s">
        <v>4634</v>
      </c>
      <c r="C4919" s="1" t="s">
        <v>332</v>
      </c>
      <c r="D4919" s="1" t="s">
        <v>229</v>
      </c>
      <c r="E4919" s="1"/>
    </row>
    <row r="4920" spans="1:5" ht="16">
      <c r="A4920" s="1" t="s">
        <v>4475</v>
      </c>
      <c r="B4920" s="1" t="s">
        <v>4635</v>
      </c>
      <c r="C4920" s="1" t="s">
        <v>332</v>
      </c>
      <c r="D4920" s="1" t="s">
        <v>229</v>
      </c>
      <c r="E4920" s="1"/>
    </row>
    <row r="4921" spans="1:5" ht="16">
      <c r="A4921" s="1" t="s">
        <v>4475</v>
      </c>
      <c r="B4921" s="1" t="s">
        <v>4636</v>
      </c>
      <c r="C4921" s="1" t="s">
        <v>332</v>
      </c>
      <c r="D4921" s="1" t="s">
        <v>229</v>
      </c>
      <c r="E4921" s="1"/>
    </row>
    <row r="4922" spans="1:5" ht="16">
      <c r="A4922" s="1" t="s">
        <v>4475</v>
      </c>
      <c r="B4922" s="1" t="s">
        <v>4637</v>
      </c>
      <c r="C4922" s="1" t="s">
        <v>332</v>
      </c>
      <c r="D4922" s="1" t="s">
        <v>229</v>
      </c>
      <c r="E4922" s="1"/>
    </row>
    <row r="4923" spans="1:5" ht="16">
      <c r="A4923" s="1" t="s">
        <v>4475</v>
      </c>
      <c r="B4923" s="1" t="s">
        <v>4638</v>
      </c>
      <c r="C4923" s="1" t="s">
        <v>332</v>
      </c>
      <c r="D4923" s="1" t="s">
        <v>229</v>
      </c>
      <c r="E4923" s="1"/>
    </row>
    <row r="4924" spans="1:5" ht="16">
      <c r="A4924" s="1" t="s">
        <v>4475</v>
      </c>
      <c r="B4924" s="1" t="s">
        <v>4639</v>
      </c>
      <c r="C4924" s="1" t="s">
        <v>332</v>
      </c>
      <c r="D4924" s="1" t="s">
        <v>229</v>
      </c>
      <c r="E4924" s="1"/>
    </row>
    <row r="4925" spans="1:5" ht="16">
      <c r="A4925" s="1" t="s">
        <v>4475</v>
      </c>
      <c r="B4925" s="1" t="s">
        <v>4640</v>
      </c>
      <c r="C4925" s="1" t="s">
        <v>332</v>
      </c>
      <c r="D4925" s="1" t="s">
        <v>229</v>
      </c>
      <c r="E4925" s="1"/>
    </row>
    <row r="4926" spans="1:5" ht="16">
      <c r="A4926" s="1" t="s">
        <v>4475</v>
      </c>
      <c r="B4926" s="1" t="s">
        <v>4641</v>
      </c>
      <c r="C4926" s="1" t="s">
        <v>332</v>
      </c>
      <c r="D4926" s="1" t="s">
        <v>229</v>
      </c>
      <c r="E4926" s="1"/>
    </row>
    <row r="4927" spans="1:5" ht="16">
      <c r="A4927" s="1" t="s">
        <v>4475</v>
      </c>
      <c r="B4927" s="1" t="s">
        <v>4642</v>
      </c>
      <c r="C4927" s="1" t="s">
        <v>332</v>
      </c>
      <c r="D4927" s="1" t="s">
        <v>229</v>
      </c>
      <c r="E4927" s="1"/>
    </row>
    <row r="4928" spans="1:5" ht="16">
      <c r="A4928" s="1" t="s">
        <v>4475</v>
      </c>
      <c r="B4928" s="1" t="s">
        <v>4643</v>
      </c>
      <c r="C4928" s="1" t="s">
        <v>332</v>
      </c>
      <c r="D4928" s="1" t="s">
        <v>229</v>
      </c>
      <c r="E4928" s="1"/>
    </row>
    <row r="4929" spans="1:5" ht="16">
      <c r="A4929" s="1" t="s">
        <v>4475</v>
      </c>
      <c r="B4929" s="1" t="s">
        <v>4644</v>
      </c>
      <c r="C4929" s="1" t="s">
        <v>332</v>
      </c>
      <c r="D4929" s="1" t="s">
        <v>229</v>
      </c>
      <c r="E4929" s="1"/>
    </row>
    <row r="4930" spans="1:5" ht="16">
      <c r="A4930" s="1" t="s">
        <v>4475</v>
      </c>
      <c r="B4930" s="1" t="s">
        <v>4645</v>
      </c>
      <c r="C4930" s="1" t="s">
        <v>332</v>
      </c>
      <c r="D4930" s="1" t="s">
        <v>229</v>
      </c>
      <c r="E4930" s="1"/>
    </row>
    <row r="4931" spans="1:5" ht="16">
      <c r="A4931" s="1" t="s">
        <v>4475</v>
      </c>
      <c r="B4931" s="1" t="s">
        <v>4646</v>
      </c>
      <c r="C4931" s="1" t="s">
        <v>332</v>
      </c>
      <c r="D4931" s="1" t="s">
        <v>229</v>
      </c>
      <c r="E4931" s="1"/>
    </row>
    <row r="4932" spans="1:5" ht="16">
      <c r="A4932" s="1" t="s">
        <v>4475</v>
      </c>
      <c r="B4932" s="1" t="s">
        <v>4647</v>
      </c>
      <c r="C4932" s="1" t="s">
        <v>332</v>
      </c>
      <c r="D4932" s="1" t="s">
        <v>229</v>
      </c>
      <c r="E4932" s="1"/>
    </row>
    <row r="4933" spans="1:5" ht="16">
      <c r="A4933" s="1" t="s">
        <v>4475</v>
      </c>
      <c r="B4933" s="1" t="s">
        <v>4648</v>
      </c>
      <c r="C4933" s="1" t="s">
        <v>332</v>
      </c>
      <c r="D4933" s="1" t="s">
        <v>229</v>
      </c>
      <c r="E4933" s="1"/>
    </row>
    <row r="4934" spans="1:5" ht="16">
      <c r="A4934" s="1" t="s">
        <v>4475</v>
      </c>
      <c r="B4934" s="1" t="s">
        <v>4649</v>
      </c>
      <c r="C4934" s="1" t="s">
        <v>332</v>
      </c>
      <c r="D4934" s="1" t="s">
        <v>229</v>
      </c>
      <c r="E4934" s="1"/>
    </row>
    <row r="4935" spans="1:5" ht="16">
      <c r="A4935" s="1" t="s">
        <v>4475</v>
      </c>
      <c r="B4935" s="1" t="s">
        <v>4650</v>
      </c>
      <c r="C4935" s="1" t="s">
        <v>332</v>
      </c>
      <c r="D4935" s="1" t="s">
        <v>229</v>
      </c>
      <c r="E4935" s="1"/>
    </row>
    <row r="4936" spans="1:5" ht="16">
      <c r="A4936" s="1" t="s">
        <v>4475</v>
      </c>
      <c r="B4936" s="1" t="s">
        <v>4651</v>
      </c>
      <c r="C4936" s="1" t="s">
        <v>332</v>
      </c>
      <c r="D4936" s="1" t="s">
        <v>229</v>
      </c>
      <c r="E4936" s="1"/>
    </row>
    <row r="4937" spans="1:5" ht="16">
      <c r="A4937" s="1" t="s">
        <v>4475</v>
      </c>
      <c r="B4937" s="1" t="s">
        <v>4652</v>
      </c>
      <c r="C4937" s="1" t="s">
        <v>332</v>
      </c>
      <c r="D4937" s="1" t="s">
        <v>229</v>
      </c>
      <c r="E4937" s="1"/>
    </row>
    <row r="4938" spans="1:5" ht="16">
      <c r="A4938" s="1" t="s">
        <v>4475</v>
      </c>
      <c r="B4938" s="1" t="s">
        <v>4653</v>
      </c>
      <c r="C4938" s="1" t="s">
        <v>332</v>
      </c>
      <c r="D4938" s="1" t="s">
        <v>229</v>
      </c>
      <c r="E4938" s="1"/>
    </row>
    <row r="4939" spans="1:5" ht="16">
      <c r="A4939" s="1" t="s">
        <v>4475</v>
      </c>
      <c r="B4939" s="1" t="s">
        <v>4654</v>
      </c>
      <c r="C4939" s="1" t="s">
        <v>332</v>
      </c>
      <c r="D4939" s="1" t="s">
        <v>229</v>
      </c>
      <c r="E4939" s="1"/>
    </row>
    <row r="4940" spans="1:5" ht="16">
      <c r="A4940" s="1" t="s">
        <v>4475</v>
      </c>
      <c r="B4940" s="1" t="s">
        <v>4655</v>
      </c>
      <c r="C4940" s="1" t="s">
        <v>332</v>
      </c>
      <c r="D4940" s="1" t="s">
        <v>229</v>
      </c>
      <c r="E4940" s="1"/>
    </row>
    <row r="4941" spans="1:5" ht="16">
      <c r="A4941" s="1" t="s">
        <v>4475</v>
      </c>
      <c r="B4941" s="1" t="s">
        <v>4656</v>
      </c>
      <c r="C4941" s="1" t="s">
        <v>332</v>
      </c>
      <c r="D4941" s="1" t="s">
        <v>229</v>
      </c>
      <c r="E4941" s="1"/>
    </row>
    <row r="4942" spans="1:5" ht="16">
      <c r="A4942" s="1" t="s">
        <v>4475</v>
      </c>
      <c r="B4942" s="1" t="s">
        <v>4657</v>
      </c>
      <c r="C4942" s="1" t="s">
        <v>332</v>
      </c>
      <c r="D4942" s="1" t="s">
        <v>229</v>
      </c>
      <c r="E4942" s="1"/>
    </row>
    <row r="4943" spans="1:5" ht="16">
      <c r="A4943" s="1" t="s">
        <v>4475</v>
      </c>
      <c r="B4943" s="1" t="s">
        <v>4658</v>
      </c>
      <c r="C4943" s="1" t="s">
        <v>332</v>
      </c>
      <c r="D4943" s="1" t="s">
        <v>229</v>
      </c>
      <c r="E4943" s="1"/>
    </row>
    <row r="4944" spans="1:5" ht="16">
      <c r="A4944" s="1" t="s">
        <v>4475</v>
      </c>
      <c r="B4944" s="1" t="s">
        <v>4659</v>
      </c>
      <c r="C4944" s="1" t="s">
        <v>332</v>
      </c>
      <c r="D4944" s="1" t="s">
        <v>229</v>
      </c>
      <c r="E4944" s="1"/>
    </row>
    <row r="4945" spans="1:5" ht="16">
      <c r="A4945" s="1" t="s">
        <v>4475</v>
      </c>
      <c r="B4945" s="1" t="s">
        <v>4660</v>
      </c>
      <c r="C4945" s="1" t="s">
        <v>332</v>
      </c>
      <c r="D4945" s="1" t="s">
        <v>229</v>
      </c>
      <c r="E4945" s="1"/>
    </row>
    <row r="4946" spans="1:5" ht="16">
      <c r="A4946" s="1" t="s">
        <v>4475</v>
      </c>
      <c r="B4946" s="1" t="s">
        <v>4661</v>
      </c>
      <c r="C4946" s="1" t="s">
        <v>332</v>
      </c>
      <c r="D4946" s="1" t="s">
        <v>229</v>
      </c>
      <c r="E4946" s="1"/>
    </row>
    <row r="4947" spans="1:5" ht="16">
      <c r="A4947" s="1" t="s">
        <v>4475</v>
      </c>
      <c r="B4947" s="1" t="s">
        <v>4662</v>
      </c>
      <c r="C4947" s="1" t="s">
        <v>332</v>
      </c>
      <c r="D4947" s="1" t="s">
        <v>229</v>
      </c>
      <c r="E4947" s="1"/>
    </row>
    <row r="4948" spans="1:5" ht="16">
      <c r="A4948" s="1" t="s">
        <v>4475</v>
      </c>
      <c r="B4948" s="1" t="s">
        <v>4663</v>
      </c>
      <c r="C4948" s="1" t="s">
        <v>332</v>
      </c>
      <c r="D4948" s="1" t="s">
        <v>229</v>
      </c>
      <c r="E4948" s="1"/>
    </row>
    <row r="4949" spans="1:5" ht="16">
      <c r="A4949" s="1" t="s">
        <v>4475</v>
      </c>
      <c r="B4949" s="1" t="s">
        <v>4664</v>
      </c>
      <c r="C4949" s="1" t="s">
        <v>332</v>
      </c>
      <c r="D4949" s="1" t="s">
        <v>229</v>
      </c>
      <c r="E4949" s="1"/>
    </row>
    <row r="4950" spans="1:5" ht="16">
      <c r="A4950" s="1" t="s">
        <v>4475</v>
      </c>
      <c r="B4950" s="1" t="s">
        <v>4665</v>
      </c>
      <c r="C4950" s="1" t="s">
        <v>332</v>
      </c>
      <c r="D4950" s="1" t="s">
        <v>229</v>
      </c>
      <c r="E4950" s="1"/>
    </row>
    <row r="4951" spans="1:5" ht="16">
      <c r="A4951" s="1" t="s">
        <v>4475</v>
      </c>
      <c r="B4951" s="1" t="s">
        <v>4666</v>
      </c>
      <c r="C4951" s="1" t="s">
        <v>332</v>
      </c>
      <c r="D4951" s="1" t="s">
        <v>229</v>
      </c>
      <c r="E4951" s="1"/>
    </row>
    <row r="4952" spans="1:5" ht="16">
      <c r="A4952" s="1" t="s">
        <v>4475</v>
      </c>
      <c r="B4952" s="1" t="s">
        <v>4667</v>
      </c>
      <c r="C4952" s="1" t="s">
        <v>332</v>
      </c>
      <c r="D4952" s="1" t="s">
        <v>229</v>
      </c>
      <c r="E4952" s="1"/>
    </row>
    <row r="4953" spans="1:5" ht="16">
      <c r="A4953" s="1" t="s">
        <v>4475</v>
      </c>
      <c r="B4953" s="1" t="s">
        <v>4668</v>
      </c>
      <c r="C4953" s="1" t="s">
        <v>332</v>
      </c>
      <c r="D4953" s="1" t="s">
        <v>229</v>
      </c>
      <c r="E4953" s="1"/>
    </row>
    <row r="4954" spans="1:5" ht="16">
      <c r="A4954" s="1" t="s">
        <v>4475</v>
      </c>
      <c r="B4954" s="1" t="s">
        <v>4669</v>
      </c>
      <c r="C4954" s="1" t="s">
        <v>332</v>
      </c>
      <c r="D4954" s="1" t="s">
        <v>229</v>
      </c>
      <c r="E4954" s="1"/>
    </row>
    <row r="4955" spans="1:5" ht="16">
      <c r="A4955" s="1" t="s">
        <v>4475</v>
      </c>
      <c r="B4955" s="1" t="s">
        <v>4670</v>
      </c>
      <c r="C4955" s="1" t="s">
        <v>332</v>
      </c>
      <c r="D4955" s="1" t="s">
        <v>229</v>
      </c>
      <c r="E4955" s="1"/>
    </row>
    <row r="4956" spans="1:5" ht="16">
      <c r="A4956" s="1" t="s">
        <v>4475</v>
      </c>
      <c r="B4956" s="1" t="s">
        <v>4671</v>
      </c>
      <c r="C4956" s="1" t="s">
        <v>332</v>
      </c>
      <c r="D4956" s="1" t="s">
        <v>229</v>
      </c>
      <c r="E4956" s="1"/>
    </row>
    <row r="4957" spans="1:5" ht="16">
      <c r="A4957" s="1" t="s">
        <v>4475</v>
      </c>
      <c r="B4957" s="1" t="s">
        <v>4672</v>
      </c>
      <c r="C4957" s="1" t="s">
        <v>332</v>
      </c>
      <c r="D4957" s="1" t="s">
        <v>229</v>
      </c>
      <c r="E4957" s="1"/>
    </row>
    <row r="4958" spans="1:5" ht="16">
      <c r="A4958" s="1" t="s">
        <v>4475</v>
      </c>
      <c r="B4958" s="1" t="s">
        <v>4673</v>
      </c>
      <c r="C4958" s="1" t="s">
        <v>332</v>
      </c>
      <c r="D4958" s="1" t="s">
        <v>229</v>
      </c>
      <c r="E4958" s="1"/>
    </row>
    <row r="4959" spans="1:5" ht="16">
      <c r="A4959" s="1" t="s">
        <v>4475</v>
      </c>
      <c r="B4959" s="1" t="s">
        <v>4674</v>
      </c>
      <c r="C4959" s="1" t="s">
        <v>332</v>
      </c>
      <c r="D4959" s="1" t="s">
        <v>229</v>
      </c>
      <c r="E4959" s="1"/>
    </row>
    <row r="4960" spans="1:5" ht="16">
      <c r="A4960" s="1" t="s">
        <v>4475</v>
      </c>
      <c r="B4960" s="1" t="s">
        <v>4675</v>
      </c>
      <c r="C4960" s="1" t="s">
        <v>332</v>
      </c>
      <c r="D4960" s="1" t="s">
        <v>229</v>
      </c>
      <c r="E4960" s="1"/>
    </row>
    <row r="4961" spans="1:5" ht="16">
      <c r="A4961" s="1" t="s">
        <v>4475</v>
      </c>
      <c r="B4961" s="1" t="s">
        <v>4676</v>
      </c>
      <c r="C4961" s="1" t="s">
        <v>332</v>
      </c>
      <c r="D4961" s="1" t="s">
        <v>229</v>
      </c>
      <c r="E4961" s="1"/>
    </row>
    <row r="4962" spans="1:5" ht="16">
      <c r="A4962" s="1" t="s">
        <v>4475</v>
      </c>
      <c r="B4962" s="1" t="s">
        <v>4677</v>
      </c>
      <c r="C4962" s="1" t="s">
        <v>332</v>
      </c>
      <c r="D4962" s="1" t="s">
        <v>229</v>
      </c>
      <c r="E4962" s="1"/>
    </row>
    <row r="4963" spans="1:5" ht="16">
      <c r="A4963" s="1" t="s">
        <v>4475</v>
      </c>
      <c r="B4963" s="1" t="s">
        <v>4678</v>
      </c>
      <c r="C4963" s="1" t="s">
        <v>332</v>
      </c>
      <c r="D4963" s="1" t="s">
        <v>229</v>
      </c>
      <c r="E4963" s="1"/>
    </row>
    <row r="4964" spans="1:5" ht="16">
      <c r="A4964" s="1" t="s">
        <v>4475</v>
      </c>
      <c r="B4964" s="1" t="s">
        <v>4679</v>
      </c>
      <c r="C4964" s="1" t="s">
        <v>332</v>
      </c>
      <c r="D4964" s="1" t="s">
        <v>229</v>
      </c>
      <c r="E4964" s="1"/>
    </row>
    <row r="4965" spans="1:5" ht="16">
      <c r="A4965" s="1" t="s">
        <v>4475</v>
      </c>
      <c r="B4965" s="1" t="s">
        <v>4680</v>
      </c>
      <c r="C4965" s="1" t="s">
        <v>332</v>
      </c>
      <c r="D4965" s="1" t="s">
        <v>229</v>
      </c>
      <c r="E4965" s="1"/>
    </row>
    <row r="4966" spans="1:5" ht="16">
      <c r="A4966" s="1" t="s">
        <v>4475</v>
      </c>
      <c r="B4966" s="1" t="s">
        <v>4681</v>
      </c>
      <c r="C4966" s="1" t="s">
        <v>332</v>
      </c>
      <c r="D4966" s="1" t="s">
        <v>229</v>
      </c>
      <c r="E4966" s="1"/>
    </row>
    <row r="4967" spans="1:5" ht="16">
      <c r="A4967" s="1" t="s">
        <v>4475</v>
      </c>
      <c r="B4967" s="1" t="s">
        <v>4682</v>
      </c>
      <c r="C4967" s="1" t="s">
        <v>332</v>
      </c>
      <c r="D4967" s="1" t="s">
        <v>229</v>
      </c>
      <c r="E4967" s="1"/>
    </row>
    <row r="4968" spans="1:5" ht="16">
      <c r="A4968" s="1" t="s">
        <v>4475</v>
      </c>
      <c r="B4968" s="1" t="s">
        <v>4683</v>
      </c>
      <c r="C4968" s="1" t="s">
        <v>332</v>
      </c>
      <c r="D4968" s="1" t="s">
        <v>229</v>
      </c>
      <c r="E4968" s="1"/>
    </row>
    <row r="4969" spans="1:5" ht="16">
      <c r="A4969" s="1" t="s">
        <v>4475</v>
      </c>
      <c r="B4969" s="1" t="s">
        <v>4684</v>
      </c>
      <c r="C4969" s="1" t="s">
        <v>332</v>
      </c>
      <c r="D4969" s="1" t="s">
        <v>229</v>
      </c>
      <c r="E4969" s="1"/>
    </row>
    <row r="4970" spans="1:5" ht="16">
      <c r="A4970" s="1" t="s">
        <v>4475</v>
      </c>
      <c r="B4970" s="1" t="s">
        <v>4685</v>
      </c>
      <c r="C4970" s="1" t="s">
        <v>332</v>
      </c>
      <c r="D4970" s="1" t="s">
        <v>229</v>
      </c>
      <c r="E4970" s="1"/>
    </row>
    <row r="4971" spans="1:5" ht="16">
      <c r="A4971" s="1" t="s">
        <v>4475</v>
      </c>
      <c r="B4971" s="1" t="s">
        <v>4686</v>
      </c>
      <c r="C4971" s="1" t="s">
        <v>332</v>
      </c>
      <c r="D4971" s="1" t="s">
        <v>229</v>
      </c>
      <c r="E4971" s="1"/>
    </row>
    <row r="4972" spans="1:5" ht="16">
      <c r="A4972" s="1" t="s">
        <v>4475</v>
      </c>
      <c r="B4972" s="1" t="s">
        <v>4687</v>
      </c>
      <c r="C4972" s="1" t="s">
        <v>332</v>
      </c>
      <c r="D4972" s="1" t="s">
        <v>229</v>
      </c>
      <c r="E4972" s="1"/>
    </row>
    <row r="4973" spans="1:5" ht="16">
      <c r="A4973" s="1" t="s">
        <v>4475</v>
      </c>
      <c r="B4973" s="1" t="s">
        <v>4688</v>
      </c>
      <c r="C4973" s="1" t="s">
        <v>332</v>
      </c>
      <c r="D4973" s="1" t="s">
        <v>229</v>
      </c>
      <c r="E4973" s="1"/>
    </row>
    <row r="4974" spans="1:5" ht="16">
      <c r="A4974" s="1" t="s">
        <v>4475</v>
      </c>
      <c r="B4974" s="1" t="s">
        <v>4689</v>
      </c>
      <c r="C4974" s="1" t="s">
        <v>332</v>
      </c>
      <c r="D4974" s="1" t="s">
        <v>229</v>
      </c>
      <c r="E4974" s="1"/>
    </row>
    <row r="4975" spans="1:5" ht="16">
      <c r="A4975" s="1" t="s">
        <v>4475</v>
      </c>
      <c r="B4975" s="1" t="s">
        <v>4690</v>
      </c>
      <c r="C4975" s="1" t="s">
        <v>332</v>
      </c>
      <c r="D4975" s="1" t="s">
        <v>229</v>
      </c>
      <c r="E4975" s="1"/>
    </row>
    <row r="4976" spans="1:5" ht="16">
      <c r="A4976" s="1" t="s">
        <v>4475</v>
      </c>
      <c r="B4976" s="1" t="s">
        <v>4691</v>
      </c>
      <c r="C4976" s="1" t="s">
        <v>332</v>
      </c>
      <c r="D4976" s="1" t="s">
        <v>229</v>
      </c>
      <c r="E4976" s="1"/>
    </row>
    <row r="4977" spans="1:5" ht="16">
      <c r="A4977" s="1" t="s">
        <v>4475</v>
      </c>
      <c r="B4977" s="1" t="s">
        <v>4692</v>
      </c>
      <c r="C4977" s="1" t="s">
        <v>332</v>
      </c>
      <c r="D4977" s="1" t="s">
        <v>229</v>
      </c>
      <c r="E4977" s="1"/>
    </row>
    <row r="4978" spans="1:5" ht="16">
      <c r="A4978" s="1" t="s">
        <v>4475</v>
      </c>
      <c r="B4978" s="1" t="s">
        <v>4693</v>
      </c>
      <c r="C4978" s="1" t="s">
        <v>332</v>
      </c>
      <c r="D4978" s="1" t="s">
        <v>229</v>
      </c>
      <c r="E4978" s="1"/>
    </row>
    <row r="4979" spans="1:5" ht="16">
      <c r="A4979" s="1" t="s">
        <v>4475</v>
      </c>
      <c r="B4979" s="1" t="s">
        <v>4694</v>
      </c>
      <c r="C4979" s="1" t="s">
        <v>332</v>
      </c>
      <c r="D4979" s="1" t="s">
        <v>229</v>
      </c>
      <c r="E4979" s="1"/>
    </row>
    <row r="4980" spans="1:5" ht="16">
      <c r="A4980" s="1" t="s">
        <v>4475</v>
      </c>
      <c r="B4980" s="1" t="s">
        <v>4695</v>
      </c>
      <c r="C4980" s="1" t="s">
        <v>332</v>
      </c>
      <c r="D4980" s="1" t="s">
        <v>229</v>
      </c>
      <c r="E4980" s="1"/>
    </row>
    <row r="4981" spans="1:5" ht="16">
      <c r="A4981" s="1" t="s">
        <v>4475</v>
      </c>
      <c r="B4981" s="1" t="s">
        <v>4696</v>
      </c>
      <c r="C4981" s="1" t="s">
        <v>332</v>
      </c>
      <c r="D4981" s="1" t="s">
        <v>229</v>
      </c>
      <c r="E4981" s="1"/>
    </row>
    <row r="4982" spans="1:5" ht="16">
      <c r="A4982" s="1" t="s">
        <v>4475</v>
      </c>
      <c r="B4982" s="1" t="s">
        <v>4697</v>
      </c>
      <c r="C4982" s="1" t="s">
        <v>332</v>
      </c>
      <c r="D4982" s="1" t="s">
        <v>229</v>
      </c>
      <c r="E4982" s="1"/>
    </row>
    <row r="4983" spans="1:5" ht="16">
      <c r="A4983" s="1" t="s">
        <v>4475</v>
      </c>
      <c r="B4983" s="1" t="s">
        <v>4698</v>
      </c>
      <c r="C4983" s="1" t="s">
        <v>332</v>
      </c>
      <c r="D4983" s="1" t="s">
        <v>229</v>
      </c>
      <c r="E4983" s="1"/>
    </row>
    <row r="4984" spans="1:5" ht="16">
      <c r="A4984" s="1" t="s">
        <v>4475</v>
      </c>
      <c r="B4984" s="1" t="s">
        <v>4699</v>
      </c>
      <c r="C4984" s="1" t="s">
        <v>332</v>
      </c>
      <c r="D4984" s="1" t="s">
        <v>229</v>
      </c>
      <c r="E4984" s="1"/>
    </row>
    <row r="4985" spans="1:5" ht="16">
      <c r="A4985" s="1" t="s">
        <v>4475</v>
      </c>
      <c r="B4985" s="1" t="s">
        <v>4700</v>
      </c>
      <c r="C4985" s="1" t="s">
        <v>332</v>
      </c>
      <c r="D4985" s="1" t="s">
        <v>229</v>
      </c>
      <c r="E4985" s="1"/>
    </row>
    <row r="4986" spans="1:5" ht="16">
      <c r="A4986" s="1" t="s">
        <v>4475</v>
      </c>
      <c r="B4986" s="1" t="s">
        <v>4701</v>
      </c>
      <c r="C4986" s="1" t="s">
        <v>332</v>
      </c>
      <c r="D4986" s="1" t="s">
        <v>229</v>
      </c>
      <c r="E4986" s="1"/>
    </row>
    <row r="4987" spans="1:5" ht="16">
      <c r="A4987" s="1" t="s">
        <v>4475</v>
      </c>
      <c r="B4987" s="1" t="s">
        <v>4702</v>
      </c>
      <c r="C4987" s="1" t="s">
        <v>332</v>
      </c>
      <c r="D4987" s="1" t="s">
        <v>229</v>
      </c>
      <c r="E4987" s="1"/>
    </row>
    <row r="4988" spans="1:5" ht="16">
      <c r="A4988" s="1" t="s">
        <v>4475</v>
      </c>
      <c r="B4988" s="1" t="s">
        <v>4703</v>
      </c>
      <c r="C4988" s="1" t="s">
        <v>332</v>
      </c>
      <c r="D4988" s="1" t="s">
        <v>229</v>
      </c>
      <c r="E4988" s="1"/>
    </row>
    <row r="4989" spans="1:5" ht="16">
      <c r="A4989" s="1" t="s">
        <v>4475</v>
      </c>
      <c r="B4989" s="1" t="s">
        <v>4704</v>
      </c>
      <c r="C4989" s="1" t="s">
        <v>332</v>
      </c>
      <c r="D4989" s="1" t="s">
        <v>229</v>
      </c>
      <c r="E4989" s="1"/>
    </row>
    <row r="4990" spans="1:5" ht="16">
      <c r="A4990" s="1" t="s">
        <v>4475</v>
      </c>
      <c r="B4990" s="1" t="s">
        <v>4705</v>
      </c>
      <c r="C4990" s="1" t="s">
        <v>332</v>
      </c>
      <c r="D4990" s="1" t="s">
        <v>229</v>
      </c>
      <c r="E4990" s="1"/>
    </row>
    <row r="4991" spans="1:5" ht="16">
      <c r="A4991" s="1" t="s">
        <v>4475</v>
      </c>
      <c r="B4991" s="1" t="s">
        <v>4706</v>
      </c>
      <c r="C4991" s="1" t="s">
        <v>332</v>
      </c>
      <c r="D4991" s="1" t="s">
        <v>229</v>
      </c>
      <c r="E4991" s="1"/>
    </row>
    <row r="4992" spans="1:5" ht="16">
      <c r="A4992" s="1" t="s">
        <v>4475</v>
      </c>
      <c r="B4992" s="1" t="s">
        <v>4707</v>
      </c>
      <c r="C4992" s="1" t="s">
        <v>332</v>
      </c>
      <c r="D4992" s="1" t="s">
        <v>229</v>
      </c>
      <c r="E4992" s="1"/>
    </row>
    <row r="4993" spans="1:5" ht="16">
      <c r="A4993" s="1" t="s">
        <v>4475</v>
      </c>
      <c r="B4993" s="1" t="s">
        <v>4708</v>
      </c>
      <c r="C4993" s="1" t="s">
        <v>332</v>
      </c>
      <c r="D4993" s="1" t="s">
        <v>229</v>
      </c>
      <c r="E4993" s="1"/>
    </row>
    <row r="4994" spans="1:5" ht="16">
      <c r="A4994" s="1" t="s">
        <v>4475</v>
      </c>
      <c r="B4994" s="1" t="s">
        <v>4709</v>
      </c>
      <c r="C4994" s="1" t="s">
        <v>332</v>
      </c>
      <c r="D4994" s="1" t="s">
        <v>229</v>
      </c>
      <c r="E4994" s="1"/>
    </row>
    <row r="4995" spans="1:5" ht="16">
      <c r="A4995" s="1" t="s">
        <v>4475</v>
      </c>
      <c r="B4995" s="1" t="s">
        <v>4710</v>
      </c>
      <c r="C4995" s="1" t="s">
        <v>332</v>
      </c>
      <c r="D4995" s="1" t="s">
        <v>229</v>
      </c>
      <c r="E4995" s="1"/>
    </row>
    <row r="4996" spans="1:5" ht="16">
      <c r="A4996" s="1" t="s">
        <v>4475</v>
      </c>
      <c r="B4996" s="1" t="s">
        <v>4711</v>
      </c>
      <c r="C4996" s="1" t="s">
        <v>332</v>
      </c>
      <c r="D4996" s="1" t="s">
        <v>229</v>
      </c>
      <c r="E4996" s="1"/>
    </row>
    <row r="4997" spans="1:5" ht="16">
      <c r="A4997" s="1" t="s">
        <v>4475</v>
      </c>
      <c r="B4997" s="1" t="s">
        <v>4712</v>
      </c>
      <c r="C4997" s="1" t="s">
        <v>332</v>
      </c>
      <c r="D4997" s="1" t="s">
        <v>229</v>
      </c>
      <c r="E4997" s="1"/>
    </row>
    <row r="4998" spans="1:5" ht="16">
      <c r="A4998" s="1" t="s">
        <v>4475</v>
      </c>
      <c r="B4998" s="1" t="s">
        <v>4713</v>
      </c>
      <c r="C4998" s="1" t="s">
        <v>332</v>
      </c>
      <c r="D4998" s="1" t="s">
        <v>229</v>
      </c>
      <c r="E4998" s="1"/>
    </row>
    <row r="4999" spans="1:5" ht="16">
      <c r="A4999" s="1" t="s">
        <v>4475</v>
      </c>
      <c r="B4999" s="1" t="s">
        <v>4714</v>
      </c>
      <c r="C4999" s="1" t="s">
        <v>332</v>
      </c>
      <c r="D4999" s="1" t="s">
        <v>229</v>
      </c>
      <c r="E4999" s="1"/>
    </row>
    <row r="5000" spans="1:5" ht="16">
      <c r="A5000" s="1" t="s">
        <v>4475</v>
      </c>
      <c r="B5000" s="1" t="s">
        <v>4715</v>
      </c>
      <c r="C5000" s="1" t="s">
        <v>332</v>
      </c>
      <c r="D5000" s="1" t="s">
        <v>229</v>
      </c>
      <c r="E5000" s="1"/>
    </row>
    <row r="5001" spans="1:5" ht="16">
      <c r="A5001" s="1" t="s">
        <v>4475</v>
      </c>
      <c r="B5001" s="1" t="s">
        <v>4716</v>
      </c>
      <c r="C5001" s="1" t="s">
        <v>332</v>
      </c>
      <c r="D5001" s="1" t="s">
        <v>229</v>
      </c>
      <c r="E5001" s="1"/>
    </row>
    <row r="5002" spans="1:5" ht="16">
      <c r="A5002" s="1" t="s">
        <v>4475</v>
      </c>
      <c r="B5002" s="1" t="s">
        <v>4717</v>
      </c>
      <c r="C5002" s="1" t="s">
        <v>332</v>
      </c>
      <c r="D5002" s="1" t="s">
        <v>229</v>
      </c>
      <c r="E5002" s="1"/>
    </row>
    <row r="5003" spans="1:5" ht="16">
      <c r="A5003" s="1" t="s">
        <v>4475</v>
      </c>
      <c r="B5003" s="1" t="s">
        <v>4718</v>
      </c>
      <c r="C5003" s="1" t="s">
        <v>332</v>
      </c>
      <c r="D5003" s="1" t="s">
        <v>229</v>
      </c>
      <c r="E5003" s="1"/>
    </row>
    <row r="5004" spans="1:5" ht="16">
      <c r="A5004" s="1" t="s">
        <v>4475</v>
      </c>
      <c r="B5004" s="1" t="s">
        <v>4719</v>
      </c>
      <c r="C5004" s="1" t="s">
        <v>332</v>
      </c>
      <c r="D5004" s="1" t="s">
        <v>229</v>
      </c>
      <c r="E5004" s="1"/>
    </row>
    <row r="5005" spans="1:5" ht="16">
      <c r="A5005" s="1" t="s">
        <v>4475</v>
      </c>
      <c r="B5005" s="1" t="s">
        <v>4720</v>
      </c>
      <c r="C5005" s="1" t="s">
        <v>332</v>
      </c>
      <c r="D5005" s="1" t="s">
        <v>229</v>
      </c>
      <c r="E5005" s="1"/>
    </row>
    <row r="5006" spans="1:5" ht="16">
      <c r="A5006" s="1" t="s">
        <v>4475</v>
      </c>
      <c r="B5006" s="1" t="s">
        <v>4721</v>
      </c>
      <c r="C5006" s="1" t="s">
        <v>332</v>
      </c>
      <c r="D5006" s="1" t="s">
        <v>229</v>
      </c>
      <c r="E5006" s="1"/>
    </row>
    <row r="5007" spans="1:5" ht="16">
      <c r="A5007" s="1" t="s">
        <v>4475</v>
      </c>
      <c r="B5007" s="1" t="s">
        <v>4722</v>
      </c>
      <c r="C5007" s="1" t="s">
        <v>332</v>
      </c>
      <c r="D5007" s="1" t="s">
        <v>229</v>
      </c>
      <c r="E5007" s="1"/>
    </row>
    <row r="5008" spans="1:5" ht="16">
      <c r="A5008" s="1" t="s">
        <v>4475</v>
      </c>
      <c r="B5008" s="1" t="s">
        <v>4723</v>
      </c>
      <c r="C5008" s="1" t="s">
        <v>332</v>
      </c>
      <c r="D5008" s="1" t="s">
        <v>229</v>
      </c>
      <c r="E5008" s="1"/>
    </row>
    <row r="5009" spans="1:5" ht="16">
      <c r="A5009" s="1" t="s">
        <v>4475</v>
      </c>
      <c r="B5009" s="1" t="s">
        <v>4724</v>
      </c>
      <c r="C5009" s="1" t="s">
        <v>332</v>
      </c>
      <c r="D5009" s="1" t="s">
        <v>229</v>
      </c>
      <c r="E5009" s="1"/>
    </row>
    <row r="5010" spans="1:5" ht="16">
      <c r="A5010" s="1" t="s">
        <v>4475</v>
      </c>
      <c r="B5010" s="1" t="s">
        <v>4725</v>
      </c>
      <c r="C5010" s="1" t="s">
        <v>332</v>
      </c>
      <c r="D5010" s="1" t="s">
        <v>229</v>
      </c>
      <c r="E5010" s="1"/>
    </row>
    <row r="5011" spans="1:5" ht="16">
      <c r="A5011" s="1" t="s">
        <v>4475</v>
      </c>
      <c r="B5011" s="1" t="s">
        <v>4726</v>
      </c>
      <c r="C5011" s="1" t="s">
        <v>332</v>
      </c>
      <c r="D5011" s="1" t="s">
        <v>229</v>
      </c>
      <c r="E5011" s="1"/>
    </row>
    <row r="5012" spans="1:5" ht="16">
      <c r="A5012" s="1" t="s">
        <v>4475</v>
      </c>
      <c r="B5012" s="1" t="s">
        <v>4727</v>
      </c>
      <c r="C5012" s="1" t="s">
        <v>332</v>
      </c>
      <c r="D5012" s="1" t="s">
        <v>229</v>
      </c>
      <c r="E5012" s="1"/>
    </row>
    <row r="5013" spans="1:5" ht="16">
      <c r="A5013" s="1" t="s">
        <v>4475</v>
      </c>
      <c r="B5013" s="1" t="s">
        <v>4728</v>
      </c>
      <c r="C5013" s="1" t="s">
        <v>332</v>
      </c>
      <c r="D5013" s="1" t="s">
        <v>229</v>
      </c>
      <c r="E5013" s="1"/>
    </row>
    <row r="5014" spans="1:5" ht="16">
      <c r="A5014" s="1" t="s">
        <v>4475</v>
      </c>
      <c r="B5014" s="1" t="s">
        <v>4729</v>
      </c>
      <c r="C5014" s="1" t="s">
        <v>332</v>
      </c>
      <c r="D5014" s="1" t="s">
        <v>229</v>
      </c>
      <c r="E5014" s="1"/>
    </row>
    <row r="5015" spans="1:5" ht="16">
      <c r="A5015" s="1" t="s">
        <v>4475</v>
      </c>
      <c r="B5015" s="1" t="s">
        <v>4730</v>
      </c>
      <c r="C5015" s="1" t="s">
        <v>332</v>
      </c>
      <c r="D5015" s="1" t="s">
        <v>229</v>
      </c>
      <c r="E5015" s="1"/>
    </row>
    <row r="5016" spans="1:5" ht="16">
      <c r="A5016" s="1" t="s">
        <v>4475</v>
      </c>
      <c r="B5016" s="1" t="s">
        <v>4731</v>
      </c>
      <c r="C5016" s="1" t="s">
        <v>332</v>
      </c>
      <c r="D5016" s="1" t="s">
        <v>229</v>
      </c>
      <c r="E5016" s="1"/>
    </row>
    <row r="5017" spans="1:5" ht="16">
      <c r="A5017" s="1" t="s">
        <v>4475</v>
      </c>
      <c r="B5017" s="1" t="s">
        <v>4732</v>
      </c>
      <c r="C5017" s="1" t="s">
        <v>332</v>
      </c>
      <c r="D5017" s="1" t="s">
        <v>229</v>
      </c>
      <c r="E5017" s="1"/>
    </row>
    <row r="5018" spans="1:5" ht="16">
      <c r="A5018" s="1" t="s">
        <v>4475</v>
      </c>
      <c r="B5018" s="1" t="s">
        <v>4733</v>
      </c>
      <c r="C5018" s="1" t="s">
        <v>332</v>
      </c>
      <c r="D5018" s="1" t="s">
        <v>229</v>
      </c>
      <c r="E5018" s="1"/>
    </row>
    <row r="5019" spans="1:5" ht="16">
      <c r="A5019" s="1" t="s">
        <v>4475</v>
      </c>
      <c r="B5019" s="1" t="s">
        <v>4734</v>
      </c>
      <c r="C5019" s="1" t="s">
        <v>332</v>
      </c>
      <c r="D5019" s="1" t="s">
        <v>229</v>
      </c>
      <c r="E5019" s="1"/>
    </row>
    <row r="5020" spans="1:5" ht="16">
      <c r="A5020" s="1" t="s">
        <v>4475</v>
      </c>
      <c r="B5020" s="1" t="s">
        <v>4735</v>
      </c>
      <c r="C5020" s="1" t="s">
        <v>332</v>
      </c>
      <c r="D5020" s="1" t="s">
        <v>229</v>
      </c>
      <c r="E5020" s="1"/>
    </row>
    <row r="5021" spans="1:5" ht="16">
      <c r="A5021" s="1" t="s">
        <v>4475</v>
      </c>
      <c r="B5021" s="1" t="s">
        <v>4736</v>
      </c>
      <c r="C5021" s="1" t="s">
        <v>332</v>
      </c>
      <c r="D5021" s="1" t="s">
        <v>229</v>
      </c>
      <c r="E5021" s="1"/>
    </row>
    <row r="5022" spans="1:5" ht="16">
      <c r="A5022" s="1" t="s">
        <v>4475</v>
      </c>
      <c r="B5022" s="1" t="s">
        <v>4737</v>
      </c>
      <c r="C5022" s="1" t="s">
        <v>332</v>
      </c>
      <c r="D5022" s="1" t="s">
        <v>229</v>
      </c>
      <c r="E5022" s="1"/>
    </row>
    <row r="5023" spans="1:5" ht="16">
      <c r="A5023" s="1" t="s">
        <v>4475</v>
      </c>
      <c r="B5023" s="1" t="s">
        <v>4738</v>
      </c>
      <c r="C5023" s="1" t="s">
        <v>332</v>
      </c>
      <c r="D5023" s="1" t="s">
        <v>229</v>
      </c>
      <c r="E5023" s="1"/>
    </row>
    <row r="5024" spans="1:5" ht="16">
      <c r="A5024" s="1" t="s">
        <v>4475</v>
      </c>
      <c r="B5024" s="1" t="s">
        <v>4739</v>
      </c>
      <c r="C5024" s="1" t="s">
        <v>332</v>
      </c>
      <c r="D5024" s="1" t="s">
        <v>229</v>
      </c>
      <c r="E5024" s="1"/>
    </row>
    <row r="5025" spans="1:5" ht="16">
      <c r="A5025" s="1" t="s">
        <v>4475</v>
      </c>
      <c r="B5025" s="1" t="s">
        <v>4740</v>
      </c>
      <c r="C5025" s="1" t="s">
        <v>332</v>
      </c>
      <c r="D5025" s="1" t="s">
        <v>229</v>
      </c>
      <c r="E5025" s="1"/>
    </row>
    <row r="5026" spans="1:5" ht="16">
      <c r="A5026" s="1" t="s">
        <v>4475</v>
      </c>
      <c r="B5026" s="1" t="s">
        <v>4741</v>
      </c>
      <c r="C5026" s="1" t="s">
        <v>332</v>
      </c>
      <c r="D5026" s="1" t="s">
        <v>229</v>
      </c>
      <c r="E5026" s="1"/>
    </row>
    <row r="5027" spans="1:5" ht="16">
      <c r="A5027" s="1" t="s">
        <v>4475</v>
      </c>
      <c r="B5027" s="1" t="s">
        <v>4742</v>
      </c>
      <c r="C5027" s="1" t="s">
        <v>332</v>
      </c>
      <c r="D5027" s="1" t="s">
        <v>229</v>
      </c>
      <c r="E5027" s="1"/>
    </row>
    <row r="5028" spans="1:5" ht="16">
      <c r="A5028" s="1" t="s">
        <v>4475</v>
      </c>
      <c r="B5028" s="1" t="s">
        <v>4743</v>
      </c>
      <c r="C5028" s="1" t="s">
        <v>332</v>
      </c>
      <c r="D5028" s="1" t="s">
        <v>229</v>
      </c>
      <c r="E5028" s="1"/>
    </row>
    <row r="5029" spans="1:5" ht="16">
      <c r="A5029" s="1" t="s">
        <v>4475</v>
      </c>
      <c r="B5029" s="1" t="s">
        <v>4744</v>
      </c>
      <c r="C5029" s="1" t="s">
        <v>332</v>
      </c>
      <c r="D5029" s="1" t="s">
        <v>229</v>
      </c>
      <c r="E5029" s="1"/>
    </row>
    <row r="5030" spans="1:5" ht="16">
      <c r="A5030" s="1" t="s">
        <v>4475</v>
      </c>
      <c r="B5030" s="1" t="s">
        <v>4745</v>
      </c>
      <c r="C5030" s="1" t="s">
        <v>332</v>
      </c>
      <c r="D5030" s="1" t="s">
        <v>229</v>
      </c>
      <c r="E5030" s="1"/>
    </row>
    <row r="5031" spans="1:5" ht="16">
      <c r="A5031" s="1" t="s">
        <v>4475</v>
      </c>
      <c r="B5031" s="1" t="s">
        <v>4746</v>
      </c>
      <c r="C5031" s="1" t="s">
        <v>332</v>
      </c>
      <c r="D5031" s="1" t="s">
        <v>229</v>
      </c>
      <c r="E5031" s="1"/>
    </row>
    <row r="5032" spans="1:5" ht="16">
      <c r="A5032" s="1" t="s">
        <v>4475</v>
      </c>
      <c r="B5032" s="1" t="s">
        <v>4747</v>
      </c>
      <c r="C5032" s="1" t="s">
        <v>332</v>
      </c>
      <c r="D5032" s="1" t="s">
        <v>229</v>
      </c>
      <c r="E5032" s="1"/>
    </row>
    <row r="5033" spans="1:5" ht="16">
      <c r="A5033" s="1" t="s">
        <v>4475</v>
      </c>
      <c r="B5033" s="1" t="s">
        <v>4748</v>
      </c>
      <c r="C5033" s="1" t="s">
        <v>332</v>
      </c>
      <c r="D5033" s="1" t="s">
        <v>229</v>
      </c>
      <c r="E5033" s="1"/>
    </row>
    <row r="5034" spans="1:5" ht="16">
      <c r="A5034" s="1" t="s">
        <v>4475</v>
      </c>
      <c r="B5034" s="1" t="s">
        <v>4749</v>
      </c>
      <c r="C5034" s="1" t="s">
        <v>332</v>
      </c>
      <c r="D5034" s="1" t="s">
        <v>229</v>
      </c>
      <c r="E5034" s="1"/>
    </row>
    <row r="5035" spans="1:5" ht="16">
      <c r="A5035" s="1" t="s">
        <v>4475</v>
      </c>
      <c r="B5035" s="1" t="s">
        <v>4750</v>
      </c>
      <c r="C5035" s="1" t="s">
        <v>332</v>
      </c>
      <c r="D5035" s="1" t="s">
        <v>229</v>
      </c>
      <c r="E5035" s="1"/>
    </row>
    <row r="5036" spans="1:5" ht="16">
      <c r="A5036" s="1" t="s">
        <v>4475</v>
      </c>
      <c r="B5036" s="1" t="s">
        <v>4751</v>
      </c>
      <c r="C5036" s="1" t="s">
        <v>332</v>
      </c>
      <c r="D5036" s="1" t="s">
        <v>229</v>
      </c>
      <c r="E5036" s="1"/>
    </row>
    <row r="5037" spans="1:5" ht="16">
      <c r="A5037" s="1" t="s">
        <v>4475</v>
      </c>
      <c r="B5037" s="1" t="s">
        <v>4752</v>
      </c>
      <c r="C5037" s="1" t="s">
        <v>332</v>
      </c>
      <c r="D5037" s="1" t="s">
        <v>229</v>
      </c>
      <c r="E5037" s="1"/>
    </row>
    <row r="5038" spans="1:5" ht="16">
      <c r="A5038" s="1" t="s">
        <v>4475</v>
      </c>
      <c r="B5038" s="1" t="s">
        <v>4753</v>
      </c>
      <c r="C5038" s="1" t="s">
        <v>332</v>
      </c>
      <c r="D5038" s="1" t="s">
        <v>229</v>
      </c>
      <c r="E5038" s="1"/>
    </row>
    <row r="5039" spans="1:5" ht="16">
      <c r="A5039" s="1" t="s">
        <v>4475</v>
      </c>
      <c r="B5039" s="1" t="s">
        <v>4754</v>
      </c>
      <c r="C5039" s="1" t="s">
        <v>332</v>
      </c>
      <c r="D5039" s="1" t="s">
        <v>229</v>
      </c>
      <c r="E5039" s="1"/>
    </row>
    <row r="5040" spans="1:5" ht="16">
      <c r="A5040" s="1" t="s">
        <v>4475</v>
      </c>
      <c r="B5040" s="1" t="s">
        <v>4755</v>
      </c>
      <c r="C5040" s="1" t="s">
        <v>332</v>
      </c>
      <c r="D5040" s="1" t="s">
        <v>229</v>
      </c>
      <c r="E5040" s="1"/>
    </row>
    <row r="5041" spans="1:5" ht="16">
      <c r="A5041" s="1" t="s">
        <v>4475</v>
      </c>
      <c r="B5041" s="1" t="s">
        <v>4756</v>
      </c>
      <c r="C5041" s="1" t="s">
        <v>332</v>
      </c>
      <c r="D5041" s="1" t="s">
        <v>229</v>
      </c>
      <c r="E5041" s="1"/>
    </row>
    <row r="5042" spans="1:5" ht="16">
      <c r="A5042" s="1" t="s">
        <v>4475</v>
      </c>
      <c r="B5042" s="1" t="s">
        <v>4757</v>
      </c>
      <c r="C5042" s="1" t="s">
        <v>332</v>
      </c>
      <c r="D5042" s="1" t="s">
        <v>229</v>
      </c>
      <c r="E5042" s="1"/>
    </row>
    <row r="5043" spans="1:5" ht="16">
      <c r="A5043" s="1" t="s">
        <v>4475</v>
      </c>
      <c r="B5043" s="1" t="s">
        <v>4758</v>
      </c>
      <c r="C5043" s="1" t="s">
        <v>332</v>
      </c>
      <c r="D5043" s="1" t="s">
        <v>229</v>
      </c>
      <c r="E5043" s="1"/>
    </row>
    <row r="5044" spans="1:5" ht="16">
      <c r="A5044" s="1" t="s">
        <v>4475</v>
      </c>
      <c r="B5044" s="1" t="s">
        <v>4759</v>
      </c>
      <c r="C5044" s="1" t="s">
        <v>332</v>
      </c>
      <c r="D5044" s="1" t="s">
        <v>229</v>
      </c>
      <c r="E5044" s="1"/>
    </row>
    <row r="5045" spans="1:5" ht="16">
      <c r="A5045" s="1" t="s">
        <v>4475</v>
      </c>
      <c r="B5045" s="1" t="s">
        <v>4760</v>
      </c>
      <c r="C5045" s="1" t="s">
        <v>332</v>
      </c>
      <c r="D5045" s="1" t="s">
        <v>229</v>
      </c>
      <c r="E5045" s="1"/>
    </row>
    <row r="5046" spans="1:5" ht="16">
      <c r="A5046" s="1" t="s">
        <v>4475</v>
      </c>
      <c r="B5046" s="1" t="s">
        <v>4761</v>
      </c>
      <c r="C5046" s="1" t="s">
        <v>332</v>
      </c>
      <c r="D5046" s="1" t="s">
        <v>229</v>
      </c>
      <c r="E5046" s="1"/>
    </row>
    <row r="5047" spans="1:5" ht="16">
      <c r="A5047" s="1" t="s">
        <v>4475</v>
      </c>
      <c r="B5047" s="1" t="s">
        <v>4762</v>
      </c>
      <c r="C5047" s="1" t="s">
        <v>332</v>
      </c>
      <c r="D5047" s="1" t="s">
        <v>229</v>
      </c>
      <c r="E5047" s="1"/>
    </row>
    <row r="5048" spans="1:5" ht="16">
      <c r="A5048" s="1" t="s">
        <v>4475</v>
      </c>
      <c r="B5048" s="1" t="s">
        <v>4763</v>
      </c>
      <c r="C5048" s="1" t="s">
        <v>332</v>
      </c>
      <c r="D5048" s="1" t="s">
        <v>229</v>
      </c>
      <c r="E5048" s="1"/>
    </row>
    <row r="5049" spans="1:5" ht="16">
      <c r="A5049" s="1" t="s">
        <v>4475</v>
      </c>
      <c r="B5049" s="1" t="s">
        <v>4764</v>
      </c>
      <c r="C5049" s="1" t="s">
        <v>332</v>
      </c>
      <c r="D5049" s="1" t="s">
        <v>229</v>
      </c>
      <c r="E5049" s="1"/>
    </row>
    <row r="5050" spans="1:5" ht="16">
      <c r="A5050" s="1" t="s">
        <v>4475</v>
      </c>
      <c r="B5050" s="1" t="s">
        <v>4765</v>
      </c>
      <c r="C5050" s="1" t="s">
        <v>332</v>
      </c>
      <c r="D5050" s="1" t="s">
        <v>229</v>
      </c>
      <c r="E5050" s="1"/>
    </row>
    <row r="5051" spans="1:5" ht="16">
      <c r="A5051" s="1" t="s">
        <v>4475</v>
      </c>
      <c r="B5051" s="1" t="s">
        <v>4766</v>
      </c>
      <c r="C5051" s="1" t="s">
        <v>332</v>
      </c>
      <c r="D5051" s="1" t="s">
        <v>229</v>
      </c>
      <c r="E5051" s="1"/>
    </row>
    <row r="5052" spans="1:5" ht="16">
      <c r="A5052" s="1" t="s">
        <v>4475</v>
      </c>
      <c r="B5052" s="1" t="s">
        <v>4767</v>
      </c>
      <c r="C5052" s="1" t="s">
        <v>332</v>
      </c>
      <c r="D5052" s="1" t="s">
        <v>229</v>
      </c>
      <c r="E5052" s="1"/>
    </row>
    <row r="5053" spans="1:5" ht="16">
      <c r="A5053" s="1" t="s">
        <v>4475</v>
      </c>
      <c r="B5053" s="1" t="s">
        <v>4768</v>
      </c>
      <c r="C5053" s="1" t="s">
        <v>332</v>
      </c>
      <c r="D5053" s="1" t="s">
        <v>229</v>
      </c>
      <c r="E5053" s="1"/>
    </row>
    <row r="5054" spans="1:5" ht="16">
      <c r="A5054" s="1" t="s">
        <v>4475</v>
      </c>
      <c r="B5054" s="1" t="s">
        <v>4769</v>
      </c>
      <c r="C5054" s="1" t="s">
        <v>332</v>
      </c>
      <c r="D5054" s="1" t="s">
        <v>229</v>
      </c>
      <c r="E5054" s="1"/>
    </row>
    <row r="5055" spans="1:5" ht="16">
      <c r="A5055" s="1" t="s">
        <v>4475</v>
      </c>
      <c r="B5055" s="1" t="s">
        <v>4770</v>
      </c>
      <c r="C5055" s="1" t="s">
        <v>332</v>
      </c>
      <c r="D5055" s="1" t="s">
        <v>229</v>
      </c>
      <c r="E5055" s="1"/>
    </row>
    <row r="5056" spans="1:5" ht="16">
      <c r="A5056" s="1" t="s">
        <v>4475</v>
      </c>
      <c r="B5056" s="1" t="s">
        <v>4771</v>
      </c>
      <c r="C5056" s="1" t="s">
        <v>332</v>
      </c>
      <c r="D5056" s="1" t="s">
        <v>229</v>
      </c>
      <c r="E5056" s="1"/>
    </row>
    <row r="5057" spans="1:5" ht="16">
      <c r="A5057" s="1" t="s">
        <v>4475</v>
      </c>
      <c r="B5057" s="1" t="s">
        <v>4772</v>
      </c>
      <c r="C5057" s="1" t="s">
        <v>332</v>
      </c>
      <c r="D5057" s="1" t="s">
        <v>229</v>
      </c>
      <c r="E5057" s="1"/>
    </row>
    <row r="5058" spans="1:5" ht="16">
      <c r="A5058" s="1" t="s">
        <v>4475</v>
      </c>
      <c r="B5058" s="1" t="s">
        <v>4773</v>
      </c>
      <c r="C5058" s="1" t="s">
        <v>332</v>
      </c>
      <c r="D5058" s="1" t="s">
        <v>229</v>
      </c>
      <c r="E5058" s="1"/>
    </row>
    <row r="5059" spans="1:5" ht="16">
      <c r="A5059" s="1" t="s">
        <v>4475</v>
      </c>
      <c r="B5059" s="1" t="s">
        <v>4774</v>
      </c>
      <c r="C5059" s="1" t="s">
        <v>332</v>
      </c>
      <c r="D5059" s="1" t="s">
        <v>229</v>
      </c>
      <c r="E5059" s="1"/>
    </row>
    <row r="5060" spans="1:5" ht="16">
      <c r="A5060" s="1" t="s">
        <v>4475</v>
      </c>
      <c r="B5060" s="1" t="s">
        <v>4775</v>
      </c>
      <c r="C5060" s="1" t="s">
        <v>332</v>
      </c>
      <c r="D5060" s="1" t="s">
        <v>229</v>
      </c>
      <c r="E5060" s="1"/>
    </row>
    <row r="5061" spans="1:5" ht="16">
      <c r="A5061" s="1" t="s">
        <v>4475</v>
      </c>
      <c r="B5061" s="1" t="s">
        <v>4776</v>
      </c>
      <c r="C5061" s="1" t="s">
        <v>332</v>
      </c>
      <c r="D5061" s="1" t="s">
        <v>229</v>
      </c>
      <c r="E5061" s="1"/>
    </row>
    <row r="5062" spans="1:5" ht="16">
      <c r="A5062" s="1" t="s">
        <v>4475</v>
      </c>
      <c r="B5062" s="1" t="s">
        <v>4777</v>
      </c>
      <c r="C5062" s="1" t="s">
        <v>332</v>
      </c>
      <c r="D5062" s="1" t="s">
        <v>229</v>
      </c>
      <c r="E5062" s="1"/>
    </row>
    <row r="5063" spans="1:5" ht="16">
      <c r="A5063" s="1" t="s">
        <v>4475</v>
      </c>
      <c r="B5063" s="1" t="s">
        <v>4778</v>
      </c>
      <c r="C5063" s="1" t="s">
        <v>332</v>
      </c>
      <c r="D5063" s="1" t="s">
        <v>229</v>
      </c>
      <c r="E5063" s="1"/>
    </row>
    <row r="5064" spans="1:5" ht="16">
      <c r="A5064" s="1" t="s">
        <v>4475</v>
      </c>
      <c r="B5064" s="1" t="s">
        <v>4779</v>
      </c>
      <c r="C5064" s="1" t="s">
        <v>332</v>
      </c>
      <c r="D5064" s="1" t="s">
        <v>229</v>
      </c>
      <c r="E5064" s="1"/>
    </row>
    <row r="5065" spans="1:5" ht="16">
      <c r="A5065" s="1" t="s">
        <v>4475</v>
      </c>
      <c r="B5065" s="1" t="s">
        <v>4780</v>
      </c>
      <c r="C5065" s="1" t="s">
        <v>332</v>
      </c>
      <c r="D5065" s="1" t="s">
        <v>229</v>
      </c>
      <c r="E5065" s="1"/>
    </row>
    <row r="5066" spans="1:5" ht="16">
      <c r="A5066" s="1" t="s">
        <v>4475</v>
      </c>
      <c r="B5066" s="1" t="s">
        <v>4781</v>
      </c>
      <c r="C5066" s="1" t="s">
        <v>332</v>
      </c>
      <c r="D5066" s="1" t="s">
        <v>229</v>
      </c>
      <c r="E5066" s="1"/>
    </row>
    <row r="5067" spans="1:5" ht="16">
      <c r="A5067" s="1" t="s">
        <v>4475</v>
      </c>
      <c r="B5067" s="1" t="s">
        <v>4782</v>
      </c>
      <c r="C5067" s="1" t="s">
        <v>332</v>
      </c>
      <c r="D5067" s="1" t="s">
        <v>229</v>
      </c>
      <c r="E5067" s="1"/>
    </row>
    <row r="5068" spans="1:5" ht="16">
      <c r="A5068" s="1" t="s">
        <v>4475</v>
      </c>
      <c r="B5068" s="1" t="s">
        <v>4783</v>
      </c>
      <c r="C5068" s="1" t="s">
        <v>332</v>
      </c>
      <c r="D5068" s="1" t="s">
        <v>229</v>
      </c>
      <c r="E5068" s="1"/>
    </row>
    <row r="5069" spans="1:5" ht="16">
      <c r="A5069" s="1" t="s">
        <v>4475</v>
      </c>
      <c r="B5069" s="1" t="s">
        <v>4784</v>
      </c>
      <c r="C5069" s="1" t="s">
        <v>332</v>
      </c>
      <c r="D5069" s="1" t="s">
        <v>229</v>
      </c>
      <c r="E5069" s="1"/>
    </row>
    <row r="5070" spans="1:5" ht="16">
      <c r="A5070" s="1" t="s">
        <v>4475</v>
      </c>
      <c r="B5070" s="1" t="s">
        <v>4785</v>
      </c>
      <c r="C5070" s="1" t="s">
        <v>332</v>
      </c>
      <c r="D5070" s="1" t="s">
        <v>229</v>
      </c>
      <c r="E5070" s="1"/>
    </row>
    <row r="5071" spans="1:5" ht="16">
      <c r="A5071" s="1" t="s">
        <v>4475</v>
      </c>
      <c r="B5071" s="1" t="s">
        <v>4786</v>
      </c>
      <c r="C5071" s="1" t="s">
        <v>332</v>
      </c>
      <c r="D5071" s="1" t="s">
        <v>229</v>
      </c>
      <c r="E5071" s="1"/>
    </row>
    <row r="5072" spans="1:5" ht="16">
      <c r="A5072" s="1" t="s">
        <v>4475</v>
      </c>
      <c r="B5072" s="1" t="s">
        <v>4787</v>
      </c>
      <c r="C5072" s="1" t="s">
        <v>332</v>
      </c>
      <c r="D5072" s="1" t="s">
        <v>229</v>
      </c>
      <c r="E5072" s="1"/>
    </row>
    <row r="5073" spans="1:5" ht="16">
      <c r="A5073" s="1" t="s">
        <v>4475</v>
      </c>
      <c r="B5073" s="1" t="s">
        <v>4788</v>
      </c>
      <c r="C5073" s="1" t="s">
        <v>332</v>
      </c>
      <c r="D5073" s="1" t="s">
        <v>229</v>
      </c>
      <c r="E5073" s="1"/>
    </row>
    <row r="5074" spans="1:5" ht="16">
      <c r="A5074" s="1" t="s">
        <v>4475</v>
      </c>
      <c r="B5074" s="1" t="s">
        <v>4789</v>
      </c>
      <c r="C5074" s="1" t="s">
        <v>332</v>
      </c>
      <c r="D5074" s="1" t="s">
        <v>355</v>
      </c>
      <c r="E5074" s="1"/>
    </row>
    <row r="5075" spans="1:5" ht="16">
      <c r="A5075" s="1" t="s">
        <v>4475</v>
      </c>
      <c r="B5075" s="1" t="s">
        <v>4790</v>
      </c>
      <c r="C5075" s="1" t="s">
        <v>332</v>
      </c>
      <c r="D5075" s="1" t="s">
        <v>229</v>
      </c>
      <c r="E5075" s="1"/>
    </row>
    <row r="5076" spans="1:5" ht="16">
      <c r="A5076" s="1" t="s">
        <v>4475</v>
      </c>
      <c r="B5076" s="1" t="s">
        <v>4791</v>
      </c>
      <c r="C5076" s="1" t="s">
        <v>332</v>
      </c>
      <c r="D5076" s="1" t="s">
        <v>229</v>
      </c>
      <c r="E5076" s="1"/>
    </row>
    <row r="5077" spans="1:5" ht="16">
      <c r="A5077" s="1" t="s">
        <v>4475</v>
      </c>
      <c r="B5077" s="1" t="s">
        <v>4792</v>
      </c>
      <c r="C5077" s="1" t="s">
        <v>332</v>
      </c>
      <c r="D5077" s="1" t="s">
        <v>229</v>
      </c>
      <c r="E5077" s="1"/>
    </row>
    <row r="5078" spans="1:5" ht="16">
      <c r="A5078" s="1" t="s">
        <v>4475</v>
      </c>
      <c r="B5078" s="1" t="s">
        <v>4793</v>
      </c>
      <c r="C5078" s="1" t="s">
        <v>332</v>
      </c>
      <c r="D5078" s="1" t="s">
        <v>229</v>
      </c>
      <c r="E5078" s="1"/>
    </row>
    <row r="5079" spans="1:5" ht="16">
      <c r="A5079" s="1" t="s">
        <v>4475</v>
      </c>
      <c r="B5079" s="1" t="s">
        <v>4794</v>
      </c>
      <c r="C5079" s="1" t="s">
        <v>332</v>
      </c>
      <c r="D5079" s="1" t="s">
        <v>229</v>
      </c>
      <c r="E5079" s="1"/>
    </row>
    <row r="5080" spans="1:5" ht="16">
      <c r="A5080" s="1" t="s">
        <v>4475</v>
      </c>
      <c r="B5080" s="1" t="s">
        <v>4795</v>
      </c>
      <c r="C5080" s="1" t="s">
        <v>332</v>
      </c>
      <c r="D5080" s="1" t="s">
        <v>229</v>
      </c>
      <c r="E5080" s="1"/>
    </row>
    <row r="5081" spans="1:5" ht="16">
      <c r="A5081" s="1" t="s">
        <v>4475</v>
      </c>
      <c r="B5081" s="1" t="s">
        <v>4796</v>
      </c>
      <c r="C5081" s="1" t="s">
        <v>332</v>
      </c>
      <c r="D5081" s="1" t="s">
        <v>229</v>
      </c>
      <c r="E5081" s="1"/>
    </row>
    <row r="5082" spans="1:5" ht="16">
      <c r="A5082" s="1" t="s">
        <v>4475</v>
      </c>
      <c r="B5082" s="1" t="s">
        <v>4797</v>
      </c>
      <c r="C5082" s="1" t="s">
        <v>332</v>
      </c>
      <c r="D5082" s="1" t="s">
        <v>229</v>
      </c>
      <c r="E5082" s="1"/>
    </row>
    <row r="5083" spans="1:5" ht="16">
      <c r="A5083" s="1" t="s">
        <v>4475</v>
      </c>
      <c r="B5083" s="1" t="s">
        <v>4798</v>
      </c>
      <c r="C5083" s="1" t="s">
        <v>332</v>
      </c>
      <c r="D5083" s="1" t="s">
        <v>229</v>
      </c>
      <c r="E5083" s="1"/>
    </row>
    <row r="5084" spans="1:5" ht="16">
      <c r="A5084" s="1" t="s">
        <v>4475</v>
      </c>
      <c r="B5084" s="1" t="s">
        <v>4799</v>
      </c>
      <c r="C5084" s="1" t="s">
        <v>332</v>
      </c>
      <c r="D5084" s="1" t="s">
        <v>229</v>
      </c>
      <c r="E5084" s="1"/>
    </row>
    <row r="5085" spans="1:5" ht="16">
      <c r="A5085" s="1" t="s">
        <v>4475</v>
      </c>
      <c r="B5085" s="1" t="s">
        <v>4800</v>
      </c>
      <c r="C5085" s="1" t="s">
        <v>332</v>
      </c>
      <c r="D5085" s="1" t="s">
        <v>229</v>
      </c>
      <c r="E5085" s="1"/>
    </row>
    <row r="5086" spans="1:5" ht="16">
      <c r="A5086" s="1" t="s">
        <v>4475</v>
      </c>
      <c r="B5086" s="1" t="s">
        <v>4801</v>
      </c>
      <c r="C5086" s="1" t="s">
        <v>332</v>
      </c>
      <c r="D5086" s="1" t="s">
        <v>229</v>
      </c>
      <c r="E5086" s="1"/>
    </row>
    <row r="5087" spans="1:5" ht="16">
      <c r="A5087" s="1" t="s">
        <v>4475</v>
      </c>
      <c r="B5087" s="1" t="s">
        <v>4802</v>
      </c>
      <c r="C5087" s="1" t="s">
        <v>332</v>
      </c>
      <c r="D5087" s="1" t="s">
        <v>229</v>
      </c>
      <c r="E5087" s="1"/>
    </row>
    <row r="5088" spans="1:5" ht="16">
      <c r="A5088" s="1" t="s">
        <v>4475</v>
      </c>
      <c r="B5088" s="1" t="s">
        <v>4803</v>
      </c>
      <c r="C5088" s="1" t="s">
        <v>332</v>
      </c>
      <c r="D5088" s="1" t="s">
        <v>229</v>
      </c>
      <c r="E5088" s="1"/>
    </row>
    <row r="5089" spans="1:5" ht="16">
      <c r="A5089" s="1" t="s">
        <v>4475</v>
      </c>
      <c r="B5089" s="1" t="s">
        <v>4804</v>
      </c>
      <c r="C5089" s="1" t="s">
        <v>332</v>
      </c>
      <c r="D5089" s="1" t="s">
        <v>229</v>
      </c>
      <c r="E5089" s="1"/>
    </row>
    <row r="5090" spans="1:5" ht="16">
      <c r="A5090" s="1" t="s">
        <v>4475</v>
      </c>
      <c r="B5090" s="1" t="s">
        <v>4805</v>
      </c>
      <c r="C5090" s="1" t="s">
        <v>332</v>
      </c>
      <c r="D5090" s="1" t="s">
        <v>229</v>
      </c>
      <c r="E5090" s="1"/>
    </row>
    <row r="5091" spans="1:5" ht="16">
      <c r="A5091" s="1" t="s">
        <v>4475</v>
      </c>
      <c r="B5091" s="1" t="s">
        <v>4792</v>
      </c>
      <c r="C5091" s="1" t="s">
        <v>332</v>
      </c>
      <c r="D5091" s="1" t="s">
        <v>229</v>
      </c>
      <c r="E5091" s="1"/>
    </row>
    <row r="5092" spans="1:5" ht="16">
      <c r="A5092" s="1" t="s">
        <v>4475</v>
      </c>
      <c r="B5092" s="1" t="s">
        <v>4793</v>
      </c>
      <c r="C5092" s="1" t="s">
        <v>332</v>
      </c>
      <c r="D5092" s="1" t="s">
        <v>229</v>
      </c>
      <c r="E5092" s="1"/>
    </row>
    <row r="5093" spans="1:5" ht="16">
      <c r="A5093" s="1" t="s">
        <v>4475</v>
      </c>
      <c r="B5093" s="1" t="s">
        <v>4794</v>
      </c>
      <c r="C5093" s="1" t="s">
        <v>332</v>
      </c>
      <c r="D5093" s="1" t="s">
        <v>229</v>
      </c>
      <c r="E5093" s="1"/>
    </row>
    <row r="5094" spans="1:5" ht="16">
      <c r="A5094" s="1" t="s">
        <v>4475</v>
      </c>
      <c r="B5094" s="1" t="s">
        <v>4806</v>
      </c>
      <c r="C5094" s="1" t="s">
        <v>332</v>
      </c>
      <c r="D5094" s="1" t="s">
        <v>229</v>
      </c>
      <c r="E5094" s="1"/>
    </row>
    <row r="5095" spans="1:5" ht="16">
      <c r="A5095" s="1" t="s">
        <v>4475</v>
      </c>
      <c r="B5095" s="1" t="s">
        <v>4807</v>
      </c>
      <c r="C5095" s="1" t="s">
        <v>332</v>
      </c>
      <c r="D5095" s="1" t="s">
        <v>229</v>
      </c>
      <c r="E5095" s="1"/>
    </row>
    <row r="5096" spans="1:5" ht="16">
      <c r="A5096" s="1" t="s">
        <v>4475</v>
      </c>
      <c r="B5096" s="1" t="s">
        <v>4808</v>
      </c>
      <c r="C5096" s="1" t="s">
        <v>332</v>
      </c>
      <c r="D5096" s="1" t="s">
        <v>229</v>
      </c>
      <c r="E5096" s="1"/>
    </row>
    <row r="5097" spans="1:5" ht="16">
      <c r="A5097" s="1" t="s">
        <v>4475</v>
      </c>
      <c r="B5097" s="1" t="s">
        <v>4809</v>
      </c>
      <c r="C5097" s="1" t="s">
        <v>332</v>
      </c>
      <c r="D5097" s="1" t="s">
        <v>229</v>
      </c>
      <c r="E5097" s="1"/>
    </row>
    <row r="5098" spans="1:5" ht="16">
      <c r="A5098" s="1" t="s">
        <v>4475</v>
      </c>
      <c r="B5098" s="1" t="s">
        <v>4810</v>
      </c>
      <c r="C5098" s="1" t="s">
        <v>332</v>
      </c>
      <c r="D5098" s="1" t="s">
        <v>229</v>
      </c>
      <c r="E5098" s="1"/>
    </row>
    <row r="5099" spans="1:5" ht="16">
      <c r="A5099" s="1" t="s">
        <v>4475</v>
      </c>
      <c r="B5099" s="1" t="s">
        <v>4811</v>
      </c>
      <c r="C5099" s="1" t="s">
        <v>332</v>
      </c>
      <c r="D5099" s="1" t="s">
        <v>229</v>
      </c>
      <c r="E5099" s="1"/>
    </row>
    <row r="5100" spans="1:5" ht="16">
      <c r="A5100" s="1" t="s">
        <v>4475</v>
      </c>
      <c r="B5100" s="1" t="s">
        <v>4812</v>
      </c>
      <c r="C5100" s="1" t="s">
        <v>332</v>
      </c>
      <c r="D5100" s="1" t="s">
        <v>229</v>
      </c>
      <c r="E5100" s="1"/>
    </row>
    <row r="5101" spans="1:5" ht="16">
      <c r="A5101" s="1" t="s">
        <v>4475</v>
      </c>
      <c r="B5101" s="1" t="s">
        <v>4813</v>
      </c>
      <c r="C5101" s="1" t="s">
        <v>332</v>
      </c>
      <c r="D5101" s="1" t="s">
        <v>229</v>
      </c>
      <c r="E5101" s="1"/>
    </row>
    <row r="5102" spans="1:5" ht="16">
      <c r="A5102" s="1" t="s">
        <v>4475</v>
      </c>
      <c r="B5102" s="1" t="s">
        <v>4814</v>
      </c>
      <c r="C5102" s="1" t="s">
        <v>332</v>
      </c>
      <c r="D5102" s="1" t="s">
        <v>229</v>
      </c>
      <c r="E5102" s="1"/>
    </row>
    <row r="5103" spans="1:5" ht="16">
      <c r="A5103" s="1" t="s">
        <v>4475</v>
      </c>
      <c r="B5103" s="1" t="s">
        <v>4815</v>
      </c>
      <c r="C5103" s="1" t="s">
        <v>332</v>
      </c>
      <c r="D5103" s="1" t="s">
        <v>229</v>
      </c>
      <c r="E5103" s="1"/>
    </row>
    <row r="5104" spans="1:5" ht="16">
      <c r="A5104" s="1" t="s">
        <v>4475</v>
      </c>
      <c r="B5104" s="1" t="s">
        <v>4816</v>
      </c>
      <c r="C5104" s="1" t="s">
        <v>332</v>
      </c>
      <c r="D5104" s="1" t="s">
        <v>229</v>
      </c>
      <c r="E5104" s="1"/>
    </row>
    <row r="5105" spans="1:5" ht="16">
      <c r="A5105" s="1" t="s">
        <v>4475</v>
      </c>
      <c r="B5105" s="1" t="s">
        <v>4817</v>
      </c>
      <c r="C5105" s="1" t="s">
        <v>332</v>
      </c>
      <c r="D5105" s="1" t="s">
        <v>229</v>
      </c>
      <c r="E5105" s="1"/>
    </row>
    <row r="5106" spans="1:5" ht="16">
      <c r="A5106" s="1" t="s">
        <v>4475</v>
      </c>
      <c r="B5106" s="1" t="s">
        <v>4818</v>
      </c>
      <c r="C5106" s="1" t="s">
        <v>332</v>
      </c>
      <c r="D5106" s="1" t="s">
        <v>229</v>
      </c>
      <c r="E5106" s="1"/>
    </row>
    <row r="5107" spans="1:5" ht="16">
      <c r="A5107" s="1" t="s">
        <v>4475</v>
      </c>
      <c r="B5107" s="1" t="s">
        <v>4819</v>
      </c>
      <c r="C5107" s="1" t="s">
        <v>332</v>
      </c>
      <c r="D5107" s="1" t="s">
        <v>229</v>
      </c>
      <c r="E5107" s="1"/>
    </row>
    <row r="5108" spans="1:5" ht="16">
      <c r="A5108" s="1" t="s">
        <v>4475</v>
      </c>
      <c r="B5108" s="1" t="s">
        <v>4820</v>
      </c>
      <c r="C5108" s="1" t="s">
        <v>332</v>
      </c>
      <c r="D5108" s="1" t="s">
        <v>229</v>
      </c>
      <c r="E5108" s="1"/>
    </row>
    <row r="5109" spans="1:5" ht="16">
      <c r="A5109" s="1" t="s">
        <v>4475</v>
      </c>
      <c r="B5109" s="1" t="s">
        <v>4821</v>
      </c>
      <c r="C5109" s="1" t="s">
        <v>332</v>
      </c>
      <c r="D5109" s="1" t="s">
        <v>229</v>
      </c>
      <c r="E5109" s="1"/>
    </row>
    <row r="5110" spans="1:5" ht="16">
      <c r="A5110" s="1" t="s">
        <v>4475</v>
      </c>
      <c r="B5110" s="1" t="s">
        <v>4822</v>
      </c>
      <c r="C5110" s="1" t="s">
        <v>332</v>
      </c>
      <c r="D5110" s="1" t="s">
        <v>229</v>
      </c>
      <c r="E5110" s="1"/>
    </row>
    <row r="5111" spans="1:5" ht="16">
      <c r="A5111" s="1" t="s">
        <v>4475</v>
      </c>
      <c r="B5111" s="1" t="s">
        <v>4823</v>
      </c>
      <c r="C5111" s="1" t="s">
        <v>332</v>
      </c>
      <c r="D5111" s="1" t="s">
        <v>229</v>
      </c>
      <c r="E5111" s="1"/>
    </row>
    <row r="5112" spans="1:5" ht="16">
      <c r="A5112" s="1" t="s">
        <v>4475</v>
      </c>
      <c r="B5112" s="1" t="s">
        <v>4824</v>
      </c>
      <c r="C5112" s="1" t="s">
        <v>332</v>
      </c>
      <c r="D5112" s="1" t="s">
        <v>229</v>
      </c>
      <c r="E5112" s="1"/>
    </row>
    <row r="5113" spans="1:5" ht="16">
      <c r="A5113" s="1" t="s">
        <v>4475</v>
      </c>
      <c r="B5113" s="1" t="s">
        <v>4825</v>
      </c>
      <c r="C5113" s="1" t="s">
        <v>332</v>
      </c>
      <c r="D5113" s="1" t="s">
        <v>229</v>
      </c>
      <c r="E5113" s="1"/>
    </row>
    <row r="5114" spans="1:5" ht="16">
      <c r="A5114" s="1" t="s">
        <v>4475</v>
      </c>
      <c r="B5114" s="1" t="s">
        <v>4826</v>
      </c>
      <c r="C5114" s="1" t="s">
        <v>332</v>
      </c>
      <c r="D5114" s="1" t="s">
        <v>229</v>
      </c>
      <c r="E5114" s="1"/>
    </row>
    <row r="5115" spans="1:5" ht="16">
      <c r="A5115" s="1" t="s">
        <v>4475</v>
      </c>
      <c r="B5115" s="1" t="s">
        <v>4827</v>
      </c>
      <c r="C5115" s="1" t="s">
        <v>332</v>
      </c>
      <c r="D5115" s="1" t="s">
        <v>229</v>
      </c>
      <c r="E5115" s="1"/>
    </row>
    <row r="5116" spans="1:5" ht="16">
      <c r="A5116" s="1" t="s">
        <v>4475</v>
      </c>
      <c r="B5116" s="1" t="s">
        <v>4828</v>
      </c>
      <c r="C5116" s="1" t="s">
        <v>332</v>
      </c>
      <c r="D5116" s="1" t="s">
        <v>229</v>
      </c>
      <c r="E5116" s="1"/>
    </row>
    <row r="5117" spans="1:5" ht="16">
      <c r="A5117" s="1" t="s">
        <v>4475</v>
      </c>
      <c r="B5117" s="1" t="s">
        <v>4829</v>
      </c>
      <c r="C5117" s="1" t="s">
        <v>332</v>
      </c>
      <c r="D5117" s="1" t="s">
        <v>229</v>
      </c>
      <c r="E5117" s="1"/>
    </row>
    <row r="5118" spans="1:5" ht="16">
      <c r="A5118" s="1" t="s">
        <v>4475</v>
      </c>
      <c r="B5118" s="1" t="s">
        <v>4830</v>
      </c>
      <c r="C5118" s="1" t="s">
        <v>332</v>
      </c>
      <c r="D5118" s="1" t="s">
        <v>229</v>
      </c>
      <c r="E5118" s="1"/>
    </row>
    <row r="5119" spans="1:5" ht="16">
      <c r="A5119" s="1" t="s">
        <v>4475</v>
      </c>
      <c r="B5119" s="1" t="s">
        <v>4831</v>
      </c>
      <c r="C5119" s="1" t="s">
        <v>332</v>
      </c>
      <c r="D5119" s="1" t="s">
        <v>229</v>
      </c>
      <c r="E5119" s="1"/>
    </row>
    <row r="5120" spans="1:5" ht="16">
      <c r="A5120" s="1" t="s">
        <v>4475</v>
      </c>
      <c r="B5120" s="1" t="s">
        <v>4832</v>
      </c>
      <c r="C5120" s="1" t="s">
        <v>332</v>
      </c>
      <c r="D5120" s="1" t="s">
        <v>229</v>
      </c>
      <c r="E5120" s="1"/>
    </row>
    <row r="5121" spans="1:5" ht="16">
      <c r="A5121" s="1" t="s">
        <v>4475</v>
      </c>
      <c r="B5121" s="1" t="s">
        <v>4833</v>
      </c>
      <c r="C5121" s="1" t="s">
        <v>332</v>
      </c>
      <c r="D5121" s="1" t="s">
        <v>229</v>
      </c>
      <c r="E5121" s="1"/>
    </row>
    <row r="5122" spans="1:5" ht="16">
      <c r="A5122" s="1" t="s">
        <v>4475</v>
      </c>
      <c r="B5122" s="1" t="s">
        <v>4834</v>
      </c>
      <c r="C5122" s="1" t="s">
        <v>332</v>
      </c>
      <c r="D5122" s="1" t="s">
        <v>229</v>
      </c>
      <c r="E5122" s="1"/>
    </row>
    <row r="5123" spans="1:5" ht="16">
      <c r="A5123" s="1" t="s">
        <v>4475</v>
      </c>
      <c r="B5123" s="1" t="s">
        <v>4835</v>
      </c>
      <c r="C5123" s="1" t="s">
        <v>332</v>
      </c>
      <c r="D5123" s="1" t="s">
        <v>229</v>
      </c>
      <c r="E5123" s="1"/>
    </row>
    <row r="5124" spans="1:5" ht="16">
      <c r="A5124" s="1" t="s">
        <v>4475</v>
      </c>
      <c r="B5124" s="1" t="s">
        <v>4836</v>
      </c>
      <c r="C5124" s="1" t="s">
        <v>332</v>
      </c>
      <c r="D5124" s="1" t="s">
        <v>229</v>
      </c>
      <c r="E5124" s="1"/>
    </row>
    <row r="5125" spans="1:5" ht="16">
      <c r="A5125" s="1" t="s">
        <v>4475</v>
      </c>
      <c r="B5125" s="1" t="s">
        <v>4837</v>
      </c>
      <c r="C5125" s="1" t="s">
        <v>332</v>
      </c>
      <c r="D5125" s="1" t="s">
        <v>229</v>
      </c>
      <c r="E5125" s="1"/>
    </row>
    <row r="5126" spans="1:5" ht="16">
      <c r="A5126" s="1" t="s">
        <v>4475</v>
      </c>
      <c r="B5126" s="1" t="s">
        <v>4838</v>
      </c>
      <c r="C5126" s="1" t="s">
        <v>332</v>
      </c>
      <c r="D5126" s="1" t="s">
        <v>229</v>
      </c>
      <c r="E5126" s="1"/>
    </row>
    <row r="5127" spans="1:5" ht="16">
      <c r="A5127" s="1" t="s">
        <v>4475</v>
      </c>
      <c r="B5127" s="1" t="s">
        <v>4839</v>
      </c>
      <c r="C5127" s="1" t="s">
        <v>332</v>
      </c>
      <c r="D5127" s="1" t="s">
        <v>229</v>
      </c>
      <c r="E5127" s="1"/>
    </row>
    <row r="5128" spans="1:5" ht="16">
      <c r="A5128" s="1" t="s">
        <v>4475</v>
      </c>
      <c r="B5128" s="1" t="s">
        <v>4840</v>
      </c>
      <c r="C5128" s="1" t="s">
        <v>332</v>
      </c>
      <c r="D5128" s="1" t="s">
        <v>229</v>
      </c>
      <c r="E5128" s="1"/>
    </row>
    <row r="5129" spans="1:5" ht="16">
      <c r="A5129" s="1" t="s">
        <v>4475</v>
      </c>
      <c r="B5129" s="1" t="s">
        <v>4841</v>
      </c>
      <c r="C5129" s="1" t="s">
        <v>332</v>
      </c>
      <c r="D5129" s="1" t="s">
        <v>229</v>
      </c>
      <c r="E5129" s="1"/>
    </row>
    <row r="5130" spans="1:5" ht="16">
      <c r="A5130" s="1" t="s">
        <v>4475</v>
      </c>
      <c r="B5130" s="1" t="s">
        <v>4842</v>
      </c>
      <c r="C5130" s="1" t="s">
        <v>332</v>
      </c>
      <c r="D5130" s="1" t="s">
        <v>229</v>
      </c>
      <c r="E5130" s="1"/>
    </row>
    <row r="5131" spans="1:5" ht="16">
      <c r="A5131" s="1" t="s">
        <v>4475</v>
      </c>
      <c r="B5131" s="1" t="s">
        <v>4843</v>
      </c>
      <c r="C5131" s="1" t="s">
        <v>332</v>
      </c>
      <c r="D5131" s="1" t="s">
        <v>229</v>
      </c>
      <c r="E5131" s="1"/>
    </row>
    <row r="5132" spans="1:5" ht="16">
      <c r="A5132" s="1" t="s">
        <v>4475</v>
      </c>
      <c r="B5132" s="1" t="s">
        <v>4844</v>
      </c>
      <c r="C5132" s="1" t="s">
        <v>332</v>
      </c>
      <c r="D5132" s="1" t="s">
        <v>229</v>
      </c>
      <c r="E5132" s="1"/>
    </row>
    <row r="5133" spans="1:5" ht="16">
      <c r="A5133" s="1" t="s">
        <v>4475</v>
      </c>
      <c r="B5133" s="1" t="s">
        <v>4845</v>
      </c>
      <c r="C5133" s="1" t="s">
        <v>332</v>
      </c>
      <c r="D5133" s="1" t="s">
        <v>229</v>
      </c>
      <c r="E5133" s="1"/>
    </row>
    <row r="5134" spans="1:5" ht="16">
      <c r="A5134" s="1" t="s">
        <v>4475</v>
      </c>
      <c r="B5134" s="1" t="s">
        <v>4846</v>
      </c>
      <c r="C5134" s="1" t="s">
        <v>332</v>
      </c>
      <c r="D5134" s="1" t="s">
        <v>229</v>
      </c>
      <c r="E5134" s="1"/>
    </row>
    <row r="5135" spans="1:5" ht="16">
      <c r="A5135" s="1" t="s">
        <v>4475</v>
      </c>
      <c r="B5135" s="1" t="s">
        <v>4847</v>
      </c>
      <c r="C5135" s="1" t="s">
        <v>332</v>
      </c>
      <c r="D5135" s="1" t="s">
        <v>229</v>
      </c>
      <c r="E5135" s="1"/>
    </row>
    <row r="5136" spans="1:5" ht="16">
      <c r="A5136" s="1" t="s">
        <v>4475</v>
      </c>
      <c r="B5136" s="1" t="s">
        <v>4848</v>
      </c>
      <c r="C5136" s="1" t="s">
        <v>332</v>
      </c>
      <c r="D5136" s="1" t="s">
        <v>229</v>
      </c>
      <c r="E5136" s="1"/>
    </row>
    <row r="5137" spans="1:5" ht="16">
      <c r="A5137" s="1" t="s">
        <v>4475</v>
      </c>
      <c r="B5137" s="1" t="s">
        <v>4849</v>
      </c>
      <c r="C5137" s="1" t="s">
        <v>332</v>
      </c>
      <c r="D5137" s="1" t="s">
        <v>229</v>
      </c>
      <c r="E5137" s="1"/>
    </row>
    <row r="5138" spans="1:5" ht="16">
      <c r="A5138" s="1" t="s">
        <v>4475</v>
      </c>
      <c r="B5138" s="1" t="s">
        <v>4850</v>
      </c>
      <c r="C5138" s="1" t="s">
        <v>332</v>
      </c>
      <c r="D5138" s="1" t="s">
        <v>229</v>
      </c>
      <c r="E5138" s="1"/>
    </row>
    <row r="5139" spans="1:5" ht="16">
      <c r="A5139" s="1" t="s">
        <v>4475</v>
      </c>
      <c r="B5139" s="1" t="s">
        <v>4851</v>
      </c>
      <c r="C5139" s="1" t="s">
        <v>332</v>
      </c>
      <c r="D5139" s="1" t="s">
        <v>229</v>
      </c>
      <c r="E5139" s="1"/>
    </row>
    <row r="5140" spans="1:5" ht="16">
      <c r="A5140" s="1" t="s">
        <v>4475</v>
      </c>
      <c r="B5140" s="1" t="s">
        <v>4852</v>
      </c>
      <c r="C5140" s="1" t="s">
        <v>332</v>
      </c>
      <c r="D5140" s="1" t="s">
        <v>229</v>
      </c>
      <c r="E5140" s="1"/>
    </row>
    <row r="5141" spans="1:5" ht="16">
      <c r="A5141" s="1" t="s">
        <v>4475</v>
      </c>
      <c r="B5141" s="1" t="s">
        <v>4853</v>
      </c>
      <c r="C5141" s="1" t="s">
        <v>332</v>
      </c>
      <c r="D5141" s="1" t="s">
        <v>355</v>
      </c>
      <c r="E5141" s="1"/>
    </row>
    <row r="5142" spans="1:5" ht="16">
      <c r="A5142" s="1" t="s">
        <v>4475</v>
      </c>
      <c r="B5142" s="1" t="s">
        <v>4854</v>
      </c>
      <c r="C5142" s="1" t="s">
        <v>332</v>
      </c>
      <c r="D5142" s="1" t="s">
        <v>229</v>
      </c>
      <c r="E5142" s="1"/>
    </row>
    <row r="5143" spans="1:5" ht="16">
      <c r="A5143" s="1" t="s">
        <v>4475</v>
      </c>
      <c r="B5143" s="1" t="s">
        <v>4855</v>
      </c>
      <c r="C5143" s="1" t="s">
        <v>332</v>
      </c>
      <c r="D5143" s="1" t="s">
        <v>229</v>
      </c>
      <c r="E5143" s="1"/>
    </row>
    <row r="5144" spans="1:5" ht="16">
      <c r="A5144" s="1" t="s">
        <v>4475</v>
      </c>
      <c r="B5144" s="1" t="s">
        <v>4856</v>
      </c>
      <c r="C5144" s="1" t="s">
        <v>332</v>
      </c>
      <c r="D5144" s="1" t="s">
        <v>229</v>
      </c>
      <c r="E5144" s="1"/>
    </row>
    <row r="5145" spans="1:5" ht="16">
      <c r="A5145" s="1" t="s">
        <v>4475</v>
      </c>
      <c r="B5145" s="1" t="s">
        <v>4857</v>
      </c>
      <c r="C5145" s="1" t="s">
        <v>332</v>
      </c>
      <c r="D5145" s="1" t="s">
        <v>229</v>
      </c>
      <c r="E5145" s="1"/>
    </row>
    <row r="5146" spans="1:5" ht="16">
      <c r="A5146" s="1" t="s">
        <v>4475</v>
      </c>
      <c r="B5146" s="1" t="s">
        <v>4858</v>
      </c>
      <c r="C5146" s="1" t="s">
        <v>332</v>
      </c>
      <c r="D5146" s="1" t="s">
        <v>229</v>
      </c>
      <c r="E5146" s="1"/>
    </row>
    <row r="5147" spans="1:5" ht="16">
      <c r="A5147" s="1" t="s">
        <v>4475</v>
      </c>
      <c r="B5147" s="1" t="s">
        <v>4859</v>
      </c>
      <c r="C5147" s="1" t="s">
        <v>332</v>
      </c>
      <c r="D5147" s="1" t="s">
        <v>229</v>
      </c>
      <c r="E5147" s="1"/>
    </row>
    <row r="5148" spans="1:5" ht="16">
      <c r="A5148" s="1" t="s">
        <v>4475</v>
      </c>
      <c r="B5148" s="1" t="s">
        <v>4860</v>
      </c>
      <c r="C5148" s="1" t="s">
        <v>332</v>
      </c>
      <c r="D5148" s="1" t="s">
        <v>355</v>
      </c>
      <c r="E5148" s="1"/>
    </row>
    <row r="5149" spans="1:5" ht="16">
      <c r="A5149" s="1" t="s">
        <v>4475</v>
      </c>
      <c r="B5149" s="1" t="s">
        <v>4861</v>
      </c>
      <c r="C5149" s="1" t="s">
        <v>332</v>
      </c>
      <c r="D5149" s="1" t="s">
        <v>355</v>
      </c>
      <c r="E5149" s="1"/>
    </row>
    <row r="5150" spans="1:5" ht="16">
      <c r="A5150" s="1" t="s">
        <v>4475</v>
      </c>
      <c r="B5150" s="1" t="s">
        <v>4862</v>
      </c>
      <c r="C5150" s="1" t="s">
        <v>332</v>
      </c>
      <c r="D5150" s="1" t="s">
        <v>355</v>
      </c>
      <c r="E5150" s="1"/>
    </row>
    <row r="5151" spans="1:5" ht="16">
      <c r="A5151" s="1" t="s">
        <v>4475</v>
      </c>
      <c r="B5151" s="1" t="s">
        <v>4863</v>
      </c>
      <c r="C5151" s="1" t="s">
        <v>332</v>
      </c>
      <c r="D5151" s="1" t="s">
        <v>355</v>
      </c>
      <c r="E5151" s="1"/>
    </row>
    <row r="5152" spans="1:5" ht="16">
      <c r="A5152" s="1" t="s">
        <v>4475</v>
      </c>
      <c r="B5152" s="1" t="s">
        <v>4864</v>
      </c>
      <c r="C5152" s="1" t="s">
        <v>332</v>
      </c>
      <c r="D5152" s="1" t="s">
        <v>355</v>
      </c>
      <c r="E5152" s="1"/>
    </row>
    <row r="5153" spans="1:5" ht="16">
      <c r="A5153" s="1" t="s">
        <v>4475</v>
      </c>
      <c r="B5153" s="1" t="s">
        <v>4865</v>
      </c>
      <c r="C5153" s="1" t="s">
        <v>332</v>
      </c>
      <c r="D5153" s="1" t="s">
        <v>229</v>
      </c>
      <c r="E5153" s="1"/>
    </row>
    <row r="5154" spans="1:5" ht="16">
      <c r="A5154" s="1" t="s">
        <v>4475</v>
      </c>
      <c r="B5154" s="1" t="s">
        <v>4866</v>
      </c>
      <c r="C5154" s="1" t="s">
        <v>332</v>
      </c>
      <c r="D5154" s="1" t="s">
        <v>229</v>
      </c>
      <c r="E5154" s="1"/>
    </row>
    <row r="5155" spans="1:5" ht="16">
      <c r="A5155" s="1" t="s">
        <v>4475</v>
      </c>
      <c r="B5155" s="1" t="s">
        <v>4867</v>
      </c>
      <c r="C5155" s="1" t="s">
        <v>332</v>
      </c>
      <c r="D5155" s="1" t="s">
        <v>229</v>
      </c>
      <c r="E5155" s="1"/>
    </row>
    <row r="5156" spans="1:5" ht="16">
      <c r="A5156" s="1" t="s">
        <v>4475</v>
      </c>
      <c r="B5156" s="1" t="s">
        <v>4868</v>
      </c>
      <c r="C5156" s="1" t="s">
        <v>332</v>
      </c>
      <c r="D5156" s="1" t="s">
        <v>229</v>
      </c>
      <c r="E5156" s="1"/>
    </row>
    <row r="5157" spans="1:5" ht="16">
      <c r="A5157" s="1" t="s">
        <v>4475</v>
      </c>
      <c r="B5157" s="1" t="s">
        <v>4869</v>
      </c>
      <c r="C5157" s="1" t="s">
        <v>332</v>
      </c>
      <c r="D5157" s="1" t="s">
        <v>229</v>
      </c>
      <c r="E5157" s="1"/>
    </row>
    <row r="5158" spans="1:5" ht="16">
      <c r="A5158" s="1" t="s">
        <v>4475</v>
      </c>
      <c r="B5158" s="1" t="s">
        <v>4870</v>
      </c>
      <c r="C5158" s="1" t="s">
        <v>332</v>
      </c>
      <c r="D5158" s="1" t="s">
        <v>229</v>
      </c>
      <c r="E5158" s="1"/>
    </row>
    <row r="5159" spans="1:5" ht="16">
      <c r="A5159" s="1" t="s">
        <v>4475</v>
      </c>
      <c r="B5159" s="1" t="s">
        <v>4871</v>
      </c>
      <c r="C5159" s="1" t="s">
        <v>332</v>
      </c>
      <c r="D5159" s="1" t="s">
        <v>229</v>
      </c>
      <c r="E5159" s="1"/>
    </row>
    <row r="5160" spans="1:5" ht="16">
      <c r="A5160" s="1" t="s">
        <v>4475</v>
      </c>
      <c r="B5160" s="1" t="s">
        <v>4872</v>
      </c>
      <c r="C5160" s="1" t="s">
        <v>332</v>
      </c>
      <c r="D5160" s="1" t="s">
        <v>229</v>
      </c>
      <c r="E5160" s="1"/>
    </row>
    <row r="5161" spans="1:5" ht="16">
      <c r="A5161" s="1" t="s">
        <v>4475</v>
      </c>
      <c r="B5161" s="1" t="s">
        <v>4873</v>
      </c>
      <c r="C5161" s="1" t="s">
        <v>332</v>
      </c>
      <c r="D5161" s="1" t="s">
        <v>229</v>
      </c>
      <c r="E5161" s="1"/>
    </row>
    <row r="5162" spans="1:5" ht="16">
      <c r="A5162" s="1" t="s">
        <v>4475</v>
      </c>
      <c r="B5162" s="1" t="s">
        <v>4874</v>
      </c>
      <c r="C5162" s="1" t="s">
        <v>332</v>
      </c>
      <c r="D5162" s="1" t="s">
        <v>229</v>
      </c>
      <c r="E5162" s="1"/>
    </row>
    <row r="5163" spans="1:5" ht="16">
      <c r="A5163" s="1" t="s">
        <v>4475</v>
      </c>
      <c r="B5163" s="1" t="s">
        <v>4875</v>
      </c>
      <c r="C5163" s="1" t="s">
        <v>332</v>
      </c>
      <c r="D5163" s="1" t="s">
        <v>229</v>
      </c>
      <c r="E5163" s="1"/>
    </row>
    <row r="5164" spans="1:5" ht="16">
      <c r="A5164" s="1" t="s">
        <v>4475</v>
      </c>
      <c r="B5164" s="1" t="s">
        <v>4876</v>
      </c>
      <c r="C5164" s="1" t="s">
        <v>332</v>
      </c>
      <c r="D5164" s="1" t="s">
        <v>229</v>
      </c>
      <c r="E5164" s="1"/>
    </row>
    <row r="5165" spans="1:5" ht="16">
      <c r="A5165" s="1" t="s">
        <v>4475</v>
      </c>
      <c r="B5165" s="1" t="s">
        <v>4877</v>
      </c>
      <c r="C5165" s="1" t="s">
        <v>332</v>
      </c>
      <c r="D5165" s="1" t="s">
        <v>229</v>
      </c>
      <c r="E5165" s="1"/>
    </row>
    <row r="5166" spans="1:5" ht="16">
      <c r="A5166" s="1" t="s">
        <v>4475</v>
      </c>
      <c r="B5166" s="1" t="s">
        <v>4878</v>
      </c>
      <c r="C5166" s="1" t="s">
        <v>332</v>
      </c>
      <c r="D5166" s="1" t="s">
        <v>229</v>
      </c>
      <c r="E5166" s="1"/>
    </row>
    <row r="5167" spans="1:5" ht="16">
      <c r="A5167" s="1" t="s">
        <v>4475</v>
      </c>
      <c r="B5167" s="1" t="s">
        <v>4879</v>
      </c>
      <c r="C5167" s="1" t="s">
        <v>332</v>
      </c>
      <c r="D5167" s="1" t="s">
        <v>229</v>
      </c>
      <c r="E5167" s="1"/>
    </row>
    <row r="5168" spans="1:5" ht="16">
      <c r="A5168" s="1" t="s">
        <v>4475</v>
      </c>
      <c r="B5168" s="1" t="s">
        <v>4880</v>
      </c>
      <c r="C5168" s="1" t="s">
        <v>332</v>
      </c>
      <c r="D5168" s="1" t="s">
        <v>229</v>
      </c>
      <c r="E5168" s="1"/>
    </row>
    <row r="5169" spans="1:5" ht="16">
      <c r="A5169" s="1" t="s">
        <v>4881</v>
      </c>
      <c r="B5169" s="1" t="s">
        <v>4882</v>
      </c>
      <c r="C5169" s="1" t="s">
        <v>228</v>
      </c>
      <c r="D5169" s="1" t="s">
        <v>229</v>
      </c>
      <c r="E5169" s="1"/>
    </row>
    <row r="5170" spans="1:5" ht="16">
      <c r="A5170" s="1" t="s">
        <v>4881</v>
      </c>
      <c r="B5170" s="1" t="s">
        <v>4883</v>
      </c>
      <c r="C5170" s="1" t="s">
        <v>364</v>
      </c>
      <c r="D5170" s="1" t="s">
        <v>229</v>
      </c>
      <c r="E5170" s="1"/>
    </row>
    <row r="5171" spans="1:5" ht="16">
      <c r="A5171" s="1" t="s">
        <v>4881</v>
      </c>
      <c r="B5171" s="1" t="s">
        <v>4884</v>
      </c>
      <c r="C5171" s="1" t="s">
        <v>364</v>
      </c>
      <c r="D5171" s="1" t="s">
        <v>229</v>
      </c>
      <c r="E5171" s="1"/>
    </row>
    <row r="5172" spans="1:5" ht="16">
      <c r="A5172" s="1" t="s">
        <v>4881</v>
      </c>
      <c r="B5172" s="1" t="s">
        <v>4885</v>
      </c>
      <c r="C5172" s="1" t="s">
        <v>263</v>
      </c>
      <c r="D5172" s="1" t="s">
        <v>229</v>
      </c>
      <c r="E5172" s="1"/>
    </row>
    <row r="5173" spans="1:5" ht="16">
      <c r="A5173" s="1" t="s">
        <v>4881</v>
      </c>
      <c r="B5173" s="1" t="s">
        <v>4886</v>
      </c>
      <c r="C5173" s="1" t="s">
        <v>263</v>
      </c>
      <c r="D5173" s="1" t="s">
        <v>229</v>
      </c>
      <c r="E5173" s="1"/>
    </row>
    <row r="5174" spans="1:5" ht="16">
      <c r="A5174" s="1" t="s">
        <v>4881</v>
      </c>
      <c r="B5174" s="1" t="s">
        <v>4887</v>
      </c>
      <c r="C5174" s="1" t="s">
        <v>263</v>
      </c>
      <c r="D5174" s="1" t="s">
        <v>229</v>
      </c>
      <c r="E5174" s="1"/>
    </row>
    <row r="5175" spans="1:5" ht="16">
      <c r="A5175" s="1" t="s">
        <v>4881</v>
      </c>
      <c r="B5175" s="1" t="s">
        <v>4888</v>
      </c>
      <c r="C5175" s="1" t="s">
        <v>263</v>
      </c>
      <c r="D5175" s="1" t="s">
        <v>229</v>
      </c>
      <c r="E5175" s="1"/>
    </row>
    <row r="5176" spans="1:5" ht="16">
      <c r="A5176" s="1" t="s">
        <v>4881</v>
      </c>
      <c r="B5176" s="1" t="s">
        <v>4889</v>
      </c>
      <c r="C5176" s="1" t="s">
        <v>265</v>
      </c>
      <c r="D5176" s="1" t="s">
        <v>229</v>
      </c>
      <c r="E5176" s="1"/>
    </row>
    <row r="5177" spans="1:5" ht="16">
      <c r="A5177" s="1" t="s">
        <v>4881</v>
      </c>
      <c r="B5177" s="1" t="s">
        <v>4890</v>
      </c>
      <c r="C5177" s="1" t="s">
        <v>334</v>
      </c>
      <c r="D5177" s="1" t="s">
        <v>229</v>
      </c>
      <c r="E5177" s="1"/>
    </row>
    <row r="5178" spans="1:5" ht="16">
      <c r="A5178" s="1" t="s">
        <v>4881</v>
      </c>
      <c r="B5178" s="1" t="s">
        <v>4891</v>
      </c>
      <c r="C5178" s="1" t="s">
        <v>334</v>
      </c>
      <c r="D5178" s="1" t="s">
        <v>229</v>
      </c>
      <c r="E5178" s="1"/>
    </row>
    <row r="5179" spans="1:5" ht="16">
      <c r="A5179" s="1" t="s">
        <v>4881</v>
      </c>
      <c r="B5179" s="1" t="s">
        <v>4892</v>
      </c>
      <c r="C5179" s="1" t="s">
        <v>334</v>
      </c>
      <c r="D5179" s="1" t="s">
        <v>229</v>
      </c>
      <c r="E5179" s="1"/>
    </row>
    <row r="5180" spans="1:5" ht="16">
      <c r="A5180" s="1" t="s">
        <v>4881</v>
      </c>
      <c r="B5180" s="1" t="s">
        <v>4893</v>
      </c>
      <c r="C5180" s="1" t="s">
        <v>334</v>
      </c>
      <c r="D5180" s="1" t="s">
        <v>229</v>
      </c>
      <c r="E5180" s="1"/>
    </row>
    <row r="5181" spans="1:5" ht="16">
      <c r="A5181" s="1" t="s">
        <v>4894</v>
      </c>
      <c r="B5181" s="1" t="s">
        <v>4895</v>
      </c>
      <c r="C5181" s="1" t="s">
        <v>234</v>
      </c>
      <c r="D5181" s="1" t="s">
        <v>229</v>
      </c>
      <c r="E5181" s="1"/>
    </row>
    <row r="5182" spans="1:5" ht="16">
      <c r="A5182" s="1" t="s">
        <v>4894</v>
      </c>
      <c r="B5182" s="1" t="s">
        <v>4896</v>
      </c>
      <c r="C5182" s="1" t="s">
        <v>234</v>
      </c>
      <c r="D5182" s="1" t="s">
        <v>229</v>
      </c>
      <c r="E5182" s="1"/>
    </row>
    <row r="5183" spans="1:5" ht="16">
      <c r="A5183" s="1" t="s">
        <v>4894</v>
      </c>
      <c r="B5183" s="1" t="s">
        <v>4897</v>
      </c>
      <c r="C5183" s="1" t="s">
        <v>234</v>
      </c>
      <c r="D5183" s="1" t="s">
        <v>229</v>
      </c>
      <c r="E5183" s="1"/>
    </row>
    <row r="5184" spans="1:5" ht="16">
      <c r="A5184" s="1" t="s">
        <v>4894</v>
      </c>
      <c r="B5184" s="1" t="s">
        <v>4898</v>
      </c>
      <c r="C5184" s="1" t="s">
        <v>234</v>
      </c>
      <c r="D5184" s="1" t="s">
        <v>229</v>
      </c>
      <c r="E5184" s="1"/>
    </row>
    <row r="5185" spans="1:5" ht="16">
      <c r="A5185" s="1" t="s">
        <v>4894</v>
      </c>
      <c r="B5185" s="1" t="s">
        <v>4899</v>
      </c>
      <c r="C5185" s="1" t="s">
        <v>234</v>
      </c>
      <c r="D5185" s="1" t="s">
        <v>229</v>
      </c>
      <c r="E5185" s="1"/>
    </row>
    <row r="5186" spans="1:5" ht="16">
      <c r="A5186" s="1" t="s">
        <v>4894</v>
      </c>
      <c r="B5186" s="1" t="s">
        <v>4900</v>
      </c>
      <c r="C5186" s="1" t="s">
        <v>234</v>
      </c>
      <c r="D5186" s="1" t="s">
        <v>229</v>
      </c>
      <c r="E5186" s="1"/>
    </row>
    <row r="5187" spans="1:5" ht="16">
      <c r="A5187" s="1" t="s">
        <v>4894</v>
      </c>
      <c r="B5187" s="1" t="s">
        <v>4901</v>
      </c>
      <c r="C5187" s="1" t="s">
        <v>234</v>
      </c>
      <c r="D5187" s="1" t="s">
        <v>229</v>
      </c>
      <c r="E5187" s="1"/>
    </row>
    <row r="5188" spans="1:5" ht="16">
      <c r="A5188" s="1" t="s">
        <v>4894</v>
      </c>
      <c r="B5188" s="1" t="s">
        <v>4902</v>
      </c>
      <c r="C5188" s="1" t="s">
        <v>234</v>
      </c>
      <c r="D5188" s="1" t="s">
        <v>229</v>
      </c>
      <c r="E5188" s="1"/>
    </row>
    <row r="5189" spans="1:5" ht="16">
      <c r="A5189" s="1" t="s">
        <v>4894</v>
      </c>
      <c r="B5189" s="1" t="s">
        <v>4903</v>
      </c>
      <c r="C5189" s="1" t="s">
        <v>234</v>
      </c>
      <c r="D5189" s="1" t="s">
        <v>229</v>
      </c>
      <c r="E5189" s="1"/>
    </row>
    <row r="5190" spans="1:5" ht="16">
      <c r="A5190" s="1" t="s">
        <v>4894</v>
      </c>
      <c r="B5190" s="1" t="s">
        <v>4904</v>
      </c>
      <c r="C5190" s="1" t="s">
        <v>234</v>
      </c>
      <c r="D5190" s="1" t="s">
        <v>229</v>
      </c>
      <c r="E5190" s="1"/>
    </row>
    <row r="5191" spans="1:5" ht="16">
      <c r="A5191" s="1" t="s">
        <v>4894</v>
      </c>
      <c r="B5191" s="1" t="s">
        <v>4905</v>
      </c>
      <c r="C5191" s="1" t="s">
        <v>334</v>
      </c>
      <c r="D5191" s="1" t="s">
        <v>229</v>
      </c>
      <c r="E5191" s="1"/>
    </row>
    <row r="5192" spans="1:5" ht="16">
      <c r="A5192" s="1" t="s">
        <v>4894</v>
      </c>
      <c r="B5192" s="1" t="s">
        <v>4906</v>
      </c>
      <c r="C5192" s="1" t="s">
        <v>334</v>
      </c>
      <c r="D5192" s="1" t="s">
        <v>229</v>
      </c>
      <c r="E5192" s="1"/>
    </row>
    <row r="5193" spans="1:5" ht="16">
      <c r="A5193" s="1" t="s">
        <v>4894</v>
      </c>
      <c r="B5193" s="1" t="s">
        <v>4907</v>
      </c>
      <c r="C5193" s="1" t="s">
        <v>334</v>
      </c>
      <c r="D5193" s="1" t="s">
        <v>229</v>
      </c>
      <c r="E5193" s="1"/>
    </row>
    <row r="5194" spans="1:5" ht="16">
      <c r="A5194" s="1" t="s">
        <v>4894</v>
      </c>
      <c r="B5194" s="1" t="s">
        <v>4908</v>
      </c>
      <c r="C5194" s="1" t="s">
        <v>334</v>
      </c>
      <c r="D5194" s="1" t="s">
        <v>229</v>
      </c>
      <c r="E5194" s="1"/>
    </row>
    <row r="5195" spans="1:5" ht="16">
      <c r="A5195" s="1" t="s">
        <v>4894</v>
      </c>
      <c r="B5195" s="1" t="s">
        <v>4909</v>
      </c>
      <c r="C5195" s="1" t="s">
        <v>334</v>
      </c>
      <c r="D5195" s="1" t="s">
        <v>229</v>
      </c>
      <c r="E5195" s="1"/>
    </row>
    <row r="5196" spans="1:5" ht="16">
      <c r="A5196" s="1" t="s">
        <v>4894</v>
      </c>
      <c r="B5196" s="1" t="s">
        <v>4910</v>
      </c>
      <c r="C5196" s="1" t="s">
        <v>334</v>
      </c>
      <c r="D5196" s="1" t="s">
        <v>229</v>
      </c>
      <c r="E5196" s="1"/>
    </row>
    <row r="5197" spans="1:5" ht="16">
      <c r="A5197" s="1" t="s">
        <v>4894</v>
      </c>
      <c r="B5197" s="1" t="s">
        <v>4911</v>
      </c>
      <c r="C5197" s="1" t="s">
        <v>334</v>
      </c>
      <c r="D5197" s="1" t="s">
        <v>229</v>
      </c>
      <c r="E5197" s="1"/>
    </row>
    <row r="5198" spans="1:5" ht="16">
      <c r="A5198" s="1" t="s">
        <v>4894</v>
      </c>
      <c r="B5198" s="1" t="s">
        <v>4912</v>
      </c>
      <c r="C5198" s="1" t="s">
        <v>334</v>
      </c>
      <c r="D5198" s="1" t="s">
        <v>229</v>
      </c>
      <c r="E5198" s="1"/>
    </row>
    <row r="5199" spans="1:5" ht="16">
      <c r="A5199" s="1" t="s">
        <v>4894</v>
      </c>
      <c r="B5199" s="1" t="s">
        <v>4913</v>
      </c>
      <c r="C5199" s="1" t="s">
        <v>334</v>
      </c>
      <c r="D5199" s="1" t="s">
        <v>229</v>
      </c>
      <c r="E5199" s="1" t="s">
        <v>500</v>
      </c>
    </row>
    <row r="5200" spans="1:5" ht="16">
      <c r="A5200" s="1" t="s">
        <v>4894</v>
      </c>
      <c r="B5200" s="1" t="s">
        <v>4914</v>
      </c>
      <c r="C5200" s="1" t="s">
        <v>334</v>
      </c>
      <c r="D5200" s="1" t="s">
        <v>229</v>
      </c>
      <c r="E5200" s="1" t="s">
        <v>500</v>
      </c>
    </row>
    <row r="5201" spans="1:5" ht="16">
      <c r="A5201" s="1" t="s">
        <v>4894</v>
      </c>
      <c r="B5201" s="1" t="s">
        <v>4915</v>
      </c>
      <c r="C5201" s="1" t="s">
        <v>334</v>
      </c>
      <c r="D5201" s="1" t="s">
        <v>229</v>
      </c>
      <c r="E5201" s="1" t="s">
        <v>500</v>
      </c>
    </row>
    <row r="5202" spans="1:5" ht="16">
      <c r="A5202" s="1" t="s">
        <v>4894</v>
      </c>
      <c r="B5202" s="1" t="s">
        <v>4916</v>
      </c>
      <c r="C5202" s="1" t="s">
        <v>334</v>
      </c>
      <c r="D5202" s="1" t="s">
        <v>229</v>
      </c>
      <c r="E5202" s="1"/>
    </row>
    <row r="5203" spans="1:5" ht="16">
      <c r="A5203" s="1" t="s">
        <v>4894</v>
      </c>
      <c r="B5203" s="1" t="s">
        <v>4917</v>
      </c>
      <c r="C5203" s="1" t="s">
        <v>334</v>
      </c>
      <c r="D5203" s="1" t="s">
        <v>229</v>
      </c>
      <c r="E5203" s="1"/>
    </row>
    <row r="5204" spans="1:5" ht="16">
      <c r="A5204" s="1" t="s">
        <v>4894</v>
      </c>
      <c r="B5204" s="1" t="s">
        <v>4918</v>
      </c>
      <c r="C5204" s="1" t="s">
        <v>334</v>
      </c>
      <c r="D5204" s="1" t="s">
        <v>229</v>
      </c>
      <c r="E5204" s="1"/>
    </row>
    <row r="5205" spans="1:5" ht="16">
      <c r="A5205" s="1" t="s">
        <v>4894</v>
      </c>
      <c r="B5205" s="1" t="s">
        <v>4919</v>
      </c>
      <c r="C5205" s="1" t="s">
        <v>334</v>
      </c>
      <c r="D5205" s="1" t="s">
        <v>229</v>
      </c>
      <c r="E5205" s="1"/>
    </row>
    <row r="5206" spans="1:5" ht="16">
      <c r="A5206" s="1" t="s">
        <v>4894</v>
      </c>
      <c r="B5206" s="1" t="s">
        <v>4920</v>
      </c>
      <c r="C5206" s="1" t="s">
        <v>334</v>
      </c>
      <c r="D5206" s="1" t="s">
        <v>229</v>
      </c>
      <c r="E5206" s="1"/>
    </row>
    <row r="5207" spans="1:5" ht="16">
      <c r="A5207" s="1" t="s">
        <v>4894</v>
      </c>
      <c r="B5207" s="1" t="s">
        <v>4921</v>
      </c>
      <c r="C5207" s="1" t="s">
        <v>334</v>
      </c>
      <c r="D5207" s="1" t="s">
        <v>229</v>
      </c>
      <c r="E5207" s="1"/>
    </row>
    <row r="5208" spans="1:5" ht="16">
      <c r="A5208" s="1" t="s">
        <v>4894</v>
      </c>
      <c r="B5208" s="1" t="s">
        <v>4922</v>
      </c>
      <c r="C5208" s="1" t="s">
        <v>263</v>
      </c>
      <c r="D5208" s="1" t="s">
        <v>229</v>
      </c>
      <c r="E5208" s="1"/>
    </row>
    <row r="5209" spans="1:5" ht="16">
      <c r="A5209" s="1" t="s">
        <v>4894</v>
      </c>
      <c r="B5209" s="1" t="s">
        <v>4923</v>
      </c>
      <c r="C5209" s="1" t="s">
        <v>263</v>
      </c>
      <c r="D5209" s="1" t="s">
        <v>229</v>
      </c>
      <c r="E5209" s="1"/>
    </row>
    <row r="5210" spans="1:5" ht="16">
      <c r="A5210" s="1" t="s">
        <v>4894</v>
      </c>
      <c r="B5210" s="1" t="s">
        <v>4924</v>
      </c>
      <c r="C5210" s="1" t="s">
        <v>364</v>
      </c>
      <c r="D5210" s="1" t="s">
        <v>229</v>
      </c>
      <c r="E5210" s="1"/>
    </row>
    <row r="5211" spans="1:5" ht="16">
      <c r="A5211" s="1" t="s">
        <v>4894</v>
      </c>
      <c r="B5211" s="1" t="s">
        <v>4925</v>
      </c>
      <c r="C5211" s="1" t="s">
        <v>307</v>
      </c>
      <c r="D5211" s="1" t="s">
        <v>229</v>
      </c>
      <c r="E5211" s="1"/>
    </row>
    <row r="5212" spans="1:5" ht="16">
      <c r="A5212" s="1" t="s">
        <v>4894</v>
      </c>
      <c r="B5212" s="1" t="s">
        <v>4926</v>
      </c>
      <c r="C5212" s="1" t="s">
        <v>334</v>
      </c>
      <c r="D5212" s="1" t="s">
        <v>229</v>
      </c>
      <c r="E5212" s="1"/>
    </row>
    <row r="5213" spans="1:5" ht="16">
      <c r="A5213" s="1" t="s">
        <v>4894</v>
      </c>
      <c r="B5213" s="1" t="s">
        <v>4927</v>
      </c>
      <c r="C5213" s="1" t="s">
        <v>234</v>
      </c>
      <c r="D5213" s="1" t="s">
        <v>229</v>
      </c>
      <c r="E5213" s="1"/>
    </row>
    <row r="5214" spans="1:5" ht="16">
      <c r="A5214" s="1" t="s">
        <v>4894</v>
      </c>
      <c r="B5214" s="1" t="s">
        <v>4928</v>
      </c>
      <c r="C5214" s="1" t="s">
        <v>334</v>
      </c>
      <c r="D5214" s="1" t="s">
        <v>229</v>
      </c>
      <c r="E5214" s="1"/>
    </row>
    <row r="5215" spans="1:5" ht="16">
      <c r="A5215" s="1" t="s">
        <v>4894</v>
      </c>
      <c r="B5215" s="1" t="s">
        <v>4929</v>
      </c>
      <c r="C5215" s="1" t="s">
        <v>234</v>
      </c>
      <c r="D5215" s="1" t="s">
        <v>229</v>
      </c>
      <c r="E5215" s="1"/>
    </row>
    <row r="5216" spans="1:5" ht="16">
      <c r="A5216" s="1" t="s">
        <v>4894</v>
      </c>
      <c r="B5216" s="1" t="s">
        <v>4930</v>
      </c>
      <c r="C5216" s="1" t="s">
        <v>334</v>
      </c>
      <c r="D5216" s="1" t="s">
        <v>229</v>
      </c>
      <c r="E5216" s="1"/>
    </row>
    <row r="5217" spans="1:5" ht="16">
      <c r="A5217" s="1" t="s">
        <v>4894</v>
      </c>
      <c r="B5217" s="1" t="s">
        <v>4931</v>
      </c>
      <c r="C5217" s="1" t="s">
        <v>334</v>
      </c>
      <c r="D5217" s="1" t="s">
        <v>229</v>
      </c>
      <c r="E5217" s="1"/>
    </row>
    <row r="5218" spans="1:5" ht="16">
      <c r="A5218" s="1" t="s">
        <v>4894</v>
      </c>
      <c r="B5218" s="1" t="s">
        <v>4932</v>
      </c>
      <c r="C5218" s="1" t="s">
        <v>265</v>
      </c>
      <c r="D5218" s="1" t="s">
        <v>229</v>
      </c>
      <c r="E5218" s="1"/>
    </row>
    <row r="5219" spans="1:5" ht="16">
      <c r="A5219" s="1" t="s">
        <v>4894</v>
      </c>
      <c r="B5219" s="1" t="s">
        <v>4933</v>
      </c>
      <c r="C5219" s="1" t="s">
        <v>334</v>
      </c>
      <c r="D5219" s="1" t="s">
        <v>229</v>
      </c>
      <c r="E5219" s="1"/>
    </row>
    <row r="5220" spans="1:5" ht="16">
      <c r="A5220" s="1" t="s">
        <v>4894</v>
      </c>
      <c r="B5220" s="1" t="s">
        <v>4934</v>
      </c>
      <c r="C5220" s="1" t="s">
        <v>334</v>
      </c>
      <c r="D5220" s="1" t="s">
        <v>229</v>
      </c>
      <c r="E5220" s="1"/>
    </row>
    <row r="5221" spans="1:5" ht="16">
      <c r="A5221" s="1" t="s">
        <v>4894</v>
      </c>
      <c r="B5221" s="1" t="s">
        <v>4935</v>
      </c>
      <c r="C5221" s="1" t="s">
        <v>319</v>
      </c>
      <c r="D5221" s="1" t="s">
        <v>229</v>
      </c>
      <c r="E5221" s="1"/>
    </row>
    <row r="5222" spans="1:5" ht="16">
      <c r="A5222" s="1" t="s">
        <v>4894</v>
      </c>
      <c r="B5222" s="1" t="s">
        <v>4936</v>
      </c>
      <c r="C5222" s="1" t="s">
        <v>334</v>
      </c>
      <c r="D5222" s="1" t="s">
        <v>229</v>
      </c>
      <c r="E5222" s="1"/>
    </row>
    <row r="5223" spans="1:5" ht="16">
      <c r="A5223" s="1" t="s">
        <v>4894</v>
      </c>
      <c r="B5223" s="1" t="s">
        <v>4937</v>
      </c>
      <c r="C5223" s="1" t="s">
        <v>334</v>
      </c>
      <c r="D5223" s="1" t="s">
        <v>229</v>
      </c>
      <c r="E5223" s="1"/>
    </row>
    <row r="5224" spans="1:5" ht="16">
      <c r="A5224" s="1" t="s">
        <v>4894</v>
      </c>
      <c r="B5224" s="1" t="s">
        <v>4938</v>
      </c>
      <c r="C5224" s="1" t="s">
        <v>334</v>
      </c>
      <c r="D5224" s="1" t="s">
        <v>229</v>
      </c>
      <c r="E5224" s="1"/>
    </row>
    <row r="5225" spans="1:5" ht="16">
      <c r="A5225" s="1" t="s">
        <v>4894</v>
      </c>
      <c r="B5225" s="1" t="s">
        <v>4939</v>
      </c>
      <c r="C5225" s="1" t="s">
        <v>334</v>
      </c>
      <c r="D5225" s="1" t="s">
        <v>229</v>
      </c>
      <c r="E5225" s="1"/>
    </row>
    <row r="5226" spans="1:5" ht="16">
      <c r="A5226" s="1" t="s">
        <v>4894</v>
      </c>
      <c r="B5226" s="1" t="s">
        <v>4940</v>
      </c>
      <c r="C5226" s="1" t="s">
        <v>334</v>
      </c>
      <c r="D5226" s="1" t="s">
        <v>229</v>
      </c>
      <c r="E5226" s="1"/>
    </row>
    <row r="5227" spans="1:5" ht="16">
      <c r="A5227" s="1" t="s">
        <v>4894</v>
      </c>
      <c r="B5227" s="1" t="s">
        <v>4941</v>
      </c>
      <c r="C5227" s="1" t="s">
        <v>334</v>
      </c>
      <c r="D5227" s="1" t="s">
        <v>229</v>
      </c>
      <c r="E5227" s="1"/>
    </row>
    <row r="5228" spans="1:5" ht="16">
      <c r="A5228" s="1" t="s">
        <v>4894</v>
      </c>
      <c r="B5228" s="1" t="s">
        <v>4942</v>
      </c>
      <c r="C5228" s="1" t="s">
        <v>334</v>
      </c>
      <c r="D5228" s="1" t="s">
        <v>229</v>
      </c>
      <c r="E5228" s="1"/>
    </row>
    <row r="5229" spans="1:5" ht="16">
      <c r="A5229" s="1" t="s">
        <v>4894</v>
      </c>
      <c r="B5229" s="1" t="s">
        <v>4943</v>
      </c>
      <c r="C5229" s="1" t="s">
        <v>234</v>
      </c>
      <c r="D5229" s="1" t="s">
        <v>229</v>
      </c>
      <c r="E5229" s="1"/>
    </row>
    <row r="5230" spans="1:5" ht="16">
      <c r="A5230" s="1" t="s">
        <v>4894</v>
      </c>
      <c r="B5230" s="1" t="s">
        <v>4944</v>
      </c>
      <c r="C5230" s="1" t="s">
        <v>234</v>
      </c>
      <c r="D5230" s="1" t="s">
        <v>229</v>
      </c>
      <c r="E5230" s="1"/>
    </row>
    <row r="5231" spans="1:5" ht="16">
      <c r="A5231" s="1" t="s">
        <v>4894</v>
      </c>
      <c r="B5231" s="1" t="s">
        <v>4945</v>
      </c>
      <c r="C5231" s="1" t="s">
        <v>234</v>
      </c>
      <c r="D5231" s="1" t="s">
        <v>229</v>
      </c>
      <c r="E5231" s="1"/>
    </row>
    <row r="5232" spans="1:5" ht="16">
      <c r="A5232" s="1" t="s">
        <v>4894</v>
      </c>
      <c r="B5232" s="1" t="s">
        <v>4946</v>
      </c>
      <c r="C5232" s="1" t="s">
        <v>334</v>
      </c>
      <c r="D5232" s="1" t="s">
        <v>229</v>
      </c>
      <c r="E5232" s="1"/>
    </row>
    <row r="5233" spans="1:5" ht="16">
      <c r="A5233" s="1" t="s">
        <v>4894</v>
      </c>
      <c r="B5233" s="1" t="s">
        <v>4947</v>
      </c>
      <c r="C5233" s="1" t="s">
        <v>334</v>
      </c>
      <c r="D5233" s="1" t="s">
        <v>229</v>
      </c>
      <c r="E5233" s="1"/>
    </row>
    <row r="5234" spans="1:5" ht="16">
      <c r="A5234" s="1" t="s">
        <v>4894</v>
      </c>
      <c r="B5234" s="1" t="s">
        <v>4948</v>
      </c>
      <c r="C5234" s="1" t="s">
        <v>332</v>
      </c>
      <c r="D5234" s="1" t="s">
        <v>229</v>
      </c>
      <c r="E5234" s="1"/>
    </row>
    <row r="5235" spans="1:5" ht="16">
      <c r="A5235" s="1" t="s">
        <v>4894</v>
      </c>
      <c r="B5235" s="1" t="s">
        <v>4949</v>
      </c>
      <c r="C5235" s="1" t="s">
        <v>332</v>
      </c>
      <c r="D5235" s="1" t="s">
        <v>229</v>
      </c>
      <c r="E5235" s="1"/>
    </row>
    <row r="5236" spans="1:5" ht="16">
      <c r="A5236" s="1" t="s">
        <v>4894</v>
      </c>
      <c r="B5236" s="1" t="s">
        <v>4950</v>
      </c>
      <c r="C5236" s="1" t="s">
        <v>332</v>
      </c>
      <c r="D5236" s="1" t="s">
        <v>229</v>
      </c>
      <c r="E5236" s="1"/>
    </row>
    <row r="5237" spans="1:5" ht="16">
      <c r="A5237" s="1" t="s">
        <v>4894</v>
      </c>
      <c r="B5237" s="1" t="s">
        <v>4951</v>
      </c>
      <c r="C5237" s="1" t="s">
        <v>332</v>
      </c>
      <c r="D5237" s="1" t="s">
        <v>229</v>
      </c>
      <c r="E5237" s="1"/>
    </row>
    <row r="5238" spans="1:5" ht="16">
      <c r="A5238" s="1" t="s">
        <v>4894</v>
      </c>
      <c r="B5238" s="1" t="s">
        <v>4952</v>
      </c>
      <c r="C5238" s="1" t="s">
        <v>332</v>
      </c>
      <c r="D5238" s="1" t="s">
        <v>229</v>
      </c>
      <c r="E5238" s="1"/>
    </row>
    <row r="5239" spans="1:5" ht="16">
      <c r="A5239" s="1" t="s">
        <v>4894</v>
      </c>
      <c r="B5239" s="1" t="s">
        <v>4953</v>
      </c>
      <c r="C5239" s="1" t="s">
        <v>332</v>
      </c>
      <c r="D5239" s="1" t="s">
        <v>229</v>
      </c>
      <c r="E5239" s="1"/>
    </row>
    <row r="5240" spans="1:5" ht="16">
      <c r="A5240" s="1" t="s">
        <v>4894</v>
      </c>
      <c r="B5240" s="1" t="s">
        <v>4954</v>
      </c>
      <c r="C5240" s="1" t="s">
        <v>332</v>
      </c>
      <c r="D5240" s="1" t="s">
        <v>229</v>
      </c>
      <c r="E5240" s="1"/>
    </row>
    <row r="5241" spans="1:5" ht="16">
      <c r="A5241" s="1" t="s">
        <v>4894</v>
      </c>
      <c r="B5241" s="1" t="s">
        <v>4955</v>
      </c>
      <c r="C5241" s="1" t="s">
        <v>332</v>
      </c>
      <c r="D5241" s="1" t="s">
        <v>229</v>
      </c>
      <c r="E5241" s="1"/>
    </row>
    <row r="5242" spans="1:5" ht="16">
      <c r="A5242" s="1" t="s">
        <v>4894</v>
      </c>
      <c r="B5242" s="1" t="s">
        <v>4956</v>
      </c>
      <c r="C5242" s="1" t="s">
        <v>332</v>
      </c>
      <c r="D5242" s="1" t="s">
        <v>229</v>
      </c>
      <c r="E5242" s="1"/>
    </row>
    <row r="5243" spans="1:5" ht="16">
      <c r="A5243" s="1" t="s">
        <v>4894</v>
      </c>
      <c r="B5243" s="1" t="s">
        <v>4957</v>
      </c>
      <c r="C5243" s="1" t="s">
        <v>332</v>
      </c>
      <c r="D5243" s="1" t="s">
        <v>229</v>
      </c>
      <c r="E5243" s="1"/>
    </row>
    <row r="5244" spans="1:5" ht="16">
      <c r="A5244" s="1" t="s">
        <v>4894</v>
      </c>
      <c r="B5244" s="1" t="s">
        <v>4958</v>
      </c>
      <c r="C5244" s="1" t="s">
        <v>332</v>
      </c>
      <c r="D5244" s="1" t="s">
        <v>229</v>
      </c>
      <c r="E5244" s="1"/>
    </row>
    <row r="5245" spans="1:5" ht="16">
      <c r="A5245" s="1" t="s">
        <v>4894</v>
      </c>
      <c r="B5245" s="1" t="s">
        <v>4959</v>
      </c>
      <c r="C5245" s="1" t="s">
        <v>332</v>
      </c>
      <c r="D5245" s="1" t="s">
        <v>229</v>
      </c>
      <c r="E5245" s="1"/>
    </row>
    <row r="5246" spans="1:5" ht="16">
      <c r="A5246" s="1" t="s">
        <v>4894</v>
      </c>
      <c r="B5246" s="1" t="s">
        <v>4960</v>
      </c>
      <c r="C5246" s="1" t="s">
        <v>332</v>
      </c>
      <c r="D5246" s="1" t="s">
        <v>229</v>
      </c>
      <c r="E5246" s="1"/>
    </row>
    <row r="5247" spans="1:5" ht="16">
      <c r="A5247" s="1" t="s">
        <v>4894</v>
      </c>
      <c r="B5247" s="1" t="s">
        <v>4961</v>
      </c>
      <c r="C5247" s="1" t="s">
        <v>332</v>
      </c>
      <c r="D5247" s="1" t="s">
        <v>229</v>
      </c>
      <c r="E5247" s="1"/>
    </row>
    <row r="5248" spans="1:5" ht="16">
      <c r="A5248" s="1" t="s">
        <v>4894</v>
      </c>
      <c r="B5248" s="1" t="s">
        <v>4962</v>
      </c>
      <c r="C5248" s="1" t="s">
        <v>332</v>
      </c>
      <c r="D5248" s="1" t="s">
        <v>229</v>
      </c>
      <c r="E5248" s="1"/>
    </row>
    <row r="5249" spans="1:5" ht="16">
      <c r="A5249" s="1" t="s">
        <v>4894</v>
      </c>
      <c r="B5249" s="1" t="s">
        <v>4963</v>
      </c>
      <c r="C5249" s="1" t="s">
        <v>332</v>
      </c>
      <c r="D5249" s="1" t="s">
        <v>229</v>
      </c>
      <c r="E5249" s="1"/>
    </row>
    <row r="5250" spans="1:5" ht="16">
      <c r="A5250" s="1" t="s">
        <v>4894</v>
      </c>
      <c r="B5250" s="1" t="s">
        <v>4964</v>
      </c>
      <c r="C5250" s="1" t="s">
        <v>332</v>
      </c>
      <c r="D5250" s="1" t="s">
        <v>229</v>
      </c>
      <c r="E5250" s="1"/>
    </row>
    <row r="5251" spans="1:5" ht="16">
      <c r="A5251" s="1" t="s">
        <v>4894</v>
      </c>
      <c r="B5251" s="1" t="s">
        <v>4965</v>
      </c>
      <c r="C5251" s="1" t="s">
        <v>332</v>
      </c>
      <c r="D5251" s="1" t="s">
        <v>229</v>
      </c>
      <c r="E5251" s="1"/>
    </row>
    <row r="5252" spans="1:5" ht="16">
      <c r="A5252" s="1" t="s">
        <v>4894</v>
      </c>
      <c r="B5252" s="1" t="s">
        <v>4966</v>
      </c>
      <c r="C5252" s="1" t="s">
        <v>332</v>
      </c>
      <c r="D5252" s="1" t="s">
        <v>229</v>
      </c>
      <c r="E5252" s="1"/>
    </row>
    <row r="5253" spans="1:5" ht="16">
      <c r="A5253" s="1" t="s">
        <v>4894</v>
      </c>
      <c r="B5253" s="1" t="s">
        <v>4967</v>
      </c>
      <c r="C5253" s="1" t="s">
        <v>332</v>
      </c>
      <c r="D5253" s="1" t="s">
        <v>229</v>
      </c>
      <c r="E5253" s="1"/>
    </row>
    <row r="5254" spans="1:5" ht="16">
      <c r="A5254" s="1" t="s">
        <v>4894</v>
      </c>
      <c r="B5254" s="1" t="s">
        <v>4968</v>
      </c>
      <c r="C5254" s="1" t="s">
        <v>332</v>
      </c>
      <c r="D5254" s="1" t="s">
        <v>229</v>
      </c>
      <c r="E5254" s="1"/>
    </row>
    <row r="5255" spans="1:5" ht="16">
      <c r="A5255" s="1" t="s">
        <v>4894</v>
      </c>
      <c r="B5255" s="1" t="s">
        <v>4969</v>
      </c>
      <c r="C5255" s="1" t="s">
        <v>332</v>
      </c>
      <c r="D5255" s="1" t="s">
        <v>229</v>
      </c>
      <c r="E5255" s="1"/>
    </row>
    <row r="5256" spans="1:5" ht="16">
      <c r="A5256" s="1" t="s">
        <v>4894</v>
      </c>
      <c r="B5256" s="1" t="s">
        <v>4970</v>
      </c>
      <c r="C5256" s="1" t="s">
        <v>332</v>
      </c>
      <c r="D5256" s="1" t="s">
        <v>229</v>
      </c>
      <c r="E5256" s="1"/>
    </row>
    <row r="5257" spans="1:5" ht="16">
      <c r="A5257" s="1" t="s">
        <v>4894</v>
      </c>
      <c r="B5257" s="1" t="s">
        <v>4971</v>
      </c>
      <c r="C5257" s="1" t="s">
        <v>332</v>
      </c>
      <c r="D5257" s="1" t="s">
        <v>229</v>
      </c>
      <c r="E5257" s="1"/>
    </row>
    <row r="5258" spans="1:5" ht="16">
      <c r="A5258" s="1" t="s">
        <v>4894</v>
      </c>
      <c r="B5258" s="1" t="s">
        <v>4972</v>
      </c>
      <c r="C5258" s="1" t="s">
        <v>332</v>
      </c>
      <c r="D5258" s="1" t="s">
        <v>229</v>
      </c>
      <c r="E5258" s="1"/>
    </row>
    <row r="5259" spans="1:5" ht="16">
      <c r="A5259" s="1" t="s">
        <v>4894</v>
      </c>
      <c r="B5259" s="1" t="s">
        <v>4973</v>
      </c>
      <c r="C5259" s="1" t="s">
        <v>332</v>
      </c>
      <c r="D5259" s="1" t="s">
        <v>229</v>
      </c>
      <c r="E5259" s="1"/>
    </row>
    <row r="5260" spans="1:5" ht="16">
      <c r="A5260" s="1" t="s">
        <v>4894</v>
      </c>
      <c r="B5260" s="1" t="s">
        <v>4974</v>
      </c>
      <c r="C5260" s="1" t="s">
        <v>332</v>
      </c>
      <c r="D5260" s="1" t="s">
        <v>229</v>
      </c>
      <c r="E5260" s="1"/>
    </row>
    <row r="5261" spans="1:5" ht="16">
      <c r="A5261" s="1" t="s">
        <v>4894</v>
      </c>
      <c r="B5261" s="1" t="s">
        <v>4975</v>
      </c>
      <c r="C5261" s="1" t="s">
        <v>332</v>
      </c>
      <c r="D5261" s="1" t="s">
        <v>229</v>
      </c>
      <c r="E5261" s="1"/>
    </row>
    <row r="5262" spans="1:5" ht="16">
      <c r="A5262" s="1" t="s">
        <v>4894</v>
      </c>
      <c r="B5262" s="1" t="s">
        <v>4976</v>
      </c>
      <c r="C5262" s="1" t="s">
        <v>332</v>
      </c>
      <c r="D5262" s="1" t="s">
        <v>229</v>
      </c>
      <c r="E5262" s="1"/>
    </row>
    <row r="5263" spans="1:5" ht="16">
      <c r="A5263" s="1" t="s">
        <v>4894</v>
      </c>
      <c r="B5263" s="1" t="s">
        <v>4977</v>
      </c>
      <c r="C5263" s="1" t="s">
        <v>332</v>
      </c>
      <c r="D5263" s="1" t="s">
        <v>229</v>
      </c>
      <c r="E5263" s="1"/>
    </row>
    <row r="5264" spans="1:5" ht="16">
      <c r="A5264" s="1" t="s">
        <v>4894</v>
      </c>
      <c r="B5264" s="1" t="s">
        <v>4978</v>
      </c>
      <c r="C5264" s="1" t="s">
        <v>332</v>
      </c>
      <c r="D5264" s="1" t="s">
        <v>229</v>
      </c>
      <c r="E5264" s="1"/>
    </row>
    <row r="5265" spans="1:5" ht="16">
      <c r="A5265" s="1" t="s">
        <v>4894</v>
      </c>
      <c r="B5265" s="1" t="s">
        <v>4979</v>
      </c>
      <c r="C5265" s="1" t="s">
        <v>332</v>
      </c>
      <c r="D5265" s="1" t="s">
        <v>229</v>
      </c>
      <c r="E5265" s="1"/>
    </row>
    <row r="5266" spans="1:5" ht="16">
      <c r="A5266" s="1" t="s">
        <v>4894</v>
      </c>
      <c r="B5266" s="1" t="s">
        <v>4980</v>
      </c>
      <c r="C5266" s="1" t="s">
        <v>332</v>
      </c>
      <c r="D5266" s="1" t="s">
        <v>229</v>
      </c>
      <c r="E5266" s="1"/>
    </row>
    <row r="5267" spans="1:5" ht="16">
      <c r="A5267" s="1" t="s">
        <v>4894</v>
      </c>
      <c r="B5267" s="1" t="s">
        <v>4981</v>
      </c>
      <c r="C5267" s="1" t="s">
        <v>332</v>
      </c>
      <c r="D5267" s="1" t="s">
        <v>229</v>
      </c>
      <c r="E5267" s="1"/>
    </row>
    <row r="5268" spans="1:5" ht="16">
      <c r="A5268" s="1" t="s">
        <v>4894</v>
      </c>
      <c r="B5268" s="1" t="s">
        <v>4982</v>
      </c>
      <c r="C5268" s="1" t="s">
        <v>332</v>
      </c>
      <c r="D5268" s="1" t="s">
        <v>229</v>
      </c>
      <c r="E5268" s="1"/>
    </row>
    <row r="5269" spans="1:5" ht="16">
      <c r="A5269" s="1" t="s">
        <v>4894</v>
      </c>
      <c r="B5269" s="1" t="s">
        <v>4983</v>
      </c>
      <c r="C5269" s="1" t="s">
        <v>332</v>
      </c>
      <c r="D5269" s="1" t="s">
        <v>229</v>
      </c>
      <c r="E5269" s="1"/>
    </row>
    <row r="5270" spans="1:5" ht="16">
      <c r="A5270" s="1" t="s">
        <v>4894</v>
      </c>
      <c r="B5270" s="1" t="s">
        <v>4984</v>
      </c>
      <c r="C5270" s="1" t="s">
        <v>265</v>
      </c>
      <c r="D5270" s="1" t="s">
        <v>229</v>
      </c>
      <c r="E5270" s="1"/>
    </row>
    <row r="5271" spans="1:5" ht="16">
      <c r="A5271" s="1" t="s">
        <v>4894</v>
      </c>
      <c r="B5271" s="1" t="s">
        <v>4985</v>
      </c>
      <c r="C5271" s="1" t="s">
        <v>332</v>
      </c>
      <c r="D5271" s="1" t="s">
        <v>229</v>
      </c>
      <c r="E5271" s="1"/>
    </row>
    <row r="5272" spans="1:5" ht="16">
      <c r="A5272" s="1" t="s">
        <v>4894</v>
      </c>
      <c r="B5272" s="1" t="s">
        <v>4986</v>
      </c>
      <c r="C5272" s="1" t="s">
        <v>332</v>
      </c>
      <c r="D5272" s="1" t="s">
        <v>229</v>
      </c>
      <c r="E5272" s="1"/>
    </row>
    <row r="5273" spans="1:5" ht="16">
      <c r="A5273" s="1" t="s">
        <v>4894</v>
      </c>
      <c r="B5273" s="1" t="s">
        <v>4987</v>
      </c>
      <c r="C5273" s="1" t="s">
        <v>332</v>
      </c>
      <c r="D5273" s="1" t="s">
        <v>229</v>
      </c>
      <c r="E5273" s="1"/>
    </row>
    <row r="5274" spans="1:5" ht="16">
      <c r="A5274" s="1" t="s">
        <v>4894</v>
      </c>
      <c r="B5274" s="1" t="s">
        <v>4988</v>
      </c>
      <c r="C5274" s="1" t="s">
        <v>332</v>
      </c>
      <c r="D5274" s="1" t="s">
        <v>229</v>
      </c>
      <c r="E5274" s="1"/>
    </row>
    <row r="5275" spans="1:5" ht="16">
      <c r="A5275" s="1" t="s">
        <v>4894</v>
      </c>
      <c r="B5275" s="1" t="s">
        <v>4989</v>
      </c>
      <c r="C5275" s="1" t="s">
        <v>332</v>
      </c>
      <c r="D5275" s="1" t="s">
        <v>229</v>
      </c>
      <c r="E5275" s="1"/>
    </row>
    <row r="5276" spans="1:5" ht="16">
      <c r="A5276" s="1" t="s">
        <v>4894</v>
      </c>
      <c r="B5276" s="1" t="s">
        <v>4990</v>
      </c>
      <c r="C5276" s="1" t="s">
        <v>332</v>
      </c>
      <c r="D5276" s="1" t="s">
        <v>229</v>
      </c>
      <c r="E5276" s="1"/>
    </row>
    <row r="5277" spans="1:5" ht="16">
      <c r="A5277" s="1" t="s">
        <v>4894</v>
      </c>
      <c r="B5277" s="1" t="s">
        <v>4991</v>
      </c>
      <c r="C5277" s="1" t="s">
        <v>332</v>
      </c>
      <c r="D5277" s="1" t="s">
        <v>229</v>
      </c>
      <c r="E5277" s="1"/>
    </row>
    <row r="5278" spans="1:5" ht="16">
      <c r="A5278" s="1" t="s">
        <v>4894</v>
      </c>
      <c r="B5278" s="1" t="s">
        <v>4992</v>
      </c>
      <c r="C5278" s="1" t="s">
        <v>332</v>
      </c>
      <c r="D5278" s="1" t="s">
        <v>229</v>
      </c>
      <c r="E5278" s="1"/>
    </row>
    <row r="5279" spans="1:5" ht="16">
      <c r="A5279" s="1" t="s">
        <v>4993</v>
      </c>
      <c r="B5279" s="1" t="s">
        <v>4994</v>
      </c>
      <c r="C5279" s="1" t="s">
        <v>319</v>
      </c>
      <c r="D5279" s="1" t="s">
        <v>229</v>
      </c>
      <c r="E5279" s="1"/>
    </row>
    <row r="5280" spans="1:5" ht="16">
      <c r="A5280" s="1" t="s">
        <v>4993</v>
      </c>
      <c r="B5280" s="1" t="s">
        <v>4995</v>
      </c>
      <c r="C5280" s="1" t="s">
        <v>319</v>
      </c>
      <c r="D5280" s="1" t="s">
        <v>229</v>
      </c>
      <c r="E5280" s="1"/>
    </row>
    <row r="5281" spans="1:5" ht="16">
      <c r="A5281" s="1" t="s">
        <v>4993</v>
      </c>
      <c r="B5281" s="1" t="s">
        <v>4996</v>
      </c>
      <c r="C5281" s="1" t="s">
        <v>319</v>
      </c>
      <c r="D5281" s="1" t="s">
        <v>229</v>
      </c>
      <c r="E5281" s="1"/>
    </row>
    <row r="5282" spans="1:5" ht="16">
      <c r="A5282" s="1" t="s">
        <v>4993</v>
      </c>
      <c r="B5282" s="1" t="s">
        <v>4997</v>
      </c>
      <c r="C5282" s="1" t="s">
        <v>334</v>
      </c>
      <c r="D5282" s="1" t="s">
        <v>8</v>
      </c>
      <c r="E5282" s="1"/>
    </row>
    <row r="5283" spans="1:5" ht="16">
      <c r="A5283" s="1" t="s">
        <v>4993</v>
      </c>
      <c r="B5283" s="1" t="s">
        <v>4998</v>
      </c>
      <c r="C5283" s="1" t="s">
        <v>334</v>
      </c>
      <c r="D5283" s="1" t="s">
        <v>229</v>
      </c>
      <c r="E5283" s="1"/>
    </row>
    <row r="5284" spans="1:5" ht="16">
      <c r="A5284" s="1" t="s">
        <v>4993</v>
      </c>
      <c r="B5284" s="1" t="s">
        <v>4999</v>
      </c>
      <c r="C5284" s="1" t="s">
        <v>334</v>
      </c>
      <c r="D5284" s="1" t="s">
        <v>229</v>
      </c>
      <c r="E5284" s="1"/>
    </row>
    <row r="5285" spans="1:5" ht="16">
      <c r="A5285" s="1" t="s">
        <v>4993</v>
      </c>
      <c r="B5285" s="1" t="s">
        <v>5000</v>
      </c>
      <c r="C5285" s="1" t="s">
        <v>334</v>
      </c>
      <c r="D5285" s="1" t="s">
        <v>229</v>
      </c>
      <c r="E5285" s="1"/>
    </row>
    <row r="5286" spans="1:5" ht="16">
      <c r="A5286" s="1" t="s">
        <v>4993</v>
      </c>
      <c r="B5286" s="1" t="s">
        <v>5001</v>
      </c>
      <c r="C5286" s="1" t="s">
        <v>334</v>
      </c>
      <c r="D5286" s="1" t="s">
        <v>229</v>
      </c>
      <c r="E5286" s="1"/>
    </row>
    <row r="5287" spans="1:5" ht="16">
      <c r="A5287" s="1" t="s">
        <v>4993</v>
      </c>
      <c r="B5287" s="1" t="s">
        <v>5002</v>
      </c>
      <c r="C5287" s="1" t="s">
        <v>334</v>
      </c>
      <c r="D5287" s="1" t="s">
        <v>229</v>
      </c>
      <c r="E5287" s="1"/>
    </row>
    <row r="5288" spans="1:5" ht="16">
      <c r="A5288" s="1" t="s">
        <v>4993</v>
      </c>
      <c r="B5288" s="1" t="s">
        <v>5003</v>
      </c>
      <c r="C5288" s="1" t="s">
        <v>334</v>
      </c>
      <c r="D5288" s="1" t="s">
        <v>229</v>
      </c>
      <c r="E5288" s="1"/>
    </row>
    <row r="5289" spans="1:5" ht="16">
      <c r="A5289" s="1" t="s">
        <v>4993</v>
      </c>
      <c r="B5289" s="1" t="s">
        <v>5004</v>
      </c>
      <c r="C5289" s="1" t="s">
        <v>334</v>
      </c>
      <c r="D5289" s="1" t="s">
        <v>229</v>
      </c>
      <c r="E5289" s="1"/>
    </row>
    <row r="5290" spans="1:5" ht="16">
      <c r="A5290" s="1" t="s">
        <v>4993</v>
      </c>
      <c r="B5290" s="1" t="s">
        <v>5005</v>
      </c>
      <c r="C5290" s="1" t="s">
        <v>334</v>
      </c>
      <c r="D5290" s="1" t="s">
        <v>229</v>
      </c>
      <c r="E5290" s="1"/>
    </row>
    <row r="5291" spans="1:5" ht="16">
      <c r="A5291" s="1" t="s">
        <v>4993</v>
      </c>
      <c r="B5291" s="1" t="s">
        <v>5006</v>
      </c>
      <c r="C5291" s="1" t="s">
        <v>334</v>
      </c>
      <c r="D5291" s="1" t="s">
        <v>229</v>
      </c>
      <c r="E5291" s="1"/>
    </row>
    <row r="5292" spans="1:5" ht="16">
      <c r="A5292" s="1" t="s">
        <v>4993</v>
      </c>
      <c r="B5292" s="1" t="s">
        <v>5007</v>
      </c>
      <c r="C5292" s="1" t="s">
        <v>334</v>
      </c>
      <c r="D5292" s="1" t="s">
        <v>229</v>
      </c>
      <c r="E5292" s="1"/>
    </row>
    <row r="5293" spans="1:5" ht="16">
      <c r="A5293" s="1" t="s">
        <v>4993</v>
      </c>
      <c r="B5293" s="1" t="s">
        <v>5008</v>
      </c>
      <c r="C5293" s="1" t="s">
        <v>334</v>
      </c>
      <c r="D5293" s="1" t="s">
        <v>229</v>
      </c>
      <c r="E5293" s="1"/>
    </row>
    <row r="5294" spans="1:5" ht="16">
      <c r="A5294" s="1" t="s">
        <v>4993</v>
      </c>
      <c r="B5294" s="1" t="s">
        <v>5009</v>
      </c>
      <c r="C5294" s="1" t="s">
        <v>334</v>
      </c>
      <c r="D5294" s="1" t="s">
        <v>229</v>
      </c>
      <c r="E5294" s="1"/>
    </row>
    <row r="5295" spans="1:5" ht="16">
      <c r="A5295" s="1" t="s">
        <v>4993</v>
      </c>
      <c r="B5295" s="1" t="s">
        <v>5010</v>
      </c>
      <c r="C5295" s="1" t="s">
        <v>334</v>
      </c>
      <c r="D5295" s="1" t="s">
        <v>229</v>
      </c>
      <c r="E5295" s="1"/>
    </row>
    <row r="5296" spans="1:5" ht="16">
      <c r="A5296" s="1" t="s">
        <v>4993</v>
      </c>
      <c r="B5296" s="1" t="s">
        <v>5011</v>
      </c>
      <c r="C5296" s="1" t="s">
        <v>1411</v>
      </c>
      <c r="D5296" s="1" t="s">
        <v>229</v>
      </c>
      <c r="E5296" s="1"/>
    </row>
    <row r="5297" spans="1:5" ht="16">
      <c r="A5297" s="1" t="s">
        <v>4993</v>
      </c>
      <c r="B5297" s="1" t="s">
        <v>5012</v>
      </c>
      <c r="C5297" s="1" t="s">
        <v>1411</v>
      </c>
      <c r="D5297" s="1" t="s">
        <v>229</v>
      </c>
      <c r="E5297" s="1"/>
    </row>
    <row r="5298" spans="1:5" ht="16">
      <c r="A5298" s="1" t="s">
        <v>4993</v>
      </c>
      <c r="B5298" s="1" t="s">
        <v>5013</v>
      </c>
      <c r="C5298" s="1" t="s">
        <v>1411</v>
      </c>
      <c r="D5298" s="1" t="s">
        <v>229</v>
      </c>
      <c r="E5298" s="1"/>
    </row>
    <row r="5299" spans="1:5" ht="16">
      <c r="A5299" s="1" t="s">
        <v>4993</v>
      </c>
      <c r="B5299" s="1" t="s">
        <v>4998</v>
      </c>
      <c r="C5299" s="1" t="s">
        <v>1411</v>
      </c>
      <c r="D5299" s="1" t="s">
        <v>229</v>
      </c>
      <c r="E5299" s="1"/>
    </row>
    <row r="5300" spans="1:5" ht="16">
      <c r="A5300" s="1" t="s">
        <v>180</v>
      </c>
      <c r="B5300" s="1" t="s">
        <v>5014</v>
      </c>
      <c r="C5300" s="1" t="s">
        <v>334</v>
      </c>
      <c r="D5300" s="1" t="s">
        <v>229</v>
      </c>
      <c r="E5300" s="1"/>
    </row>
    <row r="5301" spans="1:5" ht="16">
      <c r="A5301" s="1" t="s">
        <v>180</v>
      </c>
      <c r="B5301" s="1" t="s">
        <v>5014</v>
      </c>
      <c r="C5301" s="1" t="s">
        <v>334</v>
      </c>
      <c r="D5301" s="1" t="s">
        <v>229</v>
      </c>
      <c r="E5301" s="1"/>
    </row>
    <row r="5302" spans="1:5" ht="16">
      <c r="A5302" s="1" t="s">
        <v>180</v>
      </c>
      <c r="B5302" s="1" t="s">
        <v>486</v>
      </c>
      <c r="C5302" s="1" t="s">
        <v>334</v>
      </c>
      <c r="D5302" s="1" t="s">
        <v>229</v>
      </c>
      <c r="E5302" s="1"/>
    </row>
    <row r="5303" spans="1:5" ht="16">
      <c r="A5303" s="1" t="s">
        <v>180</v>
      </c>
      <c r="B5303" s="1" t="s">
        <v>486</v>
      </c>
      <c r="C5303" s="1" t="s">
        <v>334</v>
      </c>
      <c r="D5303" s="1" t="s">
        <v>229</v>
      </c>
      <c r="E5303" s="1"/>
    </row>
    <row r="5304" spans="1:5" ht="16">
      <c r="A5304" s="1" t="s">
        <v>180</v>
      </c>
      <c r="B5304" s="1" t="s">
        <v>488</v>
      </c>
      <c r="C5304" s="1" t="s">
        <v>334</v>
      </c>
      <c r="D5304" s="1" t="s">
        <v>229</v>
      </c>
      <c r="E5304" s="1"/>
    </row>
    <row r="5305" spans="1:5" ht="16">
      <c r="A5305" s="1" t="s">
        <v>180</v>
      </c>
      <c r="B5305" s="1" t="s">
        <v>488</v>
      </c>
      <c r="C5305" s="1" t="s">
        <v>334</v>
      </c>
      <c r="D5305" s="1" t="s">
        <v>229</v>
      </c>
      <c r="E5305" s="1"/>
    </row>
    <row r="5306" spans="1:5" ht="16">
      <c r="A5306" s="1" t="s">
        <v>180</v>
      </c>
      <c r="B5306" s="1" t="s">
        <v>5015</v>
      </c>
      <c r="C5306" s="1" t="s">
        <v>332</v>
      </c>
      <c r="D5306" s="1" t="s">
        <v>229</v>
      </c>
      <c r="E5306" s="1"/>
    </row>
    <row r="5307" spans="1:5" ht="16">
      <c r="A5307" s="1" t="s">
        <v>180</v>
      </c>
      <c r="B5307" s="1" t="s">
        <v>5016</v>
      </c>
      <c r="C5307" s="1" t="s">
        <v>332</v>
      </c>
      <c r="D5307" s="1" t="s">
        <v>229</v>
      </c>
      <c r="E5307" s="1"/>
    </row>
    <row r="5308" spans="1:5" ht="16">
      <c r="A5308" s="1" t="s">
        <v>180</v>
      </c>
      <c r="B5308" s="1" t="s">
        <v>5017</v>
      </c>
      <c r="C5308" s="1" t="s">
        <v>332</v>
      </c>
      <c r="D5308" s="1" t="s">
        <v>229</v>
      </c>
      <c r="E5308" s="1"/>
    </row>
    <row r="5309" spans="1:5" ht="16">
      <c r="A5309" s="1" t="s">
        <v>180</v>
      </c>
      <c r="B5309" s="1" t="s">
        <v>5018</v>
      </c>
      <c r="C5309" s="1" t="s">
        <v>332</v>
      </c>
      <c r="D5309" s="1" t="s">
        <v>229</v>
      </c>
      <c r="E5309" s="1"/>
    </row>
    <row r="5310" spans="1:5" ht="16">
      <c r="A5310" s="1" t="s">
        <v>180</v>
      </c>
      <c r="B5310" s="1" t="s">
        <v>486</v>
      </c>
      <c r="C5310" s="1" t="s">
        <v>334</v>
      </c>
      <c r="D5310" s="1" t="s">
        <v>229</v>
      </c>
      <c r="E5310" s="1"/>
    </row>
    <row r="5311" spans="1:5" ht="16">
      <c r="A5311" s="1" t="s">
        <v>180</v>
      </c>
      <c r="B5311" s="1" t="s">
        <v>5018</v>
      </c>
      <c r="C5311" s="1" t="s">
        <v>332</v>
      </c>
      <c r="D5311" s="1" t="s">
        <v>229</v>
      </c>
      <c r="E5311" s="1"/>
    </row>
    <row r="5312" spans="1:5" ht="16">
      <c r="A5312" s="1" t="s">
        <v>180</v>
      </c>
      <c r="B5312" s="1" t="s">
        <v>5019</v>
      </c>
      <c r="C5312" s="1" t="s">
        <v>332</v>
      </c>
      <c r="D5312" s="1" t="s">
        <v>229</v>
      </c>
      <c r="E5312" s="1"/>
    </row>
    <row r="5313" spans="1:5" ht="16">
      <c r="A5313" s="1" t="s">
        <v>180</v>
      </c>
      <c r="B5313" s="1" t="s">
        <v>5020</v>
      </c>
      <c r="C5313" s="1" t="s">
        <v>332</v>
      </c>
      <c r="D5313" s="1" t="s">
        <v>229</v>
      </c>
      <c r="E5313" s="1"/>
    </row>
    <row r="5314" spans="1:5" ht="16">
      <c r="A5314" s="1" t="s">
        <v>180</v>
      </c>
      <c r="B5314" s="1" t="s">
        <v>5021</v>
      </c>
      <c r="C5314" s="1" t="s">
        <v>332</v>
      </c>
      <c r="D5314" s="1" t="s">
        <v>229</v>
      </c>
      <c r="E5314" s="1"/>
    </row>
    <row r="5315" spans="1:5" ht="16">
      <c r="A5315" s="1" t="s">
        <v>180</v>
      </c>
      <c r="B5315" s="1" t="s">
        <v>5022</v>
      </c>
      <c r="C5315" s="1" t="s">
        <v>332</v>
      </c>
      <c r="D5315" s="1" t="s">
        <v>229</v>
      </c>
      <c r="E5315" s="1"/>
    </row>
    <row r="5316" spans="1:5" ht="16">
      <c r="A5316" s="1" t="s">
        <v>180</v>
      </c>
      <c r="B5316" s="1" t="s">
        <v>5023</v>
      </c>
      <c r="C5316" s="1" t="s">
        <v>332</v>
      </c>
      <c r="D5316" s="1" t="s">
        <v>229</v>
      </c>
      <c r="E5316" s="1"/>
    </row>
    <row r="5317" spans="1:5" ht="16">
      <c r="A5317" s="1" t="s">
        <v>180</v>
      </c>
      <c r="B5317" s="1" t="s">
        <v>5024</v>
      </c>
      <c r="C5317" s="1" t="s">
        <v>332</v>
      </c>
      <c r="D5317" s="1" t="s">
        <v>229</v>
      </c>
      <c r="E5317" s="1"/>
    </row>
    <row r="5318" spans="1:5" ht="16">
      <c r="A5318" s="1" t="s">
        <v>180</v>
      </c>
      <c r="B5318" s="1" t="s">
        <v>5025</v>
      </c>
      <c r="C5318" s="1" t="s">
        <v>332</v>
      </c>
      <c r="D5318" s="1" t="s">
        <v>229</v>
      </c>
      <c r="E5318" s="1"/>
    </row>
    <row r="5319" spans="1:5" ht="16">
      <c r="A5319" s="1" t="s">
        <v>180</v>
      </c>
      <c r="B5319" s="1" t="s">
        <v>5026</v>
      </c>
      <c r="C5319" s="1" t="s">
        <v>332</v>
      </c>
      <c r="D5319" s="1" t="s">
        <v>229</v>
      </c>
      <c r="E5319" s="1"/>
    </row>
    <row r="5320" spans="1:5" ht="16">
      <c r="A5320" s="1" t="s">
        <v>180</v>
      </c>
      <c r="B5320" s="1" t="s">
        <v>5027</v>
      </c>
      <c r="C5320" s="1" t="s">
        <v>332</v>
      </c>
      <c r="D5320" s="1" t="s">
        <v>229</v>
      </c>
      <c r="E5320" s="1"/>
    </row>
    <row r="5321" spans="1:5" ht="16">
      <c r="A5321" s="1" t="s">
        <v>180</v>
      </c>
      <c r="B5321" s="1" t="s">
        <v>5028</v>
      </c>
      <c r="C5321" s="1" t="s">
        <v>332</v>
      </c>
      <c r="D5321" s="1" t="s">
        <v>229</v>
      </c>
      <c r="E5321" s="1"/>
    </row>
    <row r="5322" spans="1:5" ht="16">
      <c r="A5322" s="1" t="s">
        <v>180</v>
      </c>
      <c r="B5322" s="1" t="s">
        <v>5029</v>
      </c>
      <c r="C5322" s="1" t="s">
        <v>332</v>
      </c>
      <c r="D5322" s="1" t="s">
        <v>229</v>
      </c>
      <c r="E5322" s="1"/>
    </row>
    <row r="5323" spans="1:5" ht="16">
      <c r="A5323" s="1" t="s">
        <v>180</v>
      </c>
      <c r="B5323" s="1" t="s">
        <v>5030</v>
      </c>
      <c r="C5323" s="1" t="s">
        <v>332</v>
      </c>
      <c r="D5323" s="1" t="s">
        <v>229</v>
      </c>
      <c r="E5323" s="1"/>
    </row>
    <row r="5324" spans="1:5" ht="16">
      <c r="A5324" s="1" t="s">
        <v>180</v>
      </c>
      <c r="B5324" s="1" t="s">
        <v>5028</v>
      </c>
      <c r="C5324" s="1" t="s">
        <v>332</v>
      </c>
      <c r="D5324" s="1" t="s">
        <v>229</v>
      </c>
      <c r="E5324" s="1"/>
    </row>
    <row r="5325" spans="1:5" ht="16">
      <c r="A5325" s="1" t="s">
        <v>180</v>
      </c>
      <c r="B5325" s="1" t="s">
        <v>5029</v>
      </c>
      <c r="C5325" s="1" t="s">
        <v>332</v>
      </c>
      <c r="D5325" s="1" t="s">
        <v>229</v>
      </c>
      <c r="E5325" s="1"/>
    </row>
    <row r="5326" spans="1:5" ht="16">
      <c r="A5326" s="1" t="s">
        <v>180</v>
      </c>
      <c r="B5326" s="1" t="s">
        <v>5031</v>
      </c>
      <c r="C5326" s="1" t="s">
        <v>332</v>
      </c>
      <c r="D5326" s="1" t="s">
        <v>229</v>
      </c>
      <c r="E5326" s="1"/>
    </row>
    <row r="5327" spans="1:5" ht="16">
      <c r="A5327" s="1" t="s">
        <v>180</v>
      </c>
      <c r="B5327" s="1" t="s">
        <v>5032</v>
      </c>
      <c r="C5327" s="1" t="s">
        <v>332</v>
      </c>
      <c r="D5327" s="1" t="s">
        <v>229</v>
      </c>
      <c r="E5327" s="1"/>
    </row>
    <row r="5328" spans="1:5" ht="16">
      <c r="A5328" s="1" t="s">
        <v>180</v>
      </c>
      <c r="B5328" s="1" t="s">
        <v>5033</v>
      </c>
      <c r="C5328" s="1" t="s">
        <v>332</v>
      </c>
      <c r="D5328" s="1" t="s">
        <v>229</v>
      </c>
      <c r="E5328" s="1"/>
    </row>
    <row r="5329" spans="1:5" ht="16">
      <c r="A5329" s="1" t="s">
        <v>180</v>
      </c>
      <c r="B5329" s="1" t="s">
        <v>5034</v>
      </c>
      <c r="C5329" s="1" t="s">
        <v>332</v>
      </c>
      <c r="D5329" s="1" t="s">
        <v>229</v>
      </c>
      <c r="E5329" s="1"/>
    </row>
    <row r="5330" spans="1:5" ht="16">
      <c r="A5330" s="1" t="s">
        <v>180</v>
      </c>
      <c r="B5330" s="1" t="s">
        <v>5035</v>
      </c>
      <c r="C5330" s="1" t="s">
        <v>332</v>
      </c>
      <c r="D5330" s="1" t="s">
        <v>229</v>
      </c>
      <c r="E5330" s="1"/>
    </row>
    <row r="5331" spans="1:5" ht="16">
      <c r="A5331" s="1" t="s">
        <v>180</v>
      </c>
      <c r="B5331" s="1" t="s">
        <v>5036</v>
      </c>
      <c r="C5331" s="1" t="s">
        <v>332</v>
      </c>
      <c r="D5331" s="1" t="s">
        <v>229</v>
      </c>
      <c r="E5331" s="1"/>
    </row>
    <row r="5332" spans="1:5" ht="16">
      <c r="A5332" s="1" t="s">
        <v>180</v>
      </c>
      <c r="B5332" s="1" t="s">
        <v>5037</v>
      </c>
      <c r="C5332" s="1" t="s">
        <v>332</v>
      </c>
      <c r="D5332" s="1" t="s">
        <v>229</v>
      </c>
      <c r="E5332" s="1"/>
    </row>
    <row r="5333" spans="1:5" ht="16">
      <c r="A5333" s="1" t="s">
        <v>180</v>
      </c>
      <c r="B5333" s="1" t="s">
        <v>5038</v>
      </c>
      <c r="C5333" s="1" t="s">
        <v>332</v>
      </c>
      <c r="D5333" s="1" t="s">
        <v>229</v>
      </c>
      <c r="E5333" s="1"/>
    </row>
    <row r="5334" spans="1:5" ht="16">
      <c r="A5334" s="1" t="s">
        <v>180</v>
      </c>
      <c r="B5334" s="1" t="s">
        <v>5039</v>
      </c>
      <c r="C5334" s="1" t="s">
        <v>332</v>
      </c>
      <c r="D5334" s="1" t="s">
        <v>229</v>
      </c>
      <c r="E5334" s="1"/>
    </row>
    <row r="5335" spans="1:5" ht="16">
      <c r="A5335" s="1" t="s">
        <v>180</v>
      </c>
      <c r="B5335" s="1" t="s">
        <v>5040</v>
      </c>
      <c r="C5335" s="1" t="s">
        <v>332</v>
      </c>
      <c r="D5335" s="1" t="s">
        <v>229</v>
      </c>
      <c r="E5335" s="1"/>
    </row>
    <row r="5336" spans="1:5" ht="16">
      <c r="A5336" s="1" t="s">
        <v>180</v>
      </c>
      <c r="B5336" s="1" t="s">
        <v>5041</v>
      </c>
      <c r="C5336" s="1" t="s">
        <v>332</v>
      </c>
      <c r="D5336" s="1" t="s">
        <v>229</v>
      </c>
      <c r="E5336" s="1"/>
    </row>
    <row r="5337" spans="1:5" ht="16">
      <c r="A5337" s="1" t="s">
        <v>180</v>
      </c>
      <c r="B5337" s="1" t="s">
        <v>5042</v>
      </c>
      <c r="C5337" s="1" t="s">
        <v>332</v>
      </c>
      <c r="D5337" s="1" t="s">
        <v>229</v>
      </c>
      <c r="E5337" s="1"/>
    </row>
    <row r="5338" spans="1:5" ht="16">
      <c r="A5338" s="1" t="s">
        <v>180</v>
      </c>
      <c r="B5338" s="1" t="s">
        <v>5043</v>
      </c>
      <c r="C5338" s="1" t="s">
        <v>332</v>
      </c>
      <c r="D5338" s="1" t="s">
        <v>229</v>
      </c>
      <c r="E5338" s="1"/>
    </row>
    <row r="5339" spans="1:5" ht="16">
      <c r="A5339" s="1" t="s">
        <v>180</v>
      </c>
      <c r="B5339" s="1" t="s">
        <v>5044</v>
      </c>
      <c r="C5339" s="1" t="s">
        <v>332</v>
      </c>
      <c r="D5339" s="1" t="s">
        <v>229</v>
      </c>
      <c r="E5339" s="1"/>
    </row>
    <row r="5340" spans="1:5" ht="16">
      <c r="A5340" s="1" t="s">
        <v>180</v>
      </c>
      <c r="B5340" s="1" t="s">
        <v>5045</v>
      </c>
      <c r="C5340" s="1" t="s">
        <v>332</v>
      </c>
      <c r="D5340" s="1" t="s">
        <v>229</v>
      </c>
      <c r="E5340" s="1"/>
    </row>
    <row r="5341" spans="1:5" ht="16">
      <c r="A5341" s="1" t="s">
        <v>5046</v>
      </c>
      <c r="B5341" s="1" t="s">
        <v>5047</v>
      </c>
      <c r="C5341" s="1" t="s">
        <v>334</v>
      </c>
      <c r="D5341" s="1" t="s">
        <v>229</v>
      </c>
      <c r="E5341" s="1"/>
    </row>
    <row r="5342" spans="1:5" ht="16">
      <c r="A5342" s="1" t="s">
        <v>5046</v>
      </c>
      <c r="B5342" s="1" t="s">
        <v>5048</v>
      </c>
      <c r="C5342" s="1" t="s">
        <v>334</v>
      </c>
      <c r="D5342" s="1" t="s">
        <v>229</v>
      </c>
      <c r="E5342" s="1"/>
    </row>
    <row r="5343" spans="1:5" ht="16">
      <c r="A5343" s="1" t="s">
        <v>5046</v>
      </c>
      <c r="B5343" s="1" t="s">
        <v>5049</v>
      </c>
      <c r="C5343" s="1" t="s">
        <v>334</v>
      </c>
      <c r="D5343" s="1" t="s">
        <v>229</v>
      </c>
      <c r="E5343" s="1"/>
    </row>
    <row r="5344" spans="1:5" ht="16">
      <c r="A5344" s="1" t="s">
        <v>5046</v>
      </c>
      <c r="B5344" s="1" t="s">
        <v>5050</v>
      </c>
      <c r="C5344" s="1" t="s">
        <v>334</v>
      </c>
      <c r="D5344" s="1" t="s">
        <v>229</v>
      </c>
      <c r="E5344" s="1"/>
    </row>
    <row r="5345" spans="1:5" ht="16">
      <c r="A5345" s="1" t="s">
        <v>5051</v>
      </c>
      <c r="B5345" s="1" t="s">
        <v>5052</v>
      </c>
      <c r="C5345" s="1" t="s">
        <v>334</v>
      </c>
      <c r="D5345" s="1" t="s">
        <v>229</v>
      </c>
      <c r="E5345" s="1"/>
    </row>
    <row r="5346" spans="1:5" ht="16">
      <c r="A5346" s="1" t="s">
        <v>5051</v>
      </c>
      <c r="B5346" s="1" t="s">
        <v>5053</v>
      </c>
      <c r="C5346" s="1" t="s">
        <v>334</v>
      </c>
      <c r="D5346" s="1" t="s">
        <v>229</v>
      </c>
      <c r="E5346" s="1"/>
    </row>
    <row r="5347" spans="1:5" ht="16">
      <c r="A5347" s="1" t="s">
        <v>5051</v>
      </c>
      <c r="B5347" s="1" t="s">
        <v>5054</v>
      </c>
      <c r="C5347" s="1" t="s">
        <v>334</v>
      </c>
      <c r="D5347" s="1" t="s">
        <v>229</v>
      </c>
      <c r="E5347" s="1"/>
    </row>
    <row r="5348" spans="1:5" ht="16">
      <c r="A5348" s="1" t="s">
        <v>5051</v>
      </c>
      <c r="B5348" s="1" t="s">
        <v>5055</v>
      </c>
      <c r="C5348" s="1" t="s">
        <v>334</v>
      </c>
      <c r="D5348" s="1" t="s">
        <v>229</v>
      </c>
      <c r="E5348" s="1"/>
    </row>
    <row r="5349" spans="1:5" ht="16">
      <c r="A5349" s="1" t="s">
        <v>5051</v>
      </c>
      <c r="B5349" s="1" t="s">
        <v>5056</v>
      </c>
      <c r="C5349" s="1" t="s">
        <v>334</v>
      </c>
      <c r="D5349" s="1" t="s">
        <v>229</v>
      </c>
      <c r="E5349" s="1"/>
    </row>
    <row r="5350" spans="1:5" ht="16">
      <c r="A5350" s="1" t="s">
        <v>5051</v>
      </c>
      <c r="B5350" s="1" t="s">
        <v>5057</v>
      </c>
      <c r="C5350" s="1" t="s">
        <v>334</v>
      </c>
      <c r="D5350" s="1" t="s">
        <v>229</v>
      </c>
      <c r="E5350" s="1"/>
    </row>
    <row r="5351" spans="1:5" ht="16">
      <c r="A5351" s="1" t="s">
        <v>5051</v>
      </c>
      <c r="B5351" s="1" t="s">
        <v>5058</v>
      </c>
      <c r="C5351" s="1" t="s">
        <v>334</v>
      </c>
      <c r="D5351" s="1" t="s">
        <v>229</v>
      </c>
      <c r="E5351" s="1"/>
    </row>
    <row r="5352" spans="1:5" ht="16">
      <c r="A5352" s="1" t="s">
        <v>5051</v>
      </c>
      <c r="B5352" s="1" t="s">
        <v>5059</v>
      </c>
      <c r="C5352" s="1" t="s">
        <v>334</v>
      </c>
      <c r="D5352" s="1" t="s">
        <v>229</v>
      </c>
      <c r="E5352" s="1"/>
    </row>
    <row r="5353" spans="1:5" ht="16">
      <c r="A5353" s="1" t="s">
        <v>5051</v>
      </c>
      <c r="B5353" s="1" t="s">
        <v>5060</v>
      </c>
      <c r="C5353" s="1" t="s">
        <v>334</v>
      </c>
      <c r="D5353" s="1" t="s">
        <v>229</v>
      </c>
      <c r="E5353" s="1"/>
    </row>
    <row r="5354" spans="1:5" ht="16">
      <c r="A5354" s="1" t="s">
        <v>5051</v>
      </c>
      <c r="B5354" s="1" t="s">
        <v>5061</v>
      </c>
      <c r="C5354" s="1" t="s">
        <v>334</v>
      </c>
      <c r="D5354" s="1" t="s">
        <v>229</v>
      </c>
      <c r="E5354" s="1"/>
    </row>
    <row r="5355" spans="1:5" ht="16">
      <c r="A5355" s="1" t="s">
        <v>5051</v>
      </c>
      <c r="B5355" s="1" t="s">
        <v>5062</v>
      </c>
      <c r="C5355" s="1" t="s">
        <v>334</v>
      </c>
      <c r="D5355" s="1" t="s">
        <v>229</v>
      </c>
      <c r="E5355" s="1"/>
    </row>
    <row r="5356" spans="1:5" ht="16">
      <c r="A5356" s="1" t="s">
        <v>5051</v>
      </c>
      <c r="B5356" s="1" t="s">
        <v>5063</v>
      </c>
      <c r="C5356" s="1" t="s">
        <v>334</v>
      </c>
      <c r="D5356" s="1" t="s">
        <v>229</v>
      </c>
      <c r="E5356" s="1"/>
    </row>
    <row r="5357" spans="1:5" ht="16">
      <c r="A5357" s="1" t="s">
        <v>5051</v>
      </c>
      <c r="B5357" s="1" t="s">
        <v>5064</v>
      </c>
      <c r="C5357" s="1" t="s">
        <v>334</v>
      </c>
      <c r="D5357" s="1" t="s">
        <v>229</v>
      </c>
      <c r="E5357" s="1"/>
    </row>
    <row r="5358" spans="1:5" ht="16">
      <c r="A5358" s="1" t="s">
        <v>5051</v>
      </c>
      <c r="B5358" s="1" t="s">
        <v>5065</v>
      </c>
      <c r="C5358" s="1" t="s">
        <v>334</v>
      </c>
      <c r="D5358" s="1" t="s">
        <v>229</v>
      </c>
      <c r="E5358" s="1"/>
    </row>
    <row r="5359" spans="1:5" ht="16">
      <c r="A5359" s="1" t="s">
        <v>5051</v>
      </c>
      <c r="B5359" s="1" t="s">
        <v>5066</v>
      </c>
      <c r="C5359" s="1" t="s">
        <v>334</v>
      </c>
      <c r="D5359" s="1" t="s">
        <v>229</v>
      </c>
      <c r="E5359" s="1"/>
    </row>
    <row r="5360" spans="1:5" ht="16">
      <c r="A5360" s="1" t="s">
        <v>5051</v>
      </c>
      <c r="B5360" s="1" t="s">
        <v>5067</v>
      </c>
      <c r="C5360" s="1" t="s">
        <v>334</v>
      </c>
      <c r="D5360" s="1" t="s">
        <v>229</v>
      </c>
      <c r="E5360" s="1"/>
    </row>
    <row r="5361" spans="1:5" ht="16">
      <c r="A5361" s="1" t="s">
        <v>5051</v>
      </c>
      <c r="B5361" s="1" t="s">
        <v>5068</v>
      </c>
      <c r="C5361" s="1" t="s">
        <v>334</v>
      </c>
      <c r="D5361" s="1" t="s">
        <v>229</v>
      </c>
      <c r="E5361" s="1"/>
    </row>
    <row r="5362" spans="1:5" ht="16">
      <c r="A5362" s="1" t="s">
        <v>5051</v>
      </c>
      <c r="B5362" s="1" t="s">
        <v>5069</v>
      </c>
      <c r="C5362" s="1" t="s">
        <v>334</v>
      </c>
      <c r="D5362" s="1" t="s">
        <v>229</v>
      </c>
      <c r="E5362" s="1"/>
    </row>
    <row r="5363" spans="1:5" ht="16">
      <c r="A5363" s="1" t="s">
        <v>5051</v>
      </c>
      <c r="B5363" s="1" t="s">
        <v>5070</v>
      </c>
      <c r="C5363" s="1" t="s">
        <v>334</v>
      </c>
      <c r="D5363" s="1" t="s">
        <v>229</v>
      </c>
      <c r="E5363" s="1"/>
    </row>
    <row r="5364" spans="1:5" ht="16">
      <c r="A5364" s="1" t="s">
        <v>5051</v>
      </c>
      <c r="B5364" s="1" t="s">
        <v>5071</v>
      </c>
      <c r="C5364" s="1" t="s">
        <v>334</v>
      </c>
      <c r="D5364" s="1" t="s">
        <v>229</v>
      </c>
      <c r="E5364" s="1"/>
    </row>
    <row r="5365" spans="1:5" ht="16">
      <c r="A5365" s="1" t="s">
        <v>5051</v>
      </c>
      <c r="B5365" s="1" t="s">
        <v>5072</v>
      </c>
      <c r="C5365" s="1" t="s">
        <v>334</v>
      </c>
      <c r="D5365" s="1" t="s">
        <v>229</v>
      </c>
      <c r="E5365" s="1"/>
    </row>
    <row r="5366" spans="1:5" ht="16">
      <c r="A5366" s="1" t="s">
        <v>5051</v>
      </c>
      <c r="B5366" s="1" t="s">
        <v>5073</v>
      </c>
      <c r="C5366" s="1" t="s">
        <v>334</v>
      </c>
      <c r="D5366" s="1" t="s">
        <v>229</v>
      </c>
      <c r="E5366" s="1"/>
    </row>
    <row r="5367" spans="1:5" ht="16">
      <c r="A5367" s="1" t="s">
        <v>5051</v>
      </c>
      <c r="B5367" s="1" t="s">
        <v>5074</v>
      </c>
      <c r="C5367" s="1" t="s">
        <v>334</v>
      </c>
      <c r="D5367" s="1" t="s">
        <v>229</v>
      </c>
      <c r="E5367" s="1"/>
    </row>
    <row r="5368" spans="1:5" ht="16">
      <c r="A5368" s="1" t="s">
        <v>5051</v>
      </c>
      <c r="B5368" s="1" t="s">
        <v>5075</v>
      </c>
      <c r="C5368" s="1" t="s">
        <v>334</v>
      </c>
      <c r="D5368" s="1" t="s">
        <v>229</v>
      </c>
      <c r="E5368" s="1"/>
    </row>
    <row r="5369" spans="1:5" ht="16">
      <c r="A5369" s="1" t="s">
        <v>5051</v>
      </c>
      <c r="B5369" s="1" t="s">
        <v>5076</v>
      </c>
      <c r="C5369" s="1" t="s">
        <v>334</v>
      </c>
      <c r="D5369" s="1" t="s">
        <v>229</v>
      </c>
      <c r="E5369" s="1"/>
    </row>
    <row r="5370" spans="1:5" ht="16">
      <c r="A5370" s="1" t="s">
        <v>5051</v>
      </c>
      <c r="B5370" s="1" t="s">
        <v>5077</v>
      </c>
      <c r="C5370" s="1" t="s">
        <v>334</v>
      </c>
      <c r="D5370" s="1" t="s">
        <v>229</v>
      </c>
      <c r="E5370" s="1"/>
    </row>
    <row r="5371" spans="1:5" ht="16">
      <c r="A5371" s="1" t="s">
        <v>5051</v>
      </c>
      <c r="B5371" s="1" t="s">
        <v>5078</v>
      </c>
      <c r="C5371" s="1" t="s">
        <v>334</v>
      </c>
      <c r="D5371" s="1" t="s">
        <v>229</v>
      </c>
      <c r="E5371" s="1"/>
    </row>
    <row r="5372" spans="1:5" ht="16">
      <c r="A5372" s="1" t="s">
        <v>5051</v>
      </c>
      <c r="B5372" s="1" t="s">
        <v>5077</v>
      </c>
      <c r="C5372" s="1" t="s">
        <v>334</v>
      </c>
      <c r="D5372" s="1" t="s">
        <v>229</v>
      </c>
      <c r="E5372" s="1"/>
    </row>
    <row r="5373" spans="1:5" ht="16">
      <c r="A5373" s="1" t="s">
        <v>5051</v>
      </c>
      <c r="B5373" s="1" t="s">
        <v>5079</v>
      </c>
      <c r="C5373" s="1" t="s">
        <v>334</v>
      </c>
      <c r="D5373" s="1" t="s">
        <v>229</v>
      </c>
      <c r="E5373" s="1"/>
    </row>
    <row r="5374" spans="1:5" ht="16">
      <c r="A5374" s="1" t="s">
        <v>5051</v>
      </c>
      <c r="B5374" s="1" t="s">
        <v>5080</v>
      </c>
      <c r="C5374" s="1" t="s">
        <v>334</v>
      </c>
      <c r="D5374" s="1" t="s">
        <v>229</v>
      </c>
      <c r="E5374" s="1"/>
    </row>
    <row r="5375" spans="1:5" ht="16">
      <c r="A5375" s="1" t="s">
        <v>5051</v>
      </c>
      <c r="B5375" s="1" t="s">
        <v>5081</v>
      </c>
      <c r="C5375" s="1" t="s">
        <v>334</v>
      </c>
      <c r="D5375" s="1" t="s">
        <v>229</v>
      </c>
      <c r="E5375" s="1"/>
    </row>
    <row r="5376" spans="1:5" ht="16">
      <c r="A5376" s="1" t="s">
        <v>5051</v>
      </c>
      <c r="B5376" s="1" t="s">
        <v>5082</v>
      </c>
      <c r="C5376" s="1" t="s">
        <v>334</v>
      </c>
      <c r="D5376" s="1" t="s">
        <v>229</v>
      </c>
      <c r="E5376" s="1"/>
    </row>
    <row r="5377" spans="1:5" ht="16">
      <c r="A5377" s="1" t="s">
        <v>5051</v>
      </c>
      <c r="B5377" s="1" t="s">
        <v>5083</v>
      </c>
      <c r="C5377" s="1" t="s">
        <v>334</v>
      </c>
      <c r="D5377" s="1" t="s">
        <v>229</v>
      </c>
      <c r="E5377" s="1"/>
    </row>
    <row r="5378" spans="1:5" ht="16">
      <c r="A5378" s="1" t="s">
        <v>5051</v>
      </c>
      <c r="B5378" s="1" t="s">
        <v>5084</v>
      </c>
      <c r="C5378" s="1" t="s">
        <v>334</v>
      </c>
      <c r="D5378" s="1" t="s">
        <v>229</v>
      </c>
      <c r="E5378" s="1"/>
    </row>
    <row r="5379" spans="1:5" ht="16">
      <c r="A5379" s="1" t="s">
        <v>5051</v>
      </c>
      <c r="B5379" s="1" t="s">
        <v>5085</v>
      </c>
      <c r="C5379" s="1" t="s">
        <v>334</v>
      </c>
      <c r="D5379" s="1" t="s">
        <v>229</v>
      </c>
      <c r="E5379" s="1"/>
    </row>
    <row r="5380" spans="1:5" ht="16">
      <c r="A5380" s="1" t="s">
        <v>5051</v>
      </c>
      <c r="B5380" s="1" t="s">
        <v>5086</v>
      </c>
      <c r="C5380" s="1" t="s">
        <v>334</v>
      </c>
      <c r="D5380" s="1" t="s">
        <v>229</v>
      </c>
      <c r="E5380" s="1"/>
    </row>
    <row r="5381" spans="1:5" ht="16">
      <c r="A5381" s="1" t="s">
        <v>5051</v>
      </c>
      <c r="B5381" s="1" t="s">
        <v>5084</v>
      </c>
      <c r="C5381" s="1" t="s">
        <v>334</v>
      </c>
      <c r="D5381" s="1" t="s">
        <v>229</v>
      </c>
      <c r="E5381" s="1"/>
    </row>
    <row r="5382" spans="1:5" ht="16">
      <c r="A5382" s="1" t="s">
        <v>5051</v>
      </c>
      <c r="B5382" s="1" t="s">
        <v>5081</v>
      </c>
      <c r="C5382" s="1" t="s">
        <v>334</v>
      </c>
      <c r="D5382" s="1" t="s">
        <v>229</v>
      </c>
      <c r="E5382" s="1"/>
    </row>
    <row r="5383" spans="1:5" ht="16">
      <c r="A5383" s="1" t="s">
        <v>5051</v>
      </c>
      <c r="B5383" s="1" t="s">
        <v>5087</v>
      </c>
      <c r="C5383" s="1" t="s">
        <v>334</v>
      </c>
      <c r="D5383" s="1" t="s">
        <v>229</v>
      </c>
      <c r="E5383" s="1"/>
    </row>
    <row r="5384" spans="1:5" ht="16">
      <c r="A5384" s="1" t="s">
        <v>5051</v>
      </c>
      <c r="B5384" s="1" t="s">
        <v>5081</v>
      </c>
      <c r="C5384" s="1" t="s">
        <v>334</v>
      </c>
      <c r="D5384" s="1" t="s">
        <v>229</v>
      </c>
      <c r="E5384" s="1"/>
    </row>
    <row r="5385" spans="1:5" ht="16">
      <c r="A5385" s="1" t="s">
        <v>5051</v>
      </c>
      <c r="B5385" s="1" t="s">
        <v>5084</v>
      </c>
      <c r="C5385" s="1" t="s">
        <v>334</v>
      </c>
      <c r="D5385" s="1" t="s">
        <v>229</v>
      </c>
      <c r="E5385" s="1"/>
    </row>
    <row r="5386" spans="1:5" ht="16">
      <c r="A5386" s="1" t="s">
        <v>5051</v>
      </c>
      <c r="B5386" s="1" t="s">
        <v>5088</v>
      </c>
      <c r="C5386" s="1" t="s">
        <v>334</v>
      </c>
      <c r="D5386" s="1" t="s">
        <v>229</v>
      </c>
      <c r="E5386" s="1"/>
    </row>
    <row r="5387" spans="1:5" ht="16">
      <c r="A5387" s="1" t="s">
        <v>5051</v>
      </c>
      <c r="B5387" s="1" t="s">
        <v>5089</v>
      </c>
      <c r="C5387" s="1" t="s">
        <v>334</v>
      </c>
      <c r="D5387" s="1" t="s">
        <v>229</v>
      </c>
      <c r="E5387" s="1"/>
    </row>
    <row r="5388" spans="1:5" ht="16">
      <c r="A5388" s="1" t="s">
        <v>5051</v>
      </c>
      <c r="B5388" s="1" t="s">
        <v>5090</v>
      </c>
      <c r="C5388" s="1" t="s">
        <v>334</v>
      </c>
      <c r="D5388" s="1" t="s">
        <v>229</v>
      </c>
      <c r="E5388" s="1"/>
    </row>
    <row r="5389" spans="1:5" ht="16">
      <c r="A5389" s="1" t="s">
        <v>5051</v>
      </c>
      <c r="B5389" s="1" t="s">
        <v>5091</v>
      </c>
      <c r="C5389" s="1" t="s">
        <v>334</v>
      </c>
      <c r="D5389" s="1" t="s">
        <v>229</v>
      </c>
      <c r="E5389" s="1"/>
    </row>
    <row r="5390" spans="1:5" ht="16">
      <c r="A5390" s="1" t="s">
        <v>5051</v>
      </c>
      <c r="B5390" s="1" t="s">
        <v>5092</v>
      </c>
      <c r="C5390" s="1" t="s">
        <v>334</v>
      </c>
      <c r="D5390" s="1" t="s">
        <v>229</v>
      </c>
      <c r="E5390" s="1"/>
    </row>
    <row r="5391" spans="1:5" ht="16">
      <c r="A5391" s="1" t="s">
        <v>5051</v>
      </c>
      <c r="B5391" s="1" t="s">
        <v>5093</v>
      </c>
      <c r="C5391" s="1" t="s">
        <v>334</v>
      </c>
      <c r="D5391" s="1" t="s">
        <v>229</v>
      </c>
      <c r="E5391" s="1"/>
    </row>
    <row r="5392" spans="1:5" ht="16">
      <c r="A5392" s="1" t="s">
        <v>5051</v>
      </c>
      <c r="B5392" s="1" t="s">
        <v>5094</v>
      </c>
      <c r="C5392" s="1" t="s">
        <v>334</v>
      </c>
      <c r="D5392" s="1" t="s">
        <v>229</v>
      </c>
      <c r="E5392" s="1"/>
    </row>
    <row r="5393" spans="1:5" ht="16">
      <c r="A5393" s="1" t="s">
        <v>5051</v>
      </c>
      <c r="B5393" s="1" t="s">
        <v>5095</v>
      </c>
      <c r="C5393" s="1" t="s">
        <v>334</v>
      </c>
      <c r="D5393" s="1" t="s">
        <v>229</v>
      </c>
      <c r="E5393" s="1"/>
    </row>
    <row r="5394" spans="1:5" ht="16">
      <c r="A5394" s="1" t="s">
        <v>5051</v>
      </c>
      <c r="B5394" s="1" t="s">
        <v>5096</v>
      </c>
      <c r="C5394" s="1" t="s">
        <v>334</v>
      </c>
      <c r="D5394" s="1" t="s">
        <v>229</v>
      </c>
      <c r="E5394" s="1"/>
    </row>
    <row r="5395" spans="1:5" ht="16">
      <c r="A5395" s="1" t="s">
        <v>5051</v>
      </c>
      <c r="B5395" s="1" t="s">
        <v>5097</v>
      </c>
      <c r="C5395" s="1" t="s">
        <v>334</v>
      </c>
      <c r="D5395" s="1" t="s">
        <v>229</v>
      </c>
      <c r="E5395" s="1"/>
    </row>
    <row r="5396" spans="1:5" ht="16">
      <c r="A5396" s="1" t="s">
        <v>5051</v>
      </c>
      <c r="B5396" s="1" t="s">
        <v>5098</v>
      </c>
      <c r="C5396" s="1" t="s">
        <v>334</v>
      </c>
      <c r="D5396" s="1" t="s">
        <v>229</v>
      </c>
      <c r="E5396" s="1"/>
    </row>
    <row r="5397" spans="1:5" ht="16">
      <c r="A5397" s="1" t="s">
        <v>5051</v>
      </c>
      <c r="B5397" s="1" t="s">
        <v>5099</v>
      </c>
      <c r="C5397" s="1" t="s">
        <v>334</v>
      </c>
      <c r="D5397" s="1" t="s">
        <v>229</v>
      </c>
      <c r="E5397" s="1"/>
    </row>
    <row r="5398" spans="1:5" ht="16">
      <c r="A5398" s="1" t="s">
        <v>5051</v>
      </c>
      <c r="B5398" s="1" t="s">
        <v>5100</v>
      </c>
      <c r="C5398" s="1" t="s">
        <v>334</v>
      </c>
      <c r="D5398" s="1" t="s">
        <v>229</v>
      </c>
      <c r="E5398" s="1"/>
    </row>
    <row r="5399" spans="1:5" ht="16">
      <c r="A5399" s="1" t="s">
        <v>5051</v>
      </c>
      <c r="B5399" s="1" t="s">
        <v>5101</v>
      </c>
      <c r="C5399" s="1" t="s">
        <v>334</v>
      </c>
      <c r="D5399" s="1" t="s">
        <v>229</v>
      </c>
      <c r="E5399" s="1"/>
    </row>
    <row r="5400" spans="1:5" ht="16">
      <c r="A5400" s="1" t="s">
        <v>5051</v>
      </c>
      <c r="B5400" s="1" t="s">
        <v>5102</v>
      </c>
      <c r="C5400" s="1" t="s">
        <v>334</v>
      </c>
      <c r="D5400" s="1" t="s">
        <v>229</v>
      </c>
      <c r="E5400" s="1"/>
    </row>
    <row r="5401" spans="1:5" ht="16">
      <c r="A5401" s="1" t="s">
        <v>5051</v>
      </c>
      <c r="B5401" s="1" t="s">
        <v>5053</v>
      </c>
      <c r="C5401" s="1" t="s">
        <v>334</v>
      </c>
      <c r="D5401" s="1" t="s">
        <v>229</v>
      </c>
      <c r="E5401" s="1"/>
    </row>
    <row r="5402" spans="1:5" ht="16">
      <c r="A5402" s="1" t="s">
        <v>5051</v>
      </c>
      <c r="B5402" s="1" t="s">
        <v>5103</v>
      </c>
      <c r="C5402" s="1" t="s">
        <v>334</v>
      </c>
      <c r="D5402" s="1" t="s">
        <v>229</v>
      </c>
      <c r="E5402" s="1"/>
    </row>
    <row r="5403" spans="1:5" ht="16">
      <c r="A5403" s="1" t="s">
        <v>5051</v>
      </c>
      <c r="B5403" s="1" t="s">
        <v>5104</v>
      </c>
      <c r="C5403" s="1" t="s">
        <v>334</v>
      </c>
      <c r="D5403" s="1" t="s">
        <v>229</v>
      </c>
      <c r="E5403" s="1"/>
    </row>
    <row r="5404" spans="1:5" ht="16">
      <c r="A5404" s="1" t="s">
        <v>5051</v>
      </c>
      <c r="B5404" s="1" t="s">
        <v>5105</v>
      </c>
      <c r="C5404" s="1" t="s">
        <v>334</v>
      </c>
      <c r="D5404" s="1" t="s">
        <v>229</v>
      </c>
      <c r="E5404" s="1"/>
    </row>
    <row r="5405" spans="1:5" ht="16">
      <c r="A5405" s="1" t="s">
        <v>5051</v>
      </c>
      <c r="B5405" s="1" t="s">
        <v>5106</v>
      </c>
      <c r="C5405" s="1" t="s">
        <v>334</v>
      </c>
      <c r="D5405" s="1" t="s">
        <v>229</v>
      </c>
      <c r="E5405" s="1"/>
    </row>
    <row r="5406" spans="1:5" ht="16">
      <c r="A5406" s="1" t="s">
        <v>5051</v>
      </c>
      <c r="B5406" s="1" t="s">
        <v>5107</v>
      </c>
      <c r="C5406" s="1" t="s">
        <v>334</v>
      </c>
      <c r="D5406" s="1" t="s">
        <v>229</v>
      </c>
      <c r="E5406" s="1"/>
    </row>
    <row r="5407" spans="1:5" ht="16">
      <c r="A5407" s="1" t="s">
        <v>5051</v>
      </c>
      <c r="B5407" s="1" t="s">
        <v>5108</v>
      </c>
      <c r="C5407" s="1" t="s">
        <v>334</v>
      </c>
      <c r="D5407" s="1" t="s">
        <v>229</v>
      </c>
      <c r="E5407" s="1"/>
    </row>
    <row r="5408" spans="1:5" ht="16">
      <c r="A5408" s="1" t="s">
        <v>5051</v>
      </c>
      <c r="B5408" s="1" t="s">
        <v>5109</v>
      </c>
      <c r="C5408" s="1" t="s">
        <v>334</v>
      </c>
      <c r="D5408" s="1" t="s">
        <v>229</v>
      </c>
      <c r="E5408" s="1"/>
    </row>
    <row r="5409" spans="1:5" ht="16">
      <c r="A5409" s="1" t="s">
        <v>5051</v>
      </c>
      <c r="B5409" s="1" t="s">
        <v>5110</v>
      </c>
      <c r="C5409" s="1" t="s">
        <v>334</v>
      </c>
      <c r="D5409" s="1" t="s">
        <v>229</v>
      </c>
      <c r="E5409" s="1"/>
    </row>
    <row r="5410" spans="1:5" ht="16">
      <c r="A5410" s="1" t="s">
        <v>5051</v>
      </c>
      <c r="B5410" s="1" t="s">
        <v>5111</v>
      </c>
      <c r="C5410" s="1" t="s">
        <v>334</v>
      </c>
      <c r="D5410" s="1" t="s">
        <v>229</v>
      </c>
      <c r="E5410" s="1"/>
    </row>
    <row r="5411" spans="1:5" ht="16">
      <c r="A5411" s="1" t="s">
        <v>5051</v>
      </c>
      <c r="B5411" s="1" t="s">
        <v>5112</v>
      </c>
      <c r="C5411" s="1" t="s">
        <v>334</v>
      </c>
      <c r="D5411" s="1" t="s">
        <v>229</v>
      </c>
      <c r="E5411" s="1"/>
    </row>
    <row r="5412" spans="1:5" ht="16">
      <c r="A5412" s="1" t="s">
        <v>5051</v>
      </c>
      <c r="B5412" s="1" t="s">
        <v>5113</v>
      </c>
      <c r="C5412" s="1" t="s">
        <v>1411</v>
      </c>
      <c r="D5412" s="1" t="s">
        <v>229</v>
      </c>
      <c r="E5412" s="1"/>
    </row>
    <row r="5413" spans="1:5" ht="16">
      <c r="A5413" s="1" t="s">
        <v>5051</v>
      </c>
      <c r="B5413" s="1" t="s">
        <v>5114</v>
      </c>
      <c r="C5413" s="1" t="s">
        <v>1411</v>
      </c>
      <c r="D5413" s="1" t="s">
        <v>229</v>
      </c>
      <c r="E5413" s="1"/>
    </row>
    <row r="5414" spans="1:5" ht="16">
      <c r="A5414" s="1" t="s">
        <v>5051</v>
      </c>
      <c r="B5414" s="1" t="s">
        <v>5115</v>
      </c>
      <c r="C5414" s="1" t="s">
        <v>1411</v>
      </c>
      <c r="D5414" s="1" t="s">
        <v>229</v>
      </c>
      <c r="E5414" s="1"/>
    </row>
    <row r="5415" spans="1:5" ht="16">
      <c r="A5415" s="1" t="s">
        <v>5051</v>
      </c>
      <c r="B5415" s="1" t="s">
        <v>5116</v>
      </c>
      <c r="C5415" s="1" t="s">
        <v>334</v>
      </c>
      <c r="D5415" s="1" t="s">
        <v>229</v>
      </c>
      <c r="E5415" s="1"/>
    </row>
    <row r="5416" spans="1:5" ht="16">
      <c r="A5416" s="1" t="s">
        <v>5051</v>
      </c>
      <c r="B5416" s="1" t="s">
        <v>5117</v>
      </c>
      <c r="C5416" s="1" t="s">
        <v>334</v>
      </c>
      <c r="D5416" s="1" t="s">
        <v>229</v>
      </c>
      <c r="E5416" s="1"/>
    </row>
    <row r="5417" spans="1:5" ht="16">
      <c r="A5417" s="1" t="s">
        <v>5051</v>
      </c>
      <c r="B5417" s="1" t="s">
        <v>5118</v>
      </c>
      <c r="C5417" s="1" t="s">
        <v>334</v>
      </c>
      <c r="D5417" s="1" t="s">
        <v>229</v>
      </c>
      <c r="E5417" s="1"/>
    </row>
    <row r="5418" spans="1:5" ht="16">
      <c r="A5418" s="1" t="s">
        <v>5051</v>
      </c>
      <c r="B5418" s="1" t="s">
        <v>5119</v>
      </c>
      <c r="C5418" s="1" t="s">
        <v>334</v>
      </c>
      <c r="D5418" s="1" t="s">
        <v>229</v>
      </c>
      <c r="E5418" s="1"/>
    </row>
    <row r="5419" spans="1:5" ht="16">
      <c r="A5419" s="1" t="s">
        <v>5051</v>
      </c>
      <c r="B5419" s="1" t="s">
        <v>5120</v>
      </c>
      <c r="C5419" s="1" t="s">
        <v>334</v>
      </c>
      <c r="D5419" s="1" t="s">
        <v>229</v>
      </c>
      <c r="E5419" s="1"/>
    </row>
    <row r="5420" spans="1:5" ht="16">
      <c r="A5420" s="1" t="s">
        <v>5051</v>
      </c>
      <c r="B5420" s="1" t="s">
        <v>5121</v>
      </c>
      <c r="C5420" s="1" t="s">
        <v>334</v>
      </c>
      <c r="D5420" s="1" t="s">
        <v>229</v>
      </c>
      <c r="E5420" s="1"/>
    </row>
    <row r="5421" spans="1:5" ht="16">
      <c r="A5421" s="1" t="s">
        <v>5051</v>
      </c>
      <c r="B5421" s="1" t="s">
        <v>5122</v>
      </c>
      <c r="C5421" s="1" t="s">
        <v>334</v>
      </c>
      <c r="D5421" s="1" t="s">
        <v>229</v>
      </c>
      <c r="E5421" s="1"/>
    </row>
    <row r="5422" spans="1:5" ht="16">
      <c r="A5422" s="1" t="s">
        <v>5051</v>
      </c>
      <c r="B5422" s="1" t="s">
        <v>5123</v>
      </c>
      <c r="C5422" s="1" t="s">
        <v>334</v>
      </c>
      <c r="D5422" s="1" t="s">
        <v>229</v>
      </c>
      <c r="E5422" s="1"/>
    </row>
    <row r="5423" spans="1:5" ht="16">
      <c r="A5423" s="1" t="s">
        <v>5051</v>
      </c>
      <c r="B5423" s="1" t="s">
        <v>5077</v>
      </c>
      <c r="C5423" s="1" t="s">
        <v>334</v>
      </c>
      <c r="D5423" s="1" t="s">
        <v>229</v>
      </c>
      <c r="E5423" s="1"/>
    </row>
    <row r="5424" spans="1:5" ht="16">
      <c r="A5424" s="1" t="s">
        <v>5051</v>
      </c>
      <c r="B5424" s="1" t="s">
        <v>5124</v>
      </c>
      <c r="C5424" s="1" t="s">
        <v>334</v>
      </c>
      <c r="D5424" s="1" t="s">
        <v>229</v>
      </c>
      <c r="E5424" s="1"/>
    </row>
    <row r="5425" spans="1:5" ht="16">
      <c r="A5425" s="1" t="s">
        <v>5051</v>
      </c>
      <c r="B5425" s="1" t="s">
        <v>5125</v>
      </c>
      <c r="C5425" s="1" t="s">
        <v>334</v>
      </c>
      <c r="D5425" s="1" t="s">
        <v>229</v>
      </c>
      <c r="E5425" s="1"/>
    </row>
    <row r="5426" spans="1:5" ht="16">
      <c r="A5426" s="1" t="s">
        <v>5051</v>
      </c>
      <c r="B5426" s="1" t="s">
        <v>5126</v>
      </c>
      <c r="C5426" s="1" t="s">
        <v>334</v>
      </c>
      <c r="D5426" s="1" t="s">
        <v>229</v>
      </c>
      <c r="E5426" s="1"/>
    </row>
    <row r="5427" spans="1:5" ht="16">
      <c r="A5427" s="1" t="s">
        <v>5051</v>
      </c>
      <c r="B5427" s="1" t="s">
        <v>5127</v>
      </c>
      <c r="C5427" s="1" t="s">
        <v>334</v>
      </c>
      <c r="D5427" s="1" t="s">
        <v>229</v>
      </c>
      <c r="E5427" s="1"/>
    </row>
    <row r="5428" spans="1:5" ht="16">
      <c r="A5428" s="1" t="s">
        <v>5051</v>
      </c>
      <c r="B5428" s="1" t="s">
        <v>5127</v>
      </c>
      <c r="C5428" s="1" t="s">
        <v>334</v>
      </c>
      <c r="D5428" s="1" t="s">
        <v>229</v>
      </c>
      <c r="E5428" s="1"/>
    </row>
    <row r="5429" spans="1:5" ht="16">
      <c r="A5429" s="1" t="s">
        <v>5051</v>
      </c>
      <c r="B5429" s="1" t="s">
        <v>5128</v>
      </c>
      <c r="C5429" s="1" t="s">
        <v>334</v>
      </c>
      <c r="D5429" s="1" t="s">
        <v>229</v>
      </c>
      <c r="E5429" s="1"/>
    </row>
    <row r="5430" spans="1:5" ht="16">
      <c r="A5430" s="1" t="s">
        <v>5051</v>
      </c>
      <c r="B5430" s="1" t="s">
        <v>5129</v>
      </c>
      <c r="C5430" s="1" t="s">
        <v>334</v>
      </c>
      <c r="D5430" s="1" t="s">
        <v>229</v>
      </c>
      <c r="E5430" s="1"/>
    </row>
    <row r="5431" spans="1:5" ht="16">
      <c r="A5431" s="1" t="s">
        <v>5051</v>
      </c>
      <c r="B5431" s="1" t="s">
        <v>5130</v>
      </c>
      <c r="C5431" s="1" t="s">
        <v>334</v>
      </c>
      <c r="D5431" s="1" t="s">
        <v>229</v>
      </c>
      <c r="E5431" s="1"/>
    </row>
    <row r="5432" spans="1:5" ht="16">
      <c r="A5432" s="1" t="s">
        <v>5051</v>
      </c>
      <c r="B5432" s="1" t="s">
        <v>5131</v>
      </c>
      <c r="C5432" s="1" t="s">
        <v>334</v>
      </c>
      <c r="D5432" s="1" t="s">
        <v>229</v>
      </c>
      <c r="E5432" s="1"/>
    </row>
    <row r="5433" spans="1:5" ht="16">
      <c r="A5433" s="1" t="s">
        <v>5051</v>
      </c>
      <c r="B5433" s="1" t="s">
        <v>5132</v>
      </c>
      <c r="C5433" s="1" t="s">
        <v>334</v>
      </c>
      <c r="D5433" s="1" t="s">
        <v>229</v>
      </c>
      <c r="E5433" s="1"/>
    </row>
    <row r="5434" spans="1:5" ht="16">
      <c r="A5434" s="1" t="s">
        <v>5051</v>
      </c>
      <c r="B5434" s="1" t="s">
        <v>5133</v>
      </c>
      <c r="C5434" s="1" t="s">
        <v>334</v>
      </c>
      <c r="D5434" s="1" t="s">
        <v>229</v>
      </c>
      <c r="E5434" s="1"/>
    </row>
    <row r="5435" spans="1:5" ht="16">
      <c r="A5435" s="1" t="s">
        <v>5051</v>
      </c>
      <c r="B5435" s="1" t="s">
        <v>5133</v>
      </c>
      <c r="C5435" s="1" t="s">
        <v>334</v>
      </c>
      <c r="D5435" s="1" t="s">
        <v>229</v>
      </c>
      <c r="E5435" s="1"/>
    </row>
    <row r="5436" spans="1:5" ht="16">
      <c r="A5436" s="1" t="s">
        <v>5134</v>
      </c>
      <c r="B5436" s="1" t="s">
        <v>5135</v>
      </c>
      <c r="C5436" s="1" t="s">
        <v>332</v>
      </c>
      <c r="D5436" s="1" t="s">
        <v>229</v>
      </c>
      <c r="E5436" s="1"/>
    </row>
    <row r="5437" spans="1:5" ht="16">
      <c r="A5437" s="1" t="s">
        <v>5134</v>
      </c>
      <c r="B5437" s="1" t="s">
        <v>5136</v>
      </c>
      <c r="C5437" s="1" t="s">
        <v>332</v>
      </c>
      <c r="D5437" s="1" t="s">
        <v>229</v>
      </c>
      <c r="E5437" s="1"/>
    </row>
    <row r="5438" spans="1:5" ht="16">
      <c r="A5438" s="1" t="s">
        <v>5134</v>
      </c>
      <c r="B5438" s="1" t="s">
        <v>5137</v>
      </c>
      <c r="C5438" s="1" t="s">
        <v>332</v>
      </c>
      <c r="D5438" s="1" t="s">
        <v>229</v>
      </c>
      <c r="E5438" s="1"/>
    </row>
    <row r="5439" spans="1:5" ht="16">
      <c r="A5439" s="1" t="s">
        <v>5134</v>
      </c>
      <c r="B5439" s="1" t="s">
        <v>5138</v>
      </c>
      <c r="C5439" s="1" t="s">
        <v>332</v>
      </c>
      <c r="D5439" s="1" t="s">
        <v>355</v>
      </c>
      <c r="E5439" s="1"/>
    </row>
    <row r="5440" spans="1:5" ht="16">
      <c r="A5440" s="1" t="s">
        <v>5139</v>
      </c>
      <c r="B5440" s="1" t="s">
        <v>5140</v>
      </c>
      <c r="C5440" s="1" t="s">
        <v>364</v>
      </c>
      <c r="D5440" s="1" t="s">
        <v>355</v>
      </c>
      <c r="E5440" s="1" t="s">
        <v>500</v>
      </c>
    </row>
    <row r="5441" spans="1:5" ht="16">
      <c r="A5441" s="1" t="s">
        <v>5139</v>
      </c>
      <c r="B5441" s="1" t="s">
        <v>5141</v>
      </c>
      <c r="C5441" s="1" t="s">
        <v>364</v>
      </c>
      <c r="D5441" s="1" t="s">
        <v>355</v>
      </c>
      <c r="E5441" s="1" t="s">
        <v>500</v>
      </c>
    </row>
    <row r="5442" spans="1:5" ht="16">
      <c r="A5442" s="1" t="s">
        <v>5139</v>
      </c>
      <c r="B5442" s="1" t="s">
        <v>5142</v>
      </c>
      <c r="C5442" s="1" t="s">
        <v>364</v>
      </c>
      <c r="D5442" s="1" t="s">
        <v>355</v>
      </c>
      <c r="E5442" s="1" t="s">
        <v>500</v>
      </c>
    </row>
    <row r="5443" spans="1:5" ht="16">
      <c r="A5443" s="1" t="s">
        <v>5139</v>
      </c>
      <c r="B5443" s="1" t="s">
        <v>5143</v>
      </c>
      <c r="C5443" s="1" t="s">
        <v>364</v>
      </c>
      <c r="D5443" s="1" t="s">
        <v>355</v>
      </c>
      <c r="E5443" s="1" t="s">
        <v>500</v>
      </c>
    </row>
    <row r="5444" spans="1:5" ht="16">
      <c r="A5444" s="1" t="s">
        <v>5139</v>
      </c>
      <c r="B5444" s="1" t="s">
        <v>5144</v>
      </c>
      <c r="C5444" s="1" t="s">
        <v>364</v>
      </c>
      <c r="D5444" s="1" t="s">
        <v>229</v>
      </c>
      <c r="E5444" s="1"/>
    </row>
    <row r="5445" spans="1:5" ht="16">
      <c r="A5445" s="1" t="s">
        <v>5139</v>
      </c>
      <c r="B5445" s="1" t="s">
        <v>5145</v>
      </c>
      <c r="C5445" s="1" t="s">
        <v>364</v>
      </c>
      <c r="D5445" s="1" t="s">
        <v>229</v>
      </c>
      <c r="E5445" s="1"/>
    </row>
    <row r="5446" spans="1:5" ht="16">
      <c r="A5446" s="1" t="s">
        <v>5139</v>
      </c>
      <c r="B5446" s="1" t="s">
        <v>5146</v>
      </c>
      <c r="C5446" s="1" t="s">
        <v>364</v>
      </c>
      <c r="D5446" s="1" t="s">
        <v>229</v>
      </c>
      <c r="E5446" s="1"/>
    </row>
    <row r="5447" spans="1:5" ht="16">
      <c r="A5447" s="1" t="s">
        <v>5139</v>
      </c>
      <c r="B5447" s="1" t="s">
        <v>5147</v>
      </c>
      <c r="C5447" s="1" t="s">
        <v>364</v>
      </c>
      <c r="D5447" s="1" t="s">
        <v>229</v>
      </c>
      <c r="E5447" s="1"/>
    </row>
    <row r="5448" spans="1:5" ht="16">
      <c r="A5448" s="1" t="s">
        <v>5139</v>
      </c>
      <c r="B5448" s="1" t="s">
        <v>5148</v>
      </c>
      <c r="C5448" s="1" t="s">
        <v>364</v>
      </c>
      <c r="D5448" s="1" t="s">
        <v>229</v>
      </c>
      <c r="E5448" s="1"/>
    </row>
    <row r="5449" spans="1:5" ht="16">
      <c r="A5449" s="1" t="s">
        <v>5139</v>
      </c>
      <c r="B5449" s="1" t="s">
        <v>5149</v>
      </c>
      <c r="C5449" s="1" t="s">
        <v>364</v>
      </c>
      <c r="D5449" s="1" t="s">
        <v>229</v>
      </c>
      <c r="E5449" s="1"/>
    </row>
    <row r="5450" spans="1:5" ht="16">
      <c r="A5450" s="1" t="s">
        <v>5139</v>
      </c>
      <c r="B5450" s="1" t="s">
        <v>5150</v>
      </c>
      <c r="C5450" s="1" t="s">
        <v>364</v>
      </c>
      <c r="D5450" s="1" t="s">
        <v>229</v>
      </c>
      <c r="E5450" s="1"/>
    </row>
    <row r="5451" spans="1:5" ht="16">
      <c r="A5451" s="1" t="s">
        <v>5139</v>
      </c>
      <c r="B5451" s="1" t="s">
        <v>5151</v>
      </c>
      <c r="C5451" s="1" t="s">
        <v>364</v>
      </c>
      <c r="D5451" s="1" t="s">
        <v>229</v>
      </c>
      <c r="E5451" s="1"/>
    </row>
    <row r="5452" spans="1:5" ht="16">
      <c r="A5452" s="1" t="s">
        <v>5139</v>
      </c>
      <c r="B5452" s="1" t="s">
        <v>5152</v>
      </c>
      <c r="C5452" s="1" t="s">
        <v>334</v>
      </c>
      <c r="D5452" s="1" t="s">
        <v>229</v>
      </c>
      <c r="E5452" s="1"/>
    </row>
    <row r="5453" spans="1:5" ht="16">
      <c r="A5453" s="1" t="s">
        <v>5139</v>
      </c>
      <c r="B5453" s="1" t="s">
        <v>5153</v>
      </c>
      <c r="C5453" s="1" t="s">
        <v>364</v>
      </c>
      <c r="D5453" s="1" t="s">
        <v>229</v>
      </c>
      <c r="E5453" s="1"/>
    </row>
    <row r="5454" spans="1:5" ht="16">
      <c r="A5454" s="1" t="s">
        <v>5139</v>
      </c>
      <c r="B5454" s="1" t="s">
        <v>5153</v>
      </c>
      <c r="C5454" s="1" t="s">
        <v>364</v>
      </c>
      <c r="D5454" s="1" t="s">
        <v>229</v>
      </c>
      <c r="E5454" s="1"/>
    </row>
    <row r="5455" spans="1:5" ht="16">
      <c r="A5455" s="1" t="s">
        <v>5139</v>
      </c>
      <c r="B5455" s="1" t="s">
        <v>5153</v>
      </c>
      <c r="C5455" s="1" t="s">
        <v>364</v>
      </c>
      <c r="D5455" s="1" t="s">
        <v>229</v>
      </c>
      <c r="E5455" s="1"/>
    </row>
    <row r="5456" spans="1:5" ht="16">
      <c r="A5456" s="1" t="s">
        <v>5139</v>
      </c>
      <c r="B5456" s="1" t="s">
        <v>5154</v>
      </c>
      <c r="C5456" s="1" t="s">
        <v>364</v>
      </c>
      <c r="D5456" s="1" t="s">
        <v>229</v>
      </c>
      <c r="E5456" s="1"/>
    </row>
    <row r="5457" spans="1:5" ht="16">
      <c r="A5457" s="1" t="s">
        <v>5139</v>
      </c>
      <c r="B5457" s="1" t="s">
        <v>5155</v>
      </c>
      <c r="C5457" s="1" t="s">
        <v>2026</v>
      </c>
      <c r="D5457" s="1" t="s">
        <v>229</v>
      </c>
      <c r="E5457" s="1" t="s">
        <v>500</v>
      </c>
    </row>
    <row r="5458" spans="1:5" ht="16">
      <c r="A5458" s="1" t="s">
        <v>5139</v>
      </c>
      <c r="B5458" s="1" t="s">
        <v>5155</v>
      </c>
      <c r="C5458" s="1" t="s">
        <v>624</v>
      </c>
      <c r="D5458" s="1" t="s">
        <v>229</v>
      </c>
      <c r="E5458" s="1" t="s">
        <v>500</v>
      </c>
    </row>
    <row r="5459" spans="1:5" ht="16">
      <c r="A5459" s="1" t="s">
        <v>5139</v>
      </c>
      <c r="B5459" s="1" t="s">
        <v>5156</v>
      </c>
      <c r="C5459" s="1" t="s">
        <v>364</v>
      </c>
      <c r="D5459" s="1" t="s">
        <v>229</v>
      </c>
      <c r="E5459" s="1"/>
    </row>
    <row r="5460" spans="1:5" ht="16">
      <c r="A5460" s="1" t="s">
        <v>5139</v>
      </c>
      <c r="B5460" s="1" t="s">
        <v>5157</v>
      </c>
      <c r="C5460" s="1" t="s">
        <v>364</v>
      </c>
      <c r="D5460" s="1" t="s">
        <v>229</v>
      </c>
      <c r="E5460" s="1"/>
    </row>
    <row r="5461" spans="1:5" ht="16">
      <c r="A5461" s="1" t="s">
        <v>5139</v>
      </c>
      <c r="B5461" s="1" t="s">
        <v>5158</v>
      </c>
      <c r="C5461" s="1" t="s">
        <v>364</v>
      </c>
      <c r="D5461" s="1" t="s">
        <v>229</v>
      </c>
      <c r="E5461" s="1"/>
    </row>
    <row r="5462" spans="1:5" ht="16">
      <c r="A5462" s="1" t="s">
        <v>5139</v>
      </c>
      <c r="B5462" s="1" t="s">
        <v>5159</v>
      </c>
      <c r="C5462" s="1" t="s">
        <v>364</v>
      </c>
      <c r="D5462" s="1" t="s">
        <v>229</v>
      </c>
      <c r="E5462" s="1"/>
    </row>
    <row r="5463" spans="1:5" ht="16">
      <c r="A5463" s="1" t="s">
        <v>5139</v>
      </c>
      <c r="B5463" s="1" t="s">
        <v>5160</v>
      </c>
      <c r="C5463" s="1" t="s">
        <v>364</v>
      </c>
      <c r="D5463" s="1" t="s">
        <v>229</v>
      </c>
      <c r="E5463" s="1"/>
    </row>
    <row r="5464" spans="1:5" ht="16">
      <c r="A5464" s="1" t="s">
        <v>5139</v>
      </c>
      <c r="B5464" s="1" t="s">
        <v>5161</v>
      </c>
      <c r="C5464" s="1" t="s">
        <v>364</v>
      </c>
      <c r="D5464" s="1" t="s">
        <v>229</v>
      </c>
      <c r="E5464" s="1"/>
    </row>
    <row r="5465" spans="1:5" ht="16">
      <c r="A5465" s="1" t="s">
        <v>5139</v>
      </c>
      <c r="B5465" s="1" t="s">
        <v>5162</v>
      </c>
      <c r="C5465" s="1" t="s">
        <v>334</v>
      </c>
      <c r="D5465" s="1" t="s">
        <v>229</v>
      </c>
      <c r="E5465" s="1" t="s">
        <v>500</v>
      </c>
    </row>
    <row r="5466" spans="1:5" ht="16">
      <c r="A5466" s="1" t="s">
        <v>5139</v>
      </c>
      <c r="B5466" s="1" t="s">
        <v>5163</v>
      </c>
      <c r="C5466" s="1" t="s">
        <v>364</v>
      </c>
      <c r="D5466" s="1" t="s">
        <v>229</v>
      </c>
      <c r="E5466" s="1"/>
    </row>
    <row r="5467" spans="1:5" ht="16">
      <c r="A5467" s="1" t="s">
        <v>5139</v>
      </c>
      <c r="B5467" s="1" t="s">
        <v>5164</v>
      </c>
      <c r="C5467" s="1" t="s">
        <v>364</v>
      </c>
      <c r="D5467" s="1" t="s">
        <v>229</v>
      </c>
      <c r="E5467" s="1"/>
    </row>
    <row r="5468" spans="1:5" ht="16">
      <c r="A5468" s="1" t="s">
        <v>5139</v>
      </c>
      <c r="B5468" s="1" t="s">
        <v>5165</v>
      </c>
      <c r="C5468" s="1" t="s">
        <v>364</v>
      </c>
      <c r="D5468" s="1" t="s">
        <v>229</v>
      </c>
      <c r="E5468" s="1"/>
    </row>
    <row r="5469" spans="1:5" ht="16">
      <c r="A5469" s="1" t="s">
        <v>5139</v>
      </c>
      <c r="B5469" s="1" t="s">
        <v>5166</v>
      </c>
      <c r="C5469" s="1" t="s">
        <v>364</v>
      </c>
      <c r="D5469" s="1" t="s">
        <v>229</v>
      </c>
      <c r="E5469" s="1"/>
    </row>
    <row r="5470" spans="1:5" ht="16">
      <c r="A5470" s="1" t="s">
        <v>5139</v>
      </c>
      <c r="B5470" s="1" t="s">
        <v>5163</v>
      </c>
      <c r="C5470" s="1" t="s">
        <v>364</v>
      </c>
      <c r="D5470" s="1" t="s">
        <v>229</v>
      </c>
      <c r="E5470" s="1"/>
    </row>
    <row r="5471" spans="1:5" ht="16">
      <c r="A5471" s="1" t="s">
        <v>5139</v>
      </c>
      <c r="B5471" s="1" t="s">
        <v>5164</v>
      </c>
      <c r="C5471" s="1" t="s">
        <v>364</v>
      </c>
      <c r="D5471" s="1" t="s">
        <v>229</v>
      </c>
      <c r="E5471" s="1"/>
    </row>
    <row r="5472" spans="1:5" ht="16">
      <c r="A5472" s="1" t="s">
        <v>5139</v>
      </c>
      <c r="B5472" s="1" t="s">
        <v>5163</v>
      </c>
      <c r="C5472" s="1" t="s">
        <v>364</v>
      </c>
      <c r="D5472" s="1" t="s">
        <v>229</v>
      </c>
      <c r="E5472" s="1"/>
    </row>
    <row r="5473" spans="1:5" ht="16">
      <c r="A5473" s="1" t="s">
        <v>5139</v>
      </c>
      <c r="B5473" s="1" t="s">
        <v>5164</v>
      </c>
      <c r="C5473" s="1" t="s">
        <v>364</v>
      </c>
      <c r="D5473" s="1" t="s">
        <v>229</v>
      </c>
      <c r="E5473" s="1"/>
    </row>
    <row r="5474" spans="1:5" ht="16">
      <c r="A5474" s="1" t="s">
        <v>5139</v>
      </c>
      <c r="B5474" s="1" t="s">
        <v>5165</v>
      </c>
      <c r="C5474" s="1" t="s">
        <v>364</v>
      </c>
      <c r="D5474" s="1" t="s">
        <v>229</v>
      </c>
      <c r="E5474" s="1"/>
    </row>
    <row r="5475" spans="1:5" ht="16">
      <c r="A5475" s="1" t="s">
        <v>5139</v>
      </c>
      <c r="B5475" s="1" t="s">
        <v>5166</v>
      </c>
      <c r="C5475" s="1" t="s">
        <v>364</v>
      </c>
      <c r="D5475" s="1" t="s">
        <v>229</v>
      </c>
      <c r="E5475" s="1"/>
    </row>
    <row r="5476" spans="1:5" ht="16">
      <c r="A5476" s="1" t="s">
        <v>5139</v>
      </c>
      <c r="B5476" s="1" t="s">
        <v>5167</v>
      </c>
      <c r="C5476" s="1" t="s">
        <v>364</v>
      </c>
      <c r="D5476" s="1" t="s">
        <v>229</v>
      </c>
      <c r="E5476" s="1"/>
    </row>
    <row r="5477" spans="1:5" ht="16">
      <c r="A5477" s="1" t="s">
        <v>5139</v>
      </c>
      <c r="B5477" s="1" t="s">
        <v>5168</v>
      </c>
      <c r="C5477" s="1" t="s">
        <v>364</v>
      </c>
      <c r="D5477" s="1" t="s">
        <v>229</v>
      </c>
      <c r="E5477" s="1"/>
    </row>
    <row r="5478" spans="1:5" ht="16">
      <c r="A5478" s="1" t="s">
        <v>5139</v>
      </c>
      <c r="B5478" s="1" t="s">
        <v>5169</v>
      </c>
      <c r="C5478" s="1" t="s">
        <v>364</v>
      </c>
      <c r="D5478" s="1" t="s">
        <v>229</v>
      </c>
      <c r="E5478" s="1"/>
    </row>
    <row r="5479" spans="1:5" ht="16">
      <c r="A5479" s="1" t="s">
        <v>5139</v>
      </c>
      <c r="B5479" s="1" t="s">
        <v>5170</v>
      </c>
      <c r="C5479" s="1" t="s">
        <v>364</v>
      </c>
      <c r="D5479" s="1" t="s">
        <v>229</v>
      </c>
      <c r="E5479" s="1"/>
    </row>
    <row r="5480" spans="1:5" ht="16">
      <c r="A5480" s="1" t="s">
        <v>5139</v>
      </c>
      <c r="B5480" s="1" t="s">
        <v>5163</v>
      </c>
      <c r="C5480" s="1" t="s">
        <v>364</v>
      </c>
      <c r="D5480" s="1" t="s">
        <v>229</v>
      </c>
      <c r="E5480" s="1"/>
    </row>
    <row r="5481" spans="1:5" ht="16">
      <c r="A5481" s="1" t="s">
        <v>5139</v>
      </c>
      <c r="B5481" s="1" t="s">
        <v>5164</v>
      </c>
      <c r="C5481" s="1" t="s">
        <v>364</v>
      </c>
      <c r="D5481" s="1" t="s">
        <v>229</v>
      </c>
      <c r="E5481" s="1"/>
    </row>
    <row r="5482" spans="1:5" ht="16">
      <c r="A5482" s="1" t="s">
        <v>5139</v>
      </c>
      <c r="B5482" s="1" t="s">
        <v>5171</v>
      </c>
      <c r="C5482" s="1" t="s">
        <v>364</v>
      </c>
      <c r="D5482" s="1" t="s">
        <v>229</v>
      </c>
      <c r="E5482" s="1"/>
    </row>
    <row r="5483" spans="1:5" ht="16">
      <c r="A5483" s="1" t="s">
        <v>5139</v>
      </c>
      <c r="B5483" s="1" t="s">
        <v>5172</v>
      </c>
      <c r="C5483" s="1" t="s">
        <v>364</v>
      </c>
      <c r="D5483" s="1" t="s">
        <v>229</v>
      </c>
      <c r="E5483" s="1"/>
    </row>
    <row r="5484" spans="1:5" ht="16">
      <c r="A5484" s="1" t="s">
        <v>5139</v>
      </c>
      <c r="B5484" s="1" t="s">
        <v>5173</v>
      </c>
      <c r="C5484" s="1" t="s">
        <v>364</v>
      </c>
      <c r="D5484" s="1" t="s">
        <v>229</v>
      </c>
      <c r="E5484" s="1"/>
    </row>
    <row r="5485" spans="1:5" ht="16">
      <c r="A5485" s="1" t="s">
        <v>5139</v>
      </c>
      <c r="B5485" s="1" t="s">
        <v>5174</v>
      </c>
      <c r="C5485" s="1" t="s">
        <v>364</v>
      </c>
      <c r="D5485" s="1" t="s">
        <v>229</v>
      </c>
      <c r="E5485" s="1"/>
    </row>
    <row r="5486" spans="1:5" ht="16">
      <c r="A5486" s="1" t="s">
        <v>5139</v>
      </c>
      <c r="B5486" s="1" t="s">
        <v>5174</v>
      </c>
      <c r="C5486" s="1" t="s">
        <v>364</v>
      </c>
      <c r="D5486" s="1" t="s">
        <v>229</v>
      </c>
      <c r="E5486" s="1"/>
    </row>
    <row r="5487" spans="1:5" ht="16">
      <c r="A5487" s="1" t="s">
        <v>5139</v>
      </c>
      <c r="B5487" s="1" t="s">
        <v>5174</v>
      </c>
      <c r="C5487" s="1" t="s">
        <v>364</v>
      </c>
      <c r="D5487" s="1" t="s">
        <v>229</v>
      </c>
      <c r="E5487" s="1"/>
    </row>
    <row r="5488" spans="1:5" ht="16">
      <c r="A5488" s="1" t="s">
        <v>5139</v>
      </c>
      <c r="B5488" s="1" t="s">
        <v>5174</v>
      </c>
      <c r="C5488" s="1" t="s">
        <v>364</v>
      </c>
      <c r="D5488" s="1" t="s">
        <v>229</v>
      </c>
      <c r="E5488" s="1"/>
    </row>
    <row r="5489" spans="1:5" ht="16">
      <c r="A5489" s="1" t="s">
        <v>5139</v>
      </c>
      <c r="B5489" s="1" t="s">
        <v>5175</v>
      </c>
      <c r="C5489" s="1" t="s">
        <v>364</v>
      </c>
      <c r="D5489" s="1" t="s">
        <v>229</v>
      </c>
      <c r="E5489" s="1"/>
    </row>
    <row r="5490" spans="1:5" ht="16">
      <c r="A5490" s="1" t="s">
        <v>5139</v>
      </c>
      <c r="B5490" s="1" t="s">
        <v>5176</v>
      </c>
      <c r="C5490" s="1" t="s">
        <v>364</v>
      </c>
      <c r="D5490" s="1" t="s">
        <v>229</v>
      </c>
      <c r="E5490" s="1"/>
    </row>
    <row r="5491" spans="1:5" ht="16">
      <c r="A5491" s="1" t="s">
        <v>5139</v>
      </c>
      <c r="B5491" s="1" t="s">
        <v>5177</v>
      </c>
      <c r="C5491" s="1" t="s">
        <v>364</v>
      </c>
      <c r="D5491" s="1" t="s">
        <v>229</v>
      </c>
      <c r="E5491" s="1"/>
    </row>
    <row r="5492" spans="1:5" ht="16">
      <c r="A5492" s="1" t="s">
        <v>5139</v>
      </c>
      <c r="B5492" s="1" t="s">
        <v>5178</v>
      </c>
      <c r="C5492" s="1" t="s">
        <v>364</v>
      </c>
      <c r="D5492" s="1" t="s">
        <v>229</v>
      </c>
      <c r="E5492" s="1"/>
    </row>
    <row r="5493" spans="1:5" ht="16">
      <c r="A5493" s="1" t="s">
        <v>5139</v>
      </c>
      <c r="B5493" s="1" t="s">
        <v>5179</v>
      </c>
      <c r="C5493" s="1" t="s">
        <v>364</v>
      </c>
      <c r="D5493" s="1" t="s">
        <v>229</v>
      </c>
      <c r="E5493" s="1"/>
    </row>
    <row r="5494" spans="1:5" ht="16">
      <c r="A5494" s="1" t="s">
        <v>5139</v>
      </c>
      <c r="B5494" s="1" t="s">
        <v>5180</v>
      </c>
      <c r="C5494" s="1" t="s">
        <v>364</v>
      </c>
      <c r="D5494" s="1" t="s">
        <v>229</v>
      </c>
      <c r="E5494" s="1"/>
    </row>
    <row r="5495" spans="1:5" ht="16">
      <c r="A5495" s="1" t="s">
        <v>5139</v>
      </c>
      <c r="B5495" s="1" t="s">
        <v>5181</v>
      </c>
      <c r="C5495" s="1" t="s">
        <v>364</v>
      </c>
      <c r="D5495" s="1" t="s">
        <v>229</v>
      </c>
      <c r="E5495" s="1"/>
    </row>
    <row r="5496" spans="1:5" ht="16">
      <c r="A5496" s="1" t="s">
        <v>5139</v>
      </c>
      <c r="B5496" s="1" t="s">
        <v>5177</v>
      </c>
      <c r="C5496" s="1" t="s">
        <v>364</v>
      </c>
      <c r="D5496" s="1" t="s">
        <v>229</v>
      </c>
      <c r="E5496" s="1"/>
    </row>
    <row r="5497" spans="1:5" ht="16">
      <c r="A5497" s="1" t="s">
        <v>5139</v>
      </c>
      <c r="B5497" s="1" t="s">
        <v>5182</v>
      </c>
      <c r="C5497" s="1" t="s">
        <v>364</v>
      </c>
      <c r="D5497" s="1" t="s">
        <v>229</v>
      </c>
      <c r="E5497" s="1"/>
    </row>
    <row r="5498" spans="1:5" ht="16">
      <c r="A5498" s="1" t="s">
        <v>5139</v>
      </c>
      <c r="B5498" s="1" t="s">
        <v>5183</v>
      </c>
      <c r="C5498" s="1" t="s">
        <v>364</v>
      </c>
      <c r="D5498" s="1" t="s">
        <v>229</v>
      </c>
      <c r="E5498" s="1"/>
    </row>
    <row r="5499" spans="1:5" ht="16">
      <c r="A5499" s="1" t="s">
        <v>5139</v>
      </c>
      <c r="B5499" s="1" t="s">
        <v>5184</v>
      </c>
      <c r="C5499" s="1" t="s">
        <v>364</v>
      </c>
      <c r="D5499" s="1" t="s">
        <v>229</v>
      </c>
      <c r="E5499" s="1"/>
    </row>
    <row r="5500" spans="1:5" ht="16">
      <c r="A5500" s="1" t="s">
        <v>5139</v>
      </c>
      <c r="B5500" s="1" t="s">
        <v>5185</v>
      </c>
      <c r="C5500" s="1" t="s">
        <v>364</v>
      </c>
      <c r="D5500" s="1" t="s">
        <v>229</v>
      </c>
      <c r="E5500" s="1"/>
    </row>
    <row r="5501" spans="1:5" ht="16">
      <c r="A5501" s="1" t="s">
        <v>5139</v>
      </c>
      <c r="B5501" s="1" t="s">
        <v>5186</v>
      </c>
      <c r="C5501" s="1" t="s">
        <v>364</v>
      </c>
      <c r="D5501" s="1" t="s">
        <v>229</v>
      </c>
      <c r="E5501" s="1"/>
    </row>
    <row r="5502" spans="1:5" ht="16">
      <c r="A5502" s="1" t="s">
        <v>5187</v>
      </c>
      <c r="B5502" s="1" t="s">
        <v>5188</v>
      </c>
      <c r="C5502" s="1" t="s">
        <v>234</v>
      </c>
      <c r="D5502" s="1" t="s">
        <v>229</v>
      </c>
      <c r="E5502" s="1"/>
    </row>
    <row r="5503" spans="1:5" ht="16">
      <c r="A5503" s="1" t="s">
        <v>5187</v>
      </c>
      <c r="B5503" s="1" t="s">
        <v>5189</v>
      </c>
      <c r="C5503" s="1" t="s">
        <v>228</v>
      </c>
      <c r="D5503" s="1" t="s">
        <v>229</v>
      </c>
      <c r="E5503" s="1"/>
    </row>
    <row r="5504" spans="1:5" ht="16">
      <c r="A5504" s="1" t="s">
        <v>5187</v>
      </c>
      <c r="B5504" s="1" t="s">
        <v>5190</v>
      </c>
      <c r="C5504" s="1" t="s">
        <v>228</v>
      </c>
      <c r="D5504" s="1" t="s">
        <v>229</v>
      </c>
      <c r="E5504" s="1"/>
    </row>
    <row r="5505" spans="1:5" ht="16">
      <c r="A5505" s="1" t="s">
        <v>5187</v>
      </c>
      <c r="B5505" s="1" t="s">
        <v>5191</v>
      </c>
      <c r="C5505" s="1" t="s">
        <v>228</v>
      </c>
      <c r="D5505" s="1" t="s">
        <v>229</v>
      </c>
      <c r="E5505" s="1"/>
    </row>
    <row r="5506" spans="1:5" ht="16">
      <c r="A5506" s="1" t="s">
        <v>5187</v>
      </c>
      <c r="B5506" s="1" t="s">
        <v>5192</v>
      </c>
      <c r="C5506" s="1" t="s">
        <v>234</v>
      </c>
      <c r="D5506" s="1" t="s">
        <v>229</v>
      </c>
      <c r="E5506" s="1"/>
    </row>
    <row r="5507" spans="1:5" ht="16">
      <c r="A5507" s="1" t="s">
        <v>5187</v>
      </c>
      <c r="B5507" s="1" t="s">
        <v>5192</v>
      </c>
      <c r="C5507" s="1" t="s">
        <v>234</v>
      </c>
      <c r="D5507" s="1" t="s">
        <v>229</v>
      </c>
      <c r="E5507" s="1"/>
    </row>
    <row r="5508" spans="1:5" ht="16">
      <c r="A5508" s="1" t="s">
        <v>5187</v>
      </c>
      <c r="B5508" s="1" t="s">
        <v>5193</v>
      </c>
      <c r="C5508" s="1" t="s">
        <v>334</v>
      </c>
      <c r="D5508" s="1" t="s">
        <v>229</v>
      </c>
      <c r="E5508" s="1"/>
    </row>
    <row r="5509" spans="1:5" ht="16">
      <c r="A5509" s="1" t="s">
        <v>5187</v>
      </c>
      <c r="B5509" s="1" t="s">
        <v>5194</v>
      </c>
      <c r="C5509" s="1" t="s">
        <v>234</v>
      </c>
      <c r="D5509" s="1" t="s">
        <v>229</v>
      </c>
      <c r="E5509" s="1"/>
    </row>
    <row r="5510" spans="1:5" ht="16">
      <c r="A5510" s="1" t="s">
        <v>5187</v>
      </c>
      <c r="B5510" s="1" t="s">
        <v>5195</v>
      </c>
      <c r="C5510" s="1" t="s">
        <v>234</v>
      </c>
      <c r="D5510" s="1" t="s">
        <v>229</v>
      </c>
      <c r="E5510" s="1"/>
    </row>
    <row r="5511" spans="1:5" ht="16">
      <c r="A5511" s="1" t="s">
        <v>5187</v>
      </c>
      <c r="B5511" s="1" t="s">
        <v>5196</v>
      </c>
      <c r="C5511" s="1" t="s">
        <v>234</v>
      </c>
      <c r="D5511" s="1" t="s">
        <v>229</v>
      </c>
      <c r="E5511" s="1"/>
    </row>
    <row r="5512" spans="1:5" ht="16">
      <c r="A5512" s="1" t="s">
        <v>5187</v>
      </c>
      <c r="B5512" s="1" t="s">
        <v>5197</v>
      </c>
      <c r="C5512" s="1" t="s">
        <v>234</v>
      </c>
      <c r="D5512" s="1" t="s">
        <v>229</v>
      </c>
      <c r="E5512" s="1"/>
    </row>
    <row r="5513" spans="1:5" ht="16">
      <c r="A5513" s="1" t="s">
        <v>5187</v>
      </c>
      <c r="B5513" s="1" t="s">
        <v>5198</v>
      </c>
      <c r="C5513" s="1" t="s">
        <v>234</v>
      </c>
      <c r="D5513" s="1" t="s">
        <v>229</v>
      </c>
      <c r="E5513" s="1"/>
    </row>
    <row r="5514" spans="1:5" ht="16">
      <c r="A5514" s="1" t="s">
        <v>5187</v>
      </c>
      <c r="B5514" s="1" t="s">
        <v>5199</v>
      </c>
      <c r="C5514" s="1" t="s">
        <v>234</v>
      </c>
      <c r="D5514" s="1" t="s">
        <v>229</v>
      </c>
      <c r="E5514" s="1"/>
    </row>
    <row r="5515" spans="1:5" ht="16">
      <c r="A5515" s="1" t="s">
        <v>5187</v>
      </c>
      <c r="B5515" s="1" t="s">
        <v>5200</v>
      </c>
      <c r="C5515" s="1" t="s">
        <v>234</v>
      </c>
      <c r="D5515" s="1" t="s">
        <v>229</v>
      </c>
      <c r="E5515" s="1"/>
    </row>
    <row r="5516" spans="1:5" ht="16">
      <c r="A5516" s="1" t="s">
        <v>5187</v>
      </c>
      <c r="B5516" s="1" t="s">
        <v>5201</v>
      </c>
      <c r="C5516" s="1" t="s">
        <v>234</v>
      </c>
      <c r="D5516" s="1" t="s">
        <v>229</v>
      </c>
      <c r="E5516" s="1"/>
    </row>
    <row r="5517" spans="1:5" ht="16">
      <c r="A5517" s="1" t="s">
        <v>5187</v>
      </c>
      <c r="B5517" s="1" t="s">
        <v>5202</v>
      </c>
      <c r="C5517" s="1" t="s">
        <v>234</v>
      </c>
      <c r="D5517" s="1" t="s">
        <v>229</v>
      </c>
      <c r="E5517" s="1"/>
    </row>
    <row r="5518" spans="1:5" ht="16">
      <c r="A5518" s="1" t="s">
        <v>5187</v>
      </c>
      <c r="B5518" s="1" t="s">
        <v>5203</v>
      </c>
      <c r="C5518" s="1" t="s">
        <v>234</v>
      </c>
      <c r="D5518" s="1" t="s">
        <v>229</v>
      </c>
      <c r="E5518" s="1"/>
    </row>
    <row r="5519" spans="1:5" ht="16">
      <c r="A5519" s="1" t="s">
        <v>5187</v>
      </c>
      <c r="B5519" s="1" t="s">
        <v>5204</v>
      </c>
      <c r="C5519" s="1" t="s">
        <v>334</v>
      </c>
      <c r="D5519" s="1" t="s">
        <v>229</v>
      </c>
      <c r="E5519" s="1"/>
    </row>
    <row r="5520" spans="1:5" ht="16">
      <c r="A5520" s="1" t="s">
        <v>5187</v>
      </c>
      <c r="B5520" s="1" t="s">
        <v>5205</v>
      </c>
      <c r="C5520" s="1" t="s">
        <v>228</v>
      </c>
      <c r="D5520" s="1" t="s">
        <v>229</v>
      </c>
      <c r="E5520" s="1"/>
    </row>
    <row r="5521" spans="1:5" ht="16">
      <c r="A5521" s="1" t="s">
        <v>5187</v>
      </c>
      <c r="B5521" s="1" t="s">
        <v>5206</v>
      </c>
      <c r="C5521" s="1" t="s">
        <v>334</v>
      </c>
      <c r="D5521" s="1" t="s">
        <v>229</v>
      </c>
      <c r="E5521" s="1"/>
    </row>
    <row r="5522" spans="1:5" ht="16">
      <c r="A5522" s="1" t="s">
        <v>5187</v>
      </c>
      <c r="B5522" s="1" t="s">
        <v>5207</v>
      </c>
      <c r="C5522" s="1" t="s">
        <v>334</v>
      </c>
      <c r="D5522" s="1" t="s">
        <v>229</v>
      </c>
      <c r="E5522" s="1"/>
    </row>
    <row r="5523" spans="1:5" ht="16">
      <c r="A5523" s="1" t="s">
        <v>5187</v>
      </c>
      <c r="B5523" s="1" t="s">
        <v>5208</v>
      </c>
      <c r="C5523" s="1" t="s">
        <v>265</v>
      </c>
      <c r="D5523" s="1" t="s">
        <v>229</v>
      </c>
      <c r="E5523" s="1"/>
    </row>
    <row r="5524" spans="1:5" ht="16">
      <c r="A5524" s="1" t="s">
        <v>5187</v>
      </c>
      <c r="B5524" s="1" t="s">
        <v>5209</v>
      </c>
      <c r="C5524" s="1" t="s">
        <v>265</v>
      </c>
      <c r="D5524" s="1" t="s">
        <v>229</v>
      </c>
      <c r="E5524" s="1"/>
    </row>
    <row r="5525" spans="1:5" ht="16">
      <c r="A5525" s="1" t="s">
        <v>5187</v>
      </c>
      <c r="B5525" s="1" t="s">
        <v>5210</v>
      </c>
      <c r="C5525" s="1" t="s">
        <v>265</v>
      </c>
      <c r="D5525" s="1" t="s">
        <v>229</v>
      </c>
      <c r="E5525" s="1"/>
    </row>
    <row r="5526" spans="1:5" ht="16">
      <c r="A5526" s="1" t="s">
        <v>5187</v>
      </c>
      <c r="B5526" s="1" t="s">
        <v>5211</v>
      </c>
      <c r="C5526" s="1" t="s">
        <v>334</v>
      </c>
      <c r="D5526" s="1" t="s">
        <v>229</v>
      </c>
      <c r="E5526" s="1"/>
    </row>
    <row r="5527" spans="1:5" ht="16">
      <c r="A5527" s="1" t="s">
        <v>5212</v>
      </c>
      <c r="B5527" s="1" t="s">
        <v>5213</v>
      </c>
      <c r="C5527" s="1" t="s">
        <v>332</v>
      </c>
      <c r="D5527" s="1" t="s">
        <v>229</v>
      </c>
      <c r="E5527" s="1"/>
    </row>
    <row r="5528" spans="1:5" ht="16">
      <c r="A5528" s="1" t="s">
        <v>5212</v>
      </c>
      <c r="B5528" s="1" t="s">
        <v>1121</v>
      </c>
      <c r="C5528" s="1" t="s">
        <v>332</v>
      </c>
      <c r="D5528" s="1" t="s">
        <v>229</v>
      </c>
      <c r="E5528" s="1"/>
    </row>
    <row r="5529" spans="1:5" ht="16">
      <c r="A5529" s="1" t="s">
        <v>5212</v>
      </c>
      <c r="B5529" s="1" t="s">
        <v>1122</v>
      </c>
      <c r="C5529" s="1" t="s">
        <v>332</v>
      </c>
      <c r="D5529" s="1" t="s">
        <v>229</v>
      </c>
      <c r="E5529" s="1"/>
    </row>
    <row r="5530" spans="1:5" ht="16">
      <c r="A5530" s="1" t="s">
        <v>5212</v>
      </c>
      <c r="B5530" s="1" t="s">
        <v>1123</v>
      </c>
      <c r="C5530" s="1" t="s">
        <v>332</v>
      </c>
      <c r="D5530" s="1" t="s">
        <v>229</v>
      </c>
      <c r="E5530" s="1"/>
    </row>
    <row r="5531" spans="1:5" ht="16">
      <c r="A5531" s="1" t="s">
        <v>5212</v>
      </c>
      <c r="B5531" s="1" t="s">
        <v>1123</v>
      </c>
      <c r="C5531" s="1" t="s">
        <v>332</v>
      </c>
      <c r="D5531" s="1" t="s">
        <v>229</v>
      </c>
      <c r="E5531" s="1"/>
    </row>
    <row r="5532" spans="1:5" ht="16">
      <c r="A5532" s="1" t="s">
        <v>5212</v>
      </c>
      <c r="B5532" s="1" t="s">
        <v>5214</v>
      </c>
      <c r="C5532" s="1" t="s">
        <v>332</v>
      </c>
      <c r="D5532" s="1" t="s">
        <v>229</v>
      </c>
      <c r="E5532" s="1"/>
    </row>
    <row r="5533" spans="1:5" ht="16">
      <c r="A5533" s="1" t="s">
        <v>5212</v>
      </c>
      <c r="B5533" s="1" t="s">
        <v>5215</v>
      </c>
      <c r="C5533" s="1" t="s">
        <v>332</v>
      </c>
      <c r="D5533" s="1" t="s">
        <v>229</v>
      </c>
      <c r="E5533" s="1"/>
    </row>
    <row r="5534" spans="1:5" ht="16">
      <c r="A5534" s="1" t="s">
        <v>5212</v>
      </c>
      <c r="B5534" s="1" t="s">
        <v>5216</v>
      </c>
      <c r="C5534" s="1" t="s">
        <v>332</v>
      </c>
      <c r="D5534" s="1" t="s">
        <v>229</v>
      </c>
      <c r="E5534" s="1"/>
    </row>
    <row r="5535" spans="1:5" ht="16">
      <c r="A5535" s="1" t="s">
        <v>5212</v>
      </c>
      <c r="B5535" s="1" t="s">
        <v>5217</v>
      </c>
      <c r="C5535" s="1" t="s">
        <v>332</v>
      </c>
      <c r="D5535" s="1" t="s">
        <v>229</v>
      </c>
      <c r="E5535" s="1"/>
    </row>
    <row r="5536" spans="1:5" ht="16">
      <c r="A5536" s="1" t="s">
        <v>5212</v>
      </c>
      <c r="B5536" s="1" t="s">
        <v>5218</v>
      </c>
      <c r="C5536" s="1" t="s">
        <v>332</v>
      </c>
      <c r="D5536" s="1" t="s">
        <v>229</v>
      </c>
      <c r="E5536" s="1"/>
    </row>
    <row r="5537" spans="1:5" ht="16">
      <c r="A5537" s="1" t="s">
        <v>5212</v>
      </c>
      <c r="B5537" s="1" t="s">
        <v>5219</v>
      </c>
      <c r="C5537" s="1" t="s">
        <v>332</v>
      </c>
      <c r="D5537" s="1" t="s">
        <v>229</v>
      </c>
      <c r="E5537" s="1"/>
    </row>
    <row r="5538" spans="1:5" ht="16">
      <c r="A5538" s="1" t="s">
        <v>5212</v>
      </c>
      <c r="B5538" s="1" t="s">
        <v>5220</v>
      </c>
      <c r="C5538" s="1" t="s">
        <v>332</v>
      </c>
      <c r="D5538" s="1" t="s">
        <v>229</v>
      </c>
      <c r="E5538" s="1"/>
    </row>
    <row r="5539" spans="1:5" ht="16">
      <c r="A5539" s="1" t="s">
        <v>5212</v>
      </c>
      <c r="B5539" s="1" t="s">
        <v>5221</v>
      </c>
      <c r="C5539" s="1" t="s">
        <v>332</v>
      </c>
      <c r="D5539" s="1" t="s">
        <v>229</v>
      </c>
      <c r="E5539" s="1"/>
    </row>
    <row r="5540" spans="1:5" ht="16">
      <c r="A5540" s="1" t="s">
        <v>5212</v>
      </c>
      <c r="B5540" s="1" t="s">
        <v>1117</v>
      </c>
      <c r="C5540" s="1" t="s">
        <v>332</v>
      </c>
      <c r="D5540" s="1" t="s">
        <v>229</v>
      </c>
      <c r="E5540" s="1"/>
    </row>
    <row r="5541" spans="1:5" ht="16">
      <c r="A5541" s="1" t="s">
        <v>5212</v>
      </c>
      <c r="B5541" s="1" t="s">
        <v>1118</v>
      </c>
      <c r="C5541" s="1" t="s">
        <v>332</v>
      </c>
      <c r="D5541" s="1" t="s">
        <v>229</v>
      </c>
      <c r="E5541" s="1"/>
    </row>
    <row r="5542" spans="1:5" ht="16">
      <c r="A5542" s="1" t="s">
        <v>5212</v>
      </c>
      <c r="B5542" s="1" t="s">
        <v>1124</v>
      </c>
      <c r="C5542" s="1" t="s">
        <v>332</v>
      </c>
      <c r="D5542" s="1" t="s">
        <v>229</v>
      </c>
      <c r="E5542" s="1"/>
    </row>
    <row r="5543" spans="1:5" ht="16">
      <c r="A5543" s="1" t="s">
        <v>5212</v>
      </c>
      <c r="B5543" s="1" t="s">
        <v>1119</v>
      </c>
      <c r="C5543" s="1" t="s">
        <v>332</v>
      </c>
      <c r="D5543" s="1" t="s">
        <v>229</v>
      </c>
      <c r="E5543" s="1"/>
    </row>
    <row r="5544" spans="1:5" ht="16">
      <c r="A5544" s="1" t="s">
        <v>5212</v>
      </c>
      <c r="B5544" s="1" t="s">
        <v>1120</v>
      </c>
      <c r="C5544" s="1" t="s">
        <v>332</v>
      </c>
      <c r="D5544" s="1" t="s">
        <v>229</v>
      </c>
      <c r="E5544" s="1"/>
    </row>
    <row r="5545" spans="1:5" ht="16">
      <c r="A5545" s="1" t="s">
        <v>5212</v>
      </c>
      <c r="B5545" s="1" t="s">
        <v>5222</v>
      </c>
      <c r="C5545" s="1" t="s">
        <v>332</v>
      </c>
      <c r="D5545" s="1" t="s">
        <v>229</v>
      </c>
      <c r="E5545" s="1"/>
    </row>
    <row r="5546" spans="1:5" ht="16">
      <c r="A5546" s="1" t="s">
        <v>5212</v>
      </c>
      <c r="B5546" s="1" t="s">
        <v>5223</v>
      </c>
      <c r="C5546" s="1" t="s">
        <v>332</v>
      </c>
      <c r="D5546" s="1" t="s">
        <v>229</v>
      </c>
      <c r="E5546" s="1"/>
    </row>
    <row r="5547" spans="1:5" ht="16">
      <c r="A5547" s="1" t="s">
        <v>5212</v>
      </c>
      <c r="B5547" s="1" t="s">
        <v>5224</v>
      </c>
      <c r="C5547" s="1" t="s">
        <v>332</v>
      </c>
      <c r="D5547" s="1" t="s">
        <v>229</v>
      </c>
      <c r="E5547" s="1"/>
    </row>
    <row r="5548" spans="1:5" ht="16">
      <c r="A5548" s="1" t="s">
        <v>5212</v>
      </c>
      <c r="B5548" s="1" t="s">
        <v>5225</v>
      </c>
      <c r="C5548" s="1" t="s">
        <v>332</v>
      </c>
      <c r="D5548" s="1" t="s">
        <v>229</v>
      </c>
      <c r="E5548" s="1"/>
    </row>
    <row r="5549" spans="1:5" ht="16">
      <c r="A5549" s="1" t="s">
        <v>5212</v>
      </c>
      <c r="B5549" s="1" t="s">
        <v>5226</v>
      </c>
      <c r="C5549" s="1" t="s">
        <v>332</v>
      </c>
      <c r="D5549" s="1" t="s">
        <v>229</v>
      </c>
      <c r="E5549" s="1"/>
    </row>
    <row r="5550" spans="1:5" ht="16">
      <c r="A5550" s="1" t="s">
        <v>5212</v>
      </c>
      <c r="B5550" s="1" t="s">
        <v>5227</v>
      </c>
      <c r="C5550" s="1" t="s">
        <v>332</v>
      </c>
      <c r="D5550" s="1" t="s">
        <v>229</v>
      </c>
      <c r="E5550" s="1"/>
    </row>
    <row r="5551" spans="1:5" ht="16">
      <c r="A5551" s="1" t="s">
        <v>5212</v>
      </c>
      <c r="B5551" s="1" t="s">
        <v>5228</v>
      </c>
      <c r="C5551" s="1" t="s">
        <v>332</v>
      </c>
      <c r="D5551" s="1" t="s">
        <v>229</v>
      </c>
      <c r="E5551" s="1"/>
    </row>
    <row r="5552" spans="1:5" ht="16">
      <c r="A5552" s="1" t="s">
        <v>5212</v>
      </c>
      <c r="B5552" s="1" t="s">
        <v>5229</v>
      </c>
      <c r="C5552" s="1" t="s">
        <v>332</v>
      </c>
      <c r="D5552" s="1" t="s">
        <v>229</v>
      </c>
      <c r="E5552" s="1"/>
    </row>
    <row r="5553" spans="1:5" ht="16">
      <c r="A5553" s="1" t="s">
        <v>5212</v>
      </c>
      <c r="B5553" s="1" t="s">
        <v>5230</v>
      </c>
      <c r="C5553" s="1" t="s">
        <v>332</v>
      </c>
      <c r="D5553" s="1" t="s">
        <v>229</v>
      </c>
      <c r="E5553" s="1"/>
    </row>
    <row r="5554" spans="1:5" ht="16">
      <c r="A5554" s="1" t="s">
        <v>5212</v>
      </c>
      <c r="B5554" s="1" t="s">
        <v>5231</v>
      </c>
      <c r="C5554" s="1" t="s">
        <v>332</v>
      </c>
      <c r="D5554" s="1" t="s">
        <v>229</v>
      </c>
      <c r="E5554" s="1"/>
    </row>
    <row r="5555" spans="1:5" ht="16">
      <c r="A5555" s="1" t="s">
        <v>5212</v>
      </c>
      <c r="B5555" s="1" t="s">
        <v>5232</v>
      </c>
      <c r="C5555" s="1" t="s">
        <v>332</v>
      </c>
      <c r="D5555" s="1" t="s">
        <v>229</v>
      </c>
      <c r="E5555" s="1"/>
    </row>
    <row r="5556" spans="1:5" ht="16">
      <c r="A5556" s="1" t="s">
        <v>5212</v>
      </c>
      <c r="B5556" s="1" t="s">
        <v>5233</v>
      </c>
      <c r="C5556" s="1" t="s">
        <v>332</v>
      </c>
      <c r="D5556" s="1" t="s">
        <v>229</v>
      </c>
      <c r="E5556" s="1"/>
    </row>
    <row r="5557" spans="1:5" ht="16">
      <c r="A5557" s="1" t="s">
        <v>5212</v>
      </c>
      <c r="B5557" s="1" t="s">
        <v>5234</v>
      </c>
      <c r="C5557" s="1" t="s">
        <v>332</v>
      </c>
      <c r="D5557" s="1" t="s">
        <v>229</v>
      </c>
      <c r="E5557" s="1"/>
    </row>
    <row r="5558" spans="1:5" ht="16">
      <c r="A5558" s="1" t="s">
        <v>5212</v>
      </c>
      <c r="B5558" s="1" t="s">
        <v>5235</v>
      </c>
      <c r="C5558" s="1" t="s">
        <v>332</v>
      </c>
      <c r="D5558" s="1" t="s">
        <v>229</v>
      </c>
      <c r="E5558" s="1"/>
    </row>
    <row r="5559" spans="1:5" ht="16">
      <c r="A5559" s="1" t="s">
        <v>5212</v>
      </c>
      <c r="B5559" s="1" t="s">
        <v>5236</v>
      </c>
      <c r="C5559" s="1" t="s">
        <v>332</v>
      </c>
      <c r="D5559" s="1" t="s">
        <v>229</v>
      </c>
      <c r="E5559" s="1"/>
    </row>
    <row r="5560" spans="1:5" ht="16">
      <c r="A5560" s="1" t="s">
        <v>5212</v>
      </c>
      <c r="B5560" s="1" t="s">
        <v>5237</v>
      </c>
      <c r="C5560" s="1" t="s">
        <v>332</v>
      </c>
      <c r="D5560" s="1" t="s">
        <v>229</v>
      </c>
      <c r="E5560" s="1"/>
    </row>
    <row r="5561" spans="1:5" ht="16">
      <c r="A5561" s="1" t="s">
        <v>5212</v>
      </c>
      <c r="B5561" s="1" t="s">
        <v>5238</v>
      </c>
      <c r="C5561" s="1" t="s">
        <v>332</v>
      </c>
      <c r="D5561" s="1" t="s">
        <v>229</v>
      </c>
      <c r="E5561" s="1"/>
    </row>
    <row r="5562" spans="1:5" ht="16">
      <c r="A5562" s="1" t="s">
        <v>5212</v>
      </c>
      <c r="B5562" s="1" t="s">
        <v>5239</v>
      </c>
      <c r="C5562" s="1" t="s">
        <v>332</v>
      </c>
      <c r="D5562" s="1" t="s">
        <v>229</v>
      </c>
      <c r="E5562" s="1"/>
    </row>
    <row r="5563" spans="1:5" ht="16">
      <c r="A5563" s="1" t="s">
        <v>5212</v>
      </c>
      <c r="B5563" s="1" t="s">
        <v>5240</v>
      </c>
      <c r="C5563" s="1" t="s">
        <v>332</v>
      </c>
      <c r="D5563" s="1" t="s">
        <v>229</v>
      </c>
      <c r="E5563" s="1"/>
    </row>
    <row r="5564" spans="1:5" ht="16">
      <c r="A5564" s="1" t="s">
        <v>5212</v>
      </c>
      <c r="B5564" s="1" t="s">
        <v>5241</v>
      </c>
      <c r="C5564" s="1" t="s">
        <v>332</v>
      </c>
      <c r="D5564" s="1" t="s">
        <v>229</v>
      </c>
      <c r="E5564" s="1"/>
    </row>
    <row r="5565" spans="1:5" ht="16">
      <c r="A5565" s="1" t="s">
        <v>5212</v>
      </c>
      <c r="B5565" s="1" t="s">
        <v>5242</v>
      </c>
      <c r="C5565" s="1" t="s">
        <v>332</v>
      </c>
      <c r="D5565" s="1" t="s">
        <v>229</v>
      </c>
      <c r="E5565" s="1"/>
    </row>
    <row r="5566" spans="1:5" ht="16">
      <c r="A5566" s="1" t="s">
        <v>5212</v>
      </c>
      <c r="B5566" s="1" t="s">
        <v>5243</v>
      </c>
      <c r="C5566" s="1" t="s">
        <v>332</v>
      </c>
      <c r="D5566" s="1" t="s">
        <v>229</v>
      </c>
      <c r="E5566" s="1"/>
    </row>
    <row r="5567" spans="1:5" ht="16">
      <c r="A5567" s="1" t="s">
        <v>5212</v>
      </c>
      <c r="B5567" s="1" t="s">
        <v>5244</v>
      </c>
      <c r="C5567" s="1" t="s">
        <v>332</v>
      </c>
      <c r="D5567" s="1" t="s">
        <v>229</v>
      </c>
      <c r="E5567" s="1"/>
    </row>
    <row r="5568" spans="1:5" ht="16">
      <c r="A5568" s="1" t="s">
        <v>5212</v>
      </c>
      <c r="B5568" s="1" t="s">
        <v>5245</v>
      </c>
      <c r="C5568" s="1" t="s">
        <v>332</v>
      </c>
      <c r="D5568" s="1" t="s">
        <v>229</v>
      </c>
      <c r="E5568" s="1"/>
    </row>
    <row r="5569" spans="1:5" ht="16">
      <c r="A5569" s="1" t="s">
        <v>5212</v>
      </c>
      <c r="B5569" s="1" t="s">
        <v>5246</v>
      </c>
      <c r="C5569" s="1" t="s">
        <v>332</v>
      </c>
      <c r="D5569" s="1" t="s">
        <v>229</v>
      </c>
      <c r="E5569" s="1"/>
    </row>
    <row r="5570" spans="1:5" ht="16">
      <c r="A5570" s="1" t="s">
        <v>5212</v>
      </c>
      <c r="B5570" s="1" t="s">
        <v>5247</v>
      </c>
      <c r="C5570" s="1" t="s">
        <v>332</v>
      </c>
      <c r="D5570" s="1" t="s">
        <v>229</v>
      </c>
      <c r="E5570" s="1"/>
    </row>
    <row r="5571" spans="1:5" ht="16">
      <c r="A5571" s="1" t="s">
        <v>5212</v>
      </c>
      <c r="B5571" s="1" t="s">
        <v>5248</v>
      </c>
      <c r="C5571" s="1" t="s">
        <v>332</v>
      </c>
      <c r="D5571" s="1" t="s">
        <v>229</v>
      </c>
      <c r="E5571" s="1"/>
    </row>
    <row r="5572" spans="1:5" ht="16">
      <c r="A5572" s="1" t="s">
        <v>5212</v>
      </c>
      <c r="B5572" s="1" t="s">
        <v>5249</v>
      </c>
      <c r="C5572" s="1" t="s">
        <v>332</v>
      </c>
      <c r="D5572" s="1" t="s">
        <v>229</v>
      </c>
      <c r="E5572" s="1"/>
    </row>
    <row r="5573" spans="1:5" ht="16">
      <c r="A5573" s="1" t="s">
        <v>5212</v>
      </c>
      <c r="B5573" s="1" t="s">
        <v>5250</v>
      </c>
      <c r="C5573" s="1" t="s">
        <v>332</v>
      </c>
      <c r="D5573" s="1" t="s">
        <v>229</v>
      </c>
      <c r="E5573" s="1"/>
    </row>
    <row r="5574" spans="1:5" ht="16">
      <c r="A5574" s="1" t="s">
        <v>5212</v>
      </c>
      <c r="B5574" s="1" t="s">
        <v>5251</v>
      </c>
      <c r="C5574" s="1" t="s">
        <v>332</v>
      </c>
      <c r="D5574" s="1" t="s">
        <v>229</v>
      </c>
      <c r="E5574" s="1"/>
    </row>
    <row r="5575" spans="1:5" ht="16">
      <c r="A5575" s="1" t="s">
        <v>5212</v>
      </c>
      <c r="B5575" s="1" t="s">
        <v>5252</v>
      </c>
      <c r="C5575" s="1" t="s">
        <v>332</v>
      </c>
      <c r="D5575" s="1" t="s">
        <v>229</v>
      </c>
      <c r="E5575" s="1"/>
    </row>
    <row r="5576" spans="1:5" ht="16">
      <c r="A5576" s="1" t="s">
        <v>5212</v>
      </c>
      <c r="B5576" s="1" t="s">
        <v>5253</v>
      </c>
      <c r="C5576" s="1" t="s">
        <v>332</v>
      </c>
      <c r="D5576" s="1" t="s">
        <v>229</v>
      </c>
      <c r="E5576" s="1"/>
    </row>
    <row r="5577" spans="1:5" ht="16">
      <c r="A5577" s="1" t="s">
        <v>5212</v>
      </c>
      <c r="B5577" s="1" t="s">
        <v>5254</v>
      </c>
      <c r="C5577" s="1" t="s">
        <v>332</v>
      </c>
      <c r="D5577" s="1" t="s">
        <v>229</v>
      </c>
      <c r="E5577" s="1"/>
    </row>
    <row r="5578" spans="1:5" ht="16">
      <c r="A5578" s="1" t="s">
        <v>5212</v>
      </c>
      <c r="B5578" s="1" t="s">
        <v>5255</v>
      </c>
      <c r="C5578" s="1" t="s">
        <v>332</v>
      </c>
      <c r="D5578" s="1" t="s">
        <v>229</v>
      </c>
      <c r="E5578" s="1"/>
    </row>
    <row r="5579" spans="1:5" ht="16">
      <c r="A5579" s="1" t="s">
        <v>5212</v>
      </c>
      <c r="B5579" s="1" t="s">
        <v>5256</v>
      </c>
      <c r="C5579" s="1" t="s">
        <v>332</v>
      </c>
      <c r="D5579" s="1" t="s">
        <v>229</v>
      </c>
      <c r="E5579" s="1"/>
    </row>
    <row r="5580" spans="1:5" ht="16">
      <c r="A5580" s="1" t="s">
        <v>5212</v>
      </c>
      <c r="B5580" s="1" t="s">
        <v>5257</v>
      </c>
      <c r="C5580" s="1" t="s">
        <v>332</v>
      </c>
      <c r="D5580" s="1" t="s">
        <v>229</v>
      </c>
      <c r="E5580" s="1"/>
    </row>
    <row r="5581" spans="1:5" ht="16">
      <c r="A5581" s="1" t="s">
        <v>5212</v>
      </c>
      <c r="B5581" s="1" t="s">
        <v>5258</v>
      </c>
      <c r="C5581" s="1" t="s">
        <v>332</v>
      </c>
      <c r="D5581" s="1" t="s">
        <v>229</v>
      </c>
      <c r="E5581" s="1"/>
    </row>
    <row r="5582" spans="1:5" ht="16">
      <c r="A5582" s="1" t="s">
        <v>5212</v>
      </c>
      <c r="B5582" s="1" t="s">
        <v>5259</v>
      </c>
      <c r="C5582" s="1" t="s">
        <v>332</v>
      </c>
      <c r="D5582" s="1" t="s">
        <v>229</v>
      </c>
      <c r="E5582" s="1"/>
    </row>
    <row r="5583" spans="1:5" ht="16">
      <c r="A5583" s="1" t="s">
        <v>5212</v>
      </c>
      <c r="B5583" s="1" t="s">
        <v>5260</v>
      </c>
      <c r="C5583" s="1" t="s">
        <v>332</v>
      </c>
      <c r="D5583" s="1" t="s">
        <v>229</v>
      </c>
      <c r="E5583" s="1"/>
    </row>
    <row r="5584" spans="1:5" ht="16">
      <c r="A5584" s="1" t="s">
        <v>5212</v>
      </c>
      <c r="B5584" s="1" t="s">
        <v>5261</v>
      </c>
      <c r="C5584" s="1" t="s">
        <v>332</v>
      </c>
      <c r="D5584" s="1" t="s">
        <v>229</v>
      </c>
      <c r="E5584" s="1"/>
    </row>
    <row r="5585" spans="1:5" ht="16">
      <c r="A5585" s="1" t="s">
        <v>5212</v>
      </c>
      <c r="B5585" s="1" t="s">
        <v>5262</v>
      </c>
      <c r="C5585" s="1" t="s">
        <v>332</v>
      </c>
      <c r="D5585" s="1" t="s">
        <v>229</v>
      </c>
      <c r="E5585" s="1"/>
    </row>
    <row r="5586" spans="1:5" ht="16">
      <c r="A5586" s="1" t="s">
        <v>5212</v>
      </c>
      <c r="B5586" s="1" t="s">
        <v>5263</v>
      </c>
      <c r="C5586" s="1" t="s">
        <v>332</v>
      </c>
      <c r="D5586" s="1" t="s">
        <v>229</v>
      </c>
      <c r="E5586" s="1"/>
    </row>
    <row r="5587" spans="1:5" ht="16">
      <c r="A5587" s="1" t="s">
        <v>5212</v>
      </c>
      <c r="B5587" s="1" t="s">
        <v>5264</v>
      </c>
      <c r="C5587" s="1" t="s">
        <v>332</v>
      </c>
      <c r="D5587" s="1" t="s">
        <v>229</v>
      </c>
      <c r="E5587" s="1"/>
    </row>
    <row r="5588" spans="1:5" ht="16">
      <c r="A5588" s="1" t="s">
        <v>5212</v>
      </c>
      <c r="B5588" s="1" t="s">
        <v>5256</v>
      </c>
      <c r="C5588" s="1" t="s">
        <v>332</v>
      </c>
      <c r="D5588" s="1" t="s">
        <v>229</v>
      </c>
      <c r="E5588" s="1"/>
    </row>
    <row r="5589" spans="1:5" ht="16">
      <c r="A5589" s="1" t="s">
        <v>5212</v>
      </c>
      <c r="B5589" s="1" t="s">
        <v>5261</v>
      </c>
      <c r="C5589" s="1" t="s">
        <v>332</v>
      </c>
      <c r="D5589" s="1" t="s">
        <v>229</v>
      </c>
      <c r="E5589" s="1"/>
    </row>
    <row r="5590" spans="1:5" ht="16">
      <c r="A5590" s="1" t="s">
        <v>5212</v>
      </c>
      <c r="B5590" s="1" t="s">
        <v>5262</v>
      </c>
      <c r="C5590" s="1" t="s">
        <v>332</v>
      </c>
      <c r="D5590" s="1" t="s">
        <v>229</v>
      </c>
      <c r="E5590" s="1"/>
    </row>
    <row r="5591" spans="1:5" ht="16">
      <c r="A5591" s="1" t="s">
        <v>5212</v>
      </c>
      <c r="B5591" s="1" t="s">
        <v>5263</v>
      </c>
      <c r="C5591" s="1" t="s">
        <v>332</v>
      </c>
      <c r="D5591" s="1" t="s">
        <v>229</v>
      </c>
      <c r="E5591" s="1"/>
    </row>
    <row r="5592" spans="1:5" ht="16">
      <c r="A5592" s="1" t="s">
        <v>5212</v>
      </c>
      <c r="B5592" s="1" t="s">
        <v>5264</v>
      </c>
      <c r="C5592" s="1" t="s">
        <v>332</v>
      </c>
      <c r="D5592" s="1" t="s">
        <v>229</v>
      </c>
      <c r="E5592" s="1"/>
    </row>
    <row r="5593" spans="1:5" ht="16">
      <c r="A5593" s="1" t="s">
        <v>5212</v>
      </c>
      <c r="B5593" s="1" t="s">
        <v>5265</v>
      </c>
      <c r="C5593" s="1" t="s">
        <v>332</v>
      </c>
      <c r="D5593" s="1" t="s">
        <v>229</v>
      </c>
      <c r="E5593" s="1"/>
    </row>
    <row r="5594" spans="1:5" ht="16">
      <c r="A5594" s="1" t="s">
        <v>5212</v>
      </c>
      <c r="B5594" s="1" t="s">
        <v>5266</v>
      </c>
      <c r="C5594" s="1" t="s">
        <v>332</v>
      </c>
      <c r="D5594" s="1" t="s">
        <v>229</v>
      </c>
      <c r="E5594" s="1"/>
    </row>
    <row r="5595" spans="1:5" ht="16">
      <c r="A5595" s="1" t="s">
        <v>5212</v>
      </c>
      <c r="B5595" s="1" t="s">
        <v>5267</v>
      </c>
      <c r="C5595" s="1" t="s">
        <v>332</v>
      </c>
      <c r="D5595" s="1" t="s">
        <v>229</v>
      </c>
      <c r="E5595" s="1"/>
    </row>
    <row r="5596" spans="1:5" ht="16">
      <c r="A5596" s="1" t="s">
        <v>5212</v>
      </c>
      <c r="B5596" s="1" t="s">
        <v>5268</v>
      </c>
      <c r="C5596" s="1" t="s">
        <v>332</v>
      </c>
      <c r="D5596" s="1" t="s">
        <v>229</v>
      </c>
      <c r="E5596" s="1"/>
    </row>
    <row r="5597" spans="1:5" ht="16">
      <c r="A5597" s="1" t="s">
        <v>5212</v>
      </c>
      <c r="B5597" s="1" t="s">
        <v>5269</v>
      </c>
      <c r="C5597" s="1" t="s">
        <v>332</v>
      </c>
      <c r="D5597" s="1" t="s">
        <v>229</v>
      </c>
      <c r="E5597" s="1"/>
    </row>
    <row r="5598" spans="1:5" ht="16">
      <c r="A5598" s="1" t="s">
        <v>5212</v>
      </c>
      <c r="B5598" s="1" t="s">
        <v>5270</v>
      </c>
      <c r="C5598" s="1" t="s">
        <v>332</v>
      </c>
      <c r="D5598" s="1" t="s">
        <v>229</v>
      </c>
      <c r="E5598" s="1"/>
    </row>
    <row r="5599" spans="1:5" ht="16">
      <c r="A5599" s="1" t="s">
        <v>5212</v>
      </c>
      <c r="B5599" s="1" t="s">
        <v>5271</v>
      </c>
      <c r="C5599" s="1" t="s">
        <v>332</v>
      </c>
      <c r="D5599" s="1" t="s">
        <v>229</v>
      </c>
      <c r="E5599" s="1"/>
    </row>
    <row r="5600" spans="1:5" ht="16">
      <c r="A5600" s="1" t="s">
        <v>5212</v>
      </c>
      <c r="B5600" s="1" t="s">
        <v>5272</v>
      </c>
      <c r="C5600" s="1" t="s">
        <v>332</v>
      </c>
      <c r="D5600" s="1" t="s">
        <v>229</v>
      </c>
      <c r="E5600" s="1"/>
    </row>
    <row r="5601" spans="1:5" ht="16">
      <c r="A5601" s="1" t="s">
        <v>5212</v>
      </c>
      <c r="B5601" s="1" t="s">
        <v>5273</v>
      </c>
      <c r="C5601" s="1" t="s">
        <v>332</v>
      </c>
      <c r="D5601" s="1" t="s">
        <v>229</v>
      </c>
      <c r="E5601" s="1"/>
    </row>
    <row r="5602" spans="1:5" ht="16">
      <c r="A5602" s="1" t="s">
        <v>5212</v>
      </c>
      <c r="B5602" s="1" t="s">
        <v>5274</v>
      </c>
      <c r="C5602" s="1" t="s">
        <v>332</v>
      </c>
      <c r="D5602" s="1" t="s">
        <v>229</v>
      </c>
      <c r="E5602" s="1"/>
    </row>
    <row r="5603" spans="1:5" ht="16">
      <c r="A5603" s="1" t="s">
        <v>5212</v>
      </c>
      <c r="B5603" s="1" t="s">
        <v>5275</v>
      </c>
      <c r="C5603" s="1" t="s">
        <v>332</v>
      </c>
      <c r="D5603" s="1" t="s">
        <v>229</v>
      </c>
      <c r="E5603" s="1"/>
    </row>
    <row r="5604" spans="1:5" ht="16">
      <c r="A5604" s="1" t="s">
        <v>5212</v>
      </c>
      <c r="B5604" s="1" t="s">
        <v>5276</v>
      </c>
      <c r="C5604" s="1" t="s">
        <v>332</v>
      </c>
      <c r="D5604" s="1" t="s">
        <v>229</v>
      </c>
      <c r="E5604" s="1"/>
    </row>
    <row r="5605" spans="1:5" ht="16">
      <c r="A5605" s="1" t="s">
        <v>5212</v>
      </c>
      <c r="B5605" s="1" t="s">
        <v>5277</v>
      </c>
      <c r="C5605" s="1" t="s">
        <v>332</v>
      </c>
      <c r="D5605" s="1" t="s">
        <v>229</v>
      </c>
      <c r="E5605" s="1"/>
    </row>
    <row r="5606" spans="1:5" ht="16">
      <c r="A5606" s="1" t="s">
        <v>5212</v>
      </c>
      <c r="B5606" s="1" t="s">
        <v>5278</v>
      </c>
      <c r="C5606" s="1" t="s">
        <v>332</v>
      </c>
      <c r="D5606" s="1" t="s">
        <v>229</v>
      </c>
      <c r="E5606" s="1"/>
    </row>
    <row r="5607" spans="1:5" ht="16">
      <c r="A5607" s="1" t="s">
        <v>5212</v>
      </c>
      <c r="B5607" s="1" t="s">
        <v>5279</v>
      </c>
      <c r="C5607" s="1" t="s">
        <v>332</v>
      </c>
      <c r="D5607" s="1" t="s">
        <v>229</v>
      </c>
      <c r="E5607" s="1"/>
    </row>
    <row r="5608" spans="1:5" ht="16">
      <c r="A5608" s="1" t="s">
        <v>5212</v>
      </c>
      <c r="B5608" s="1" t="s">
        <v>5280</v>
      </c>
      <c r="C5608" s="1" t="s">
        <v>332</v>
      </c>
      <c r="D5608" s="1" t="s">
        <v>229</v>
      </c>
      <c r="E5608" s="1"/>
    </row>
    <row r="5609" spans="1:5" ht="16">
      <c r="A5609" s="1" t="s">
        <v>5212</v>
      </c>
      <c r="B5609" s="1" t="s">
        <v>5281</v>
      </c>
      <c r="C5609" s="1" t="s">
        <v>332</v>
      </c>
      <c r="D5609" s="1" t="s">
        <v>229</v>
      </c>
      <c r="E5609" s="1"/>
    </row>
    <row r="5610" spans="1:5" ht="16">
      <c r="A5610" s="1" t="s">
        <v>5212</v>
      </c>
      <c r="B5610" s="1" t="s">
        <v>5282</v>
      </c>
      <c r="C5610" s="1" t="s">
        <v>332</v>
      </c>
      <c r="D5610" s="1" t="s">
        <v>229</v>
      </c>
      <c r="E5610" s="1"/>
    </row>
    <row r="5611" spans="1:5" ht="16">
      <c r="A5611" s="1" t="s">
        <v>5212</v>
      </c>
      <c r="B5611" s="1" t="s">
        <v>5283</v>
      </c>
      <c r="C5611" s="1" t="s">
        <v>332</v>
      </c>
      <c r="D5611" s="1" t="s">
        <v>229</v>
      </c>
      <c r="E5611" s="1"/>
    </row>
    <row r="5612" spans="1:5" ht="16">
      <c r="A5612" s="1" t="s">
        <v>5212</v>
      </c>
      <c r="B5612" s="1" t="s">
        <v>5284</v>
      </c>
      <c r="C5612" s="1" t="s">
        <v>332</v>
      </c>
      <c r="D5612" s="1" t="s">
        <v>229</v>
      </c>
      <c r="E5612" s="1"/>
    </row>
    <row r="5613" spans="1:5" ht="16">
      <c r="A5613" s="1" t="s">
        <v>5212</v>
      </c>
      <c r="B5613" s="1" t="s">
        <v>5285</v>
      </c>
      <c r="C5613" s="1" t="s">
        <v>332</v>
      </c>
      <c r="D5613" s="1" t="s">
        <v>229</v>
      </c>
      <c r="E5613" s="1"/>
    </row>
    <row r="5614" spans="1:5" ht="16">
      <c r="A5614" s="1" t="s">
        <v>5212</v>
      </c>
      <c r="B5614" s="1" t="s">
        <v>5286</v>
      </c>
      <c r="C5614" s="1" t="s">
        <v>332</v>
      </c>
      <c r="D5614" s="1" t="s">
        <v>229</v>
      </c>
      <c r="E5614" s="1"/>
    </row>
    <row r="5615" spans="1:5" ht="16">
      <c r="A5615" s="1" t="s">
        <v>5212</v>
      </c>
      <c r="B5615" s="1" t="s">
        <v>5287</v>
      </c>
      <c r="C5615" s="1" t="s">
        <v>332</v>
      </c>
      <c r="D5615" s="1" t="s">
        <v>229</v>
      </c>
      <c r="E5615" s="1"/>
    </row>
    <row r="5616" spans="1:5" ht="16">
      <c r="A5616" s="1" t="s">
        <v>5212</v>
      </c>
      <c r="B5616" s="1" t="s">
        <v>5288</v>
      </c>
      <c r="C5616" s="1" t="s">
        <v>332</v>
      </c>
      <c r="D5616" s="1" t="s">
        <v>229</v>
      </c>
      <c r="E5616" s="1"/>
    </row>
    <row r="5617" spans="1:5" ht="16">
      <c r="A5617" s="1" t="s">
        <v>5212</v>
      </c>
      <c r="B5617" s="1" t="s">
        <v>5289</v>
      </c>
      <c r="C5617" s="1" t="s">
        <v>332</v>
      </c>
      <c r="D5617" s="1" t="s">
        <v>229</v>
      </c>
      <c r="E5617" s="1"/>
    </row>
    <row r="5618" spans="1:5" ht="16">
      <c r="A5618" s="1" t="s">
        <v>5212</v>
      </c>
      <c r="B5618" s="1" t="s">
        <v>5290</v>
      </c>
      <c r="C5618" s="1" t="s">
        <v>332</v>
      </c>
      <c r="D5618" s="1" t="s">
        <v>229</v>
      </c>
      <c r="E5618" s="1"/>
    </row>
    <row r="5619" spans="1:5" ht="16">
      <c r="A5619" s="1" t="s">
        <v>5212</v>
      </c>
      <c r="B5619" s="1" t="s">
        <v>5291</v>
      </c>
      <c r="C5619" s="1" t="s">
        <v>332</v>
      </c>
      <c r="D5619" s="1" t="s">
        <v>229</v>
      </c>
      <c r="E5619" s="1"/>
    </row>
    <row r="5620" spans="1:5" ht="16">
      <c r="A5620" s="1" t="s">
        <v>5212</v>
      </c>
      <c r="B5620" s="1" t="s">
        <v>5292</v>
      </c>
      <c r="C5620" s="1" t="s">
        <v>332</v>
      </c>
      <c r="D5620" s="1" t="s">
        <v>229</v>
      </c>
      <c r="E5620" s="1"/>
    </row>
    <row r="5621" spans="1:5" ht="16">
      <c r="A5621" s="1" t="s">
        <v>5212</v>
      </c>
      <c r="B5621" s="1" t="s">
        <v>5293</v>
      </c>
      <c r="C5621" s="1" t="s">
        <v>332</v>
      </c>
      <c r="D5621" s="1" t="s">
        <v>229</v>
      </c>
      <c r="E5621" s="1"/>
    </row>
    <row r="5622" spans="1:5" ht="16">
      <c r="A5622" s="1" t="s">
        <v>5212</v>
      </c>
      <c r="B5622" s="1" t="s">
        <v>5294</v>
      </c>
      <c r="C5622" s="1" t="s">
        <v>332</v>
      </c>
      <c r="D5622" s="1" t="s">
        <v>229</v>
      </c>
      <c r="E5622" s="1"/>
    </row>
    <row r="5623" spans="1:5" ht="16">
      <c r="A5623" s="1" t="s">
        <v>5212</v>
      </c>
      <c r="B5623" s="1" t="s">
        <v>5295</v>
      </c>
      <c r="C5623" s="1" t="s">
        <v>332</v>
      </c>
      <c r="D5623" s="1" t="s">
        <v>229</v>
      </c>
      <c r="E5623" s="1"/>
    </row>
    <row r="5624" spans="1:5" ht="16">
      <c r="A5624" s="1" t="s">
        <v>5212</v>
      </c>
      <c r="B5624" s="1" t="s">
        <v>5296</v>
      </c>
      <c r="C5624" s="1" t="s">
        <v>332</v>
      </c>
      <c r="D5624" s="1" t="s">
        <v>229</v>
      </c>
      <c r="E5624" s="1"/>
    </row>
    <row r="5625" spans="1:5" ht="16">
      <c r="A5625" s="1" t="s">
        <v>5212</v>
      </c>
      <c r="B5625" s="1" t="s">
        <v>5297</v>
      </c>
      <c r="C5625" s="1" t="s">
        <v>332</v>
      </c>
      <c r="D5625" s="1" t="s">
        <v>229</v>
      </c>
      <c r="E5625" s="1"/>
    </row>
    <row r="5626" spans="1:5" ht="16">
      <c r="A5626" s="1" t="s">
        <v>5212</v>
      </c>
      <c r="B5626" s="1" t="s">
        <v>5298</v>
      </c>
      <c r="C5626" s="1" t="s">
        <v>332</v>
      </c>
      <c r="D5626" s="1" t="s">
        <v>229</v>
      </c>
      <c r="E5626" s="1"/>
    </row>
    <row r="5627" spans="1:5" ht="16">
      <c r="A5627" s="1" t="s">
        <v>5212</v>
      </c>
      <c r="B5627" s="1" t="s">
        <v>5299</v>
      </c>
      <c r="C5627" s="1" t="s">
        <v>332</v>
      </c>
      <c r="D5627" s="1" t="s">
        <v>229</v>
      </c>
      <c r="E5627" s="1"/>
    </row>
    <row r="5628" spans="1:5" ht="16">
      <c r="A5628" s="1" t="s">
        <v>5212</v>
      </c>
      <c r="B5628" s="1" t="s">
        <v>5300</v>
      </c>
      <c r="C5628" s="1" t="s">
        <v>332</v>
      </c>
      <c r="D5628" s="1" t="s">
        <v>229</v>
      </c>
      <c r="E5628" s="1"/>
    </row>
    <row r="5629" spans="1:5" ht="16">
      <c r="A5629" s="1" t="s">
        <v>5212</v>
      </c>
      <c r="B5629" s="1" t="s">
        <v>5301</v>
      </c>
      <c r="C5629" s="1" t="s">
        <v>332</v>
      </c>
      <c r="D5629" s="1" t="s">
        <v>229</v>
      </c>
      <c r="E5629" s="1"/>
    </row>
    <row r="5630" spans="1:5" ht="16">
      <c r="A5630" s="1" t="s">
        <v>5212</v>
      </c>
      <c r="B5630" s="1" t="s">
        <v>5302</v>
      </c>
      <c r="C5630" s="1" t="s">
        <v>332</v>
      </c>
      <c r="D5630" s="1" t="s">
        <v>229</v>
      </c>
      <c r="E5630" s="1"/>
    </row>
    <row r="5631" spans="1:5" ht="16">
      <c r="A5631" s="1" t="s">
        <v>5212</v>
      </c>
      <c r="B5631" s="1" t="s">
        <v>5303</v>
      </c>
      <c r="C5631" s="1" t="s">
        <v>332</v>
      </c>
      <c r="D5631" s="1" t="s">
        <v>229</v>
      </c>
      <c r="E5631" s="1"/>
    </row>
    <row r="5632" spans="1:5" ht="16">
      <c r="A5632" s="1" t="s">
        <v>5212</v>
      </c>
      <c r="B5632" s="1" t="s">
        <v>5304</v>
      </c>
      <c r="C5632" s="1" t="s">
        <v>332</v>
      </c>
      <c r="D5632" s="1" t="s">
        <v>229</v>
      </c>
      <c r="E5632" s="1"/>
    </row>
    <row r="5633" spans="1:5" ht="16">
      <c r="A5633" s="1" t="s">
        <v>5212</v>
      </c>
      <c r="B5633" s="1" t="s">
        <v>5305</v>
      </c>
      <c r="C5633" s="1" t="s">
        <v>332</v>
      </c>
      <c r="D5633" s="1" t="s">
        <v>229</v>
      </c>
      <c r="E5633" s="1"/>
    </row>
    <row r="5634" spans="1:5" ht="16">
      <c r="A5634" s="1" t="s">
        <v>5212</v>
      </c>
      <c r="B5634" s="1" t="s">
        <v>5306</v>
      </c>
      <c r="C5634" s="1" t="s">
        <v>332</v>
      </c>
      <c r="D5634" s="1" t="s">
        <v>229</v>
      </c>
      <c r="E5634" s="1"/>
    </row>
    <row r="5635" spans="1:5" ht="16">
      <c r="A5635" s="1" t="s">
        <v>5212</v>
      </c>
      <c r="B5635" s="1" t="s">
        <v>5307</v>
      </c>
      <c r="C5635" s="1" t="s">
        <v>332</v>
      </c>
      <c r="D5635" s="1" t="s">
        <v>229</v>
      </c>
      <c r="E5635" s="1"/>
    </row>
    <row r="5636" spans="1:5" ht="16">
      <c r="A5636" s="1" t="s">
        <v>5212</v>
      </c>
      <c r="B5636" s="1" t="s">
        <v>5308</v>
      </c>
      <c r="C5636" s="1" t="s">
        <v>332</v>
      </c>
      <c r="D5636" s="1" t="s">
        <v>229</v>
      </c>
      <c r="E5636" s="1"/>
    </row>
    <row r="5637" spans="1:5" ht="16">
      <c r="A5637" s="1" t="s">
        <v>5212</v>
      </c>
      <c r="B5637" s="1" t="s">
        <v>5309</v>
      </c>
      <c r="C5637" s="1" t="s">
        <v>332</v>
      </c>
      <c r="D5637" s="1" t="s">
        <v>229</v>
      </c>
      <c r="E5637" s="1"/>
    </row>
    <row r="5638" spans="1:5" ht="16">
      <c r="A5638" s="1" t="s">
        <v>5212</v>
      </c>
      <c r="B5638" s="1" t="s">
        <v>5310</v>
      </c>
      <c r="C5638" s="1" t="s">
        <v>332</v>
      </c>
      <c r="D5638" s="1" t="s">
        <v>229</v>
      </c>
      <c r="E5638" s="1"/>
    </row>
    <row r="5639" spans="1:5" ht="16">
      <c r="A5639" s="1" t="s">
        <v>5212</v>
      </c>
      <c r="B5639" s="1" t="s">
        <v>5311</v>
      </c>
      <c r="C5639" s="1" t="s">
        <v>332</v>
      </c>
      <c r="D5639" s="1" t="s">
        <v>229</v>
      </c>
      <c r="E5639" s="1"/>
    </row>
    <row r="5640" spans="1:5" ht="16">
      <c r="A5640" s="1" t="s">
        <v>5212</v>
      </c>
      <c r="B5640" s="1" t="s">
        <v>5312</v>
      </c>
      <c r="C5640" s="1" t="s">
        <v>332</v>
      </c>
      <c r="D5640" s="1" t="s">
        <v>229</v>
      </c>
      <c r="E5640" s="1"/>
    </row>
    <row r="5641" spans="1:5" ht="16">
      <c r="A5641" s="1" t="s">
        <v>5212</v>
      </c>
      <c r="B5641" s="1" t="s">
        <v>5313</v>
      </c>
      <c r="C5641" s="1" t="s">
        <v>332</v>
      </c>
      <c r="D5641" s="1" t="s">
        <v>229</v>
      </c>
      <c r="E5641" s="1"/>
    </row>
    <row r="5642" spans="1:5" ht="16">
      <c r="A5642" s="1" t="s">
        <v>5212</v>
      </c>
      <c r="B5642" s="1" t="s">
        <v>5314</v>
      </c>
      <c r="C5642" s="1" t="s">
        <v>332</v>
      </c>
      <c r="D5642" s="1" t="s">
        <v>229</v>
      </c>
      <c r="E5642" s="1"/>
    </row>
    <row r="5643" spans="1:5" ht="16">
      <c r="A5643" s="1" t="s">
        <v>5212</v>
      </c>
      <c r="B5643" s="1" t="s">
        <v>5315</v>
      </c>
      <c r="C5643" s="1" t="s">
        <v>332</v>
      </c>
      <c r="D5643" s="1" t="s">
        <v>229</v>
      </c>
      <c r="E5643" s="1"/>
    </row>
    <row r="5644" spans="1:5" ht="16">
      <c r="A5644" s="1" t="s">
        <v>5212</v>
      </c>
      <c r="B5644" s="1" t="s">
        <v>5288</v>
      </c>
      <c r="C5644" s="1" t="s">
        <v>332</v>
      </c>
      <c r="D5644" s="1" t="s">
        <v>229</v>
      </c>
      <c r="E5644" s="1"/>
    </row>
    <row r="5645" spans="1:5" ht="16">
      <c r="A5645" s="1" t="s">
        <v>5212</v>
      </c>
      <c r="B5645" s="1" t="s">
        <v>5289</v>
      </c>
      <c r="C5645" s="1" t="s">
        <v>332</v>
      </c>
      <c r="D5645" s="1" t="s">
        <v>229</v>
      </c>
      <c r="E5645" s="1"/>
    </row>
    <row r="5646" spans="1:5" ht="16">
      <c r="A5646" s="1" t="s">
        <v>5212</v>
      </c>
      <c r="B5646" s="1" t="s">
        <v>5290</v>
      </c>
      <c r="C5646" s="1" t="s">
        <v>332</v>
      </c>
      <c r="D5646" s="1" t="s">
        <v>229</v>
      </c>
      <c r="E5646" s="1"/>
    </row>
    <row r="5647" spans="1:5" ht="16">
      <c r="A5647" s="1" t="s">
        <v>5212</v>
      </c>
      <c r="B5647" s="1" t="s">
        <v>5291</v>
      </c>
      <c r="C5647" s="1" t="s">
        <v>332</v>
      </c>
      <c r="D5647" s="1" t="s">
        <v>229</v>
      </c>
      <c r="E5647" s="1"/>
    </row>
    <row r="5648" spans="1:5" ht="16">
      <c r="A5648" s="1" t="s">
        <v>5212</v>
      </c>
      <c r="B5648" s="1" t="s">
        <v>5316</v>
      </c>
      <c r="C5648" s="1" t="s">
        <v>332</v>
      </c>
      <c r="D5648" s="1" t="s">
        <v>229</v>
      </c>
      <c r="E5648" s="1"/>
    </row>
    <row r="5649" spans="1:5" ht="16">
      <c r="A5649" s="1" t="s">
        <v>5212</v>
      </c>
      <c r="B5649" s="1" t="s">
        <v>5292</v>
      </c>
      <c r="C5649" s="1" t="s">
        <v>332</v>
      </c>
      <c r="D5649" s="1" t="s">
        <v>229</v>
      </c>
      <c r="E5649" s="1"/>
    </row>
    <row r="5650" spans="1:5" ht="16">
      <c r="A5650" s="1" t="s">
        <v>5212</v>
      </c>
      <c r="B5650" s="1" t="s">
        <v>5293</v>
      </c>
      <c r="C5650" s="1" t="s">
        <v>332</v>
      </c>
      <c r="D5650" s="1" t="s">
        <v>229</v>
      </c>
      <c r="E5650" s="1"/>
    </row>
    <row r="5651" spans="1:5" ht="16">
      <c r="A5651" s="1" t="s">
        <v>5212</v>
      </c>
      <c r="B5651" s="1" t="s">
        <v>5294</v>
      </c>
      <c r="C5651" s="1" t="s">
        <v>332</v>
      </c>
      <c r="D5651" s="1" t="s">
        <v>229</v>
      </c>
      <c r="E5651" s="1"/>
    </row>
    <row r="5652" spans="1:5" ht="16">
      <c r="A5652" s="1" t="s">
        <v>5212</v>
      </c>
      <c r="B5652" s="1" t="s">
        <v>2607</v>
      </c>
      <c r="C5652" s="1" t="s">
        <v>332</v>
      </c>
      <c r="D5652" s="1" t="s">
        <v>229</v>
      </c>
      <c r="E5652" s="1"/>
    </row>
    <row r="5653" spans="1:5" ht="16">
      <c r="A5653" s="1" t="s">
        <v>5212</v>
      </c>
      <c r="B5653" s="1" t="s">
        <v>2607</v>
      </c>
      <c r="C5653" s="1" t="s">
        <v>332</v>
      </c>
      <c r="D5653" s="1" t="s">
        <v>229</v>
      </c>
      <c r="E5653" s="1"/>
    </row>
    <row r="5654" spans="1:5" ht="16">
      <c r="A5654" s="1" t="s">
        <v>5212</v>
      </c>
      <c r="B5654" s="1" t="s">
        <v>2609</v>
      </c>
      <c r="C5654" s="1" t="s">
        <v>332</v>
      </c>
      <c r="D5654" s="1" t="s">
        <v>229</v>
      </c>
      <c r="E5654" s="1"/>
    </row>
    <row r="5655" spans="1:5" ht="16">
      <c r="A5655" s="1" t="s">
        <v>5212</v>
      </c>
      <c r="B5655" s="1" t="s">
        <v>5317</v>
      </c>
      <c r="C5655" s="1" t="s">
        <v>332</v>
      </c>
      <c r="D5655" s="1" t="s">
        <v>229</v>
      </c>
      <c r="E5655" s="1"/>
    </row>
    <row r="5656" spans="1:5" ht="16">
      <c r="A5656" s="1" t="s">
        <v>5212</v>
      </c>
      <c r="B5656" s="1" t="s">
        <v>5318</v>
      </c>
      <c r="C5656" s="1" t="s">
        <v>332</v>
      </c>
      <c r="D5656" s="1" t="s">
        <v>229</v>
      </c>
      <c r="E5656" s="1"/>
    </row>
    <row r="5657" spans="1:5" ht="16">
      <c r="A5657" s="1" t="s">
        <v>5212</v>
      </c>
      <c r="B5657" s="1" t="s">
        <v>5319</v>
      </c>
      <c r="C5657" s="1" t="s">
        <v>332</v>
      </c>
      <c r="D5657" s="1" t="s">
        <v>229</v>
      </c>
      <c r="E5657" s="1"/>
    </row>
    <row r="5658" spans="1:5" ht="16">
      <c r="A5658" s="1" t="s">
        <v>5212</v>
      </c>
      <c r="B5658" s="1" t="s">
        <v>5320</v>
      </c>
      <c r="C5658" s="1" t="s">
        <v>332</v>
      </c>
      <c r="D5658" s="1" t="s">
        <v>229</v>
      </c>
      <c r="E5658" s="1"/>
    </row>
    <row r="5659" spans="1:5" ht="16">
      <c r="A5659" s="1" t="s">
        <v>5212</v>
      </c>
      <c r="B5659" s="1" t="s">
        <v>5321</v>
      </c>
      <c r="C5659" s="1" t="s">
        <v>332</v>
      </c>
      <c r="D5659" s="1" t="s">
        <v>229</v>
      </c>
      <c r="E5659" s="1"/>
    </row>
    <row r="5660" spans="1:5" ht="16">
      <c r="A5660" s="1" t="s">
        <v>5212</v>
      </c>
      <c r="B5660" s="1" t="s">
        <v>5322</v>
      </c>
      <c r="C5660" s="1" t="s">
        <v>332</v>
      </c>
      <c r="D5660" s="1" t="s">
        <v>229</v>
      </c>
      <c r="E5660" s="1"/>
    </row>
    <row r="5661" spans="1:5" ht="16">
      <c r="A5661" s="1" t="s">
        <v>5212</v>
      </c>
      <c r="B5661" s="1" t="s">
        <v>5323</v>
      </c>
      <c r="C5661" s="1" t="s">
        <v>332</v>
      </c>
      <c r="D5661" s="1" t="s">
        <v>229</v>
      </c>
      <c r="E5661" s="1"/>
    </row>
    <row r="5662" spans="1:5" ht="16">
      <c r="A5662" s="1" t="s">
        <v>5212</v>
      </c>
      <c r="B5662" s="1" t="s">
        <v>5324</v>
      </c>
      <c r="C5662" s="1" t="s">
        <v>332</v>
      </c>
      <c r="D5662" s="1" t="s">
        <v>229</v>
      </c>
      <c r="E5662" s="1"/>
    </row>
    <row r="5663" spans="1:5" ht="16">
      <c r="A5663" s="1" t="s">
        <v>5212</v>
      </c>
      <c r="B5663" s="1" t="s">
        <v>5325</v>
      </c>
      <c r="C5663" s="1" t="s">
        <v>332</v>
      </c>
      <c r="D5663" s="1" t="s">
        <v>229</v>
      </c>
      <c r="E5663" s="1"/>
    </row>
    <row r="5664" spans="1:5" ht="16">
      <c r="A5664" s="1" t="s">
        <v>5212</v>
      </c>
      <c r="B5664" s="1" t="s">
        <v>5326</v>
      </c>
      <c r="C5664" s="1" t="s">
        <v>332</v>
      </c>
      <c r="D5664" s="1" t="s">
        <v>229</v>
      </c>
      <c r="E5664" s="1"/>
    </row>
    <row r="5665" spans="1:5" ht="16">
      <c r="A5665" s="1" t="s">
        <v>5212</v>
      </c>
      <c r="B5665" s="1" t="s">
        <v>5327</v>
      </c>
      <c r="C5665" s="1" t="s">
        <v>332</v>
      </c>
      <c r="D5665" s="1" t="s">
        <v>229</v>
      </c>
      <c r="E5665" s="1"/>
    </row>
    <row r="5666" spans="1:5" ht="16">
      <c r="A5666" s="1" t="s">
        <v>5212</v>
      </c>
      <c r="B5666" s="1" t="s">
        <v>5328</v>
      </c>
      <c r="C5666" s="1" t="s">
        <v>332</v>
      </c>
      <c r="D5666" s="1" t="s">
        <v>229</v>
      </c>
      <c r="E5666" s="1"/>
    </row>
    <row r="5667" spans="1:5" ht="16">
      <c r="A5667" s="1" t="s">
        <v>5212</v>
      </c>
      <c r="B5667" s="1" t="s">
        <v>5329</v>
      </c>
      <c r="C5667" s="1" t="s">
        <v>332</v>
      </c>
      <c r="D5667" s="1" t="s">
        <v>229</v>
      </c>
      <c r="E5667" s="1"/>
    </row>
    <row r="5668" spans="1:5" ht="16">
      <c r="A5668" s="1" t="s">
        <v>5212</v>
      </c>
      <c r="B5668" s="1" t="s">
        <v>5330</v>
      </c>
      <c r="C5668" s="1" t="s">
        <v>332</v>
      </c>
      <c r="D5668" s="1" t="s">
        <v>229</v>
      </c>
      <c r="E5668" s="1"/>
    </row>
    <row r="5669" spans="1:5" ht="16">
      <c r="A5669" s="1" t="s">
        <v>5212</v>
      </c>
      <c r="B5669" s="1" t="s">
        <v>5331</v>
      </c>
      <c r="C5669" s="1" t="s">
        <v>332</v>
      </c>
      <c r="D5669" s="1" t="s">
        <v>229</v>
      </c>
      <c r="E5669" s="1"/>
    </row>
    <row r="5670" spans="1:5" ht="16">
      <c r="A5670" s="1" t="s">
        <v>5212</v>
      </c>
      <c r="B5670" s="1" t="s">
        <v>5332</v>
      </c>
      <c r="C5670" s="1" t="s">
        <v>332</v>
      </c>
      <c r="D5670" s="1" t="s">
        <v>229</v>
      </c>
      <c r="E5670" s="1"/>
    </row>
    <row r="5671" spans="1:5" ht="16">
      <c r="A5671" s="1" t="s">
        <v>5212</v>
      </c>
      <c r="B5671" s="1" t="s">
        <v>5333</v>
      </c>
      <c r="C5671" s="1" t="s">
        <v>332</v>
      </c>
      <c r="D5671" s="1" t="s">
        <v>229</v>
      </c>
      <c r="E5671" s="1"/>
    </row>
    <row r="5672" spans="1:5" ht="16">
      <c r="A5672" s="1" t="s">
        <v>5212</v>
      </c>
      <c r="B5672" s="1" t="s">
        <v>5334</v>
      </c>
      <c r="C5672" s="1" t="s">
        <v>332</v>
      </c>
      <c r="D5672" s="1" t="s">
        <v>229</v>
      </c>
      <c r="E5672" s="1"/>
    </row>
    <row r="5673" spans="1:5" ht="16">
      <c r="A5673" s="1" t="s">
        <v>5212</v>
      </c>
      <c r="B5673" s="1" t="s">
        <v>5335</v>
      </c>
      <c r="C5673" s="1" t="s">
        <v>332</v>
      </c>
      <c r="D5673" s="1" t="s">
        <v>229</v>
      </c>
      <c r="E5673" s="1"/>
    </row>
    <row r="5674" spans="1:5" ht="16">
      <c r="A5674" s="1" t="s">
        <v>5212</v>
      </c>
      <c r="B5674" s="1" t="s">
        <v>5336</v>
      </c>
      <c r="C5674" s="1" t="s">
        <v>332</v>
      </c>
      <c r="D5674" s="1" t="s">
        <v>229</v>
      </c>
      <c r="E5674" s="1"/>
    </row>
    <row r="5675" spans="1:5" ht="16">
      <c r="A5675" s="1" t="s">
        <v>5212</v>
      </c>
      <c r="B5675" s="1" t="s">
        <v>5337</v>
      </c>
      <c r="C5675" s="1" t="s">
        <v>332</v>
      </c>
      <c r="D5675" s="1" t="s">
        <v>229</v>
      </c>
      <c r="E5675" s="1"/>
    </row>
    <row r="5676" spans="1:5" ht="16">
      <c r="A5676" s="1" t="s">
        <v>5212</v>
      </c>
      <c r="B5676" s="1" t="s">
        <v>5338</v>
      </c>
      <c r="C5676" s="1" t="s">
        <v>332</v>
      </c>
      <c r="D5676" s="1" t="s">
        <v>229</v>
      </c>
      <c r="E5676" s="1"/>
    </row>
    <row r="5677" spans="1:5" ht="16">
      <c r="A5677" s="1" t="s">
        <v>5212</v>
      </c>
      <c r="B5677" s="1" t="s">
        <v>5339</v>
      </c>
      <c r="C5677" s="1" t="s">
        <v>332</v>
      </c>
      <c r="D5677" s="1" t="s">
        <v>229</v>
      </c>
      <c r="E5677" s="1"/>
    </row>
    <row r="5678" spans="1:5" ht="16">
      <c r="A5678" s="1" t="s">
        <v>5212</v>
      </c>
      <c r="B5678" s="1" t="s">
        <v>5340</v>
      </c>
      <c r="C5678" s="1" t="s">
        <v>332</v>
      </c>
      <c r="D5678" s="1" t="s">
        <v>229</v>
      </c>
      <c r="E5678" s="1"/>
    </row>
    <row r="5679" spans="1:5" ht="16">
      <c r="A5679" s="1" t="s">
        <v>5212</v>
      </c>
      <c r="B5679" s="1" t="s">
        <v>5341</v>
      </c>
      <c r="C5679" s="1" t="s">
        <v>332</v>
      </c>
      <c r="D5679" s="1" t="s">
        <v>229</v>
      </c>
      <c r="E5679" s="1"/>
    </row>
    <row r="5680" spans="1:5" ht="16">
      <c r="A5680" s="1" t="s">
        <v>5212</v>
      </c>
      <c r="B5680" s="1" t="s">
        <v>5342</v>
      </c>
      <c r="C5680" s="1" t="s">
        <v>332</v>
      </c>
      <c r="D5680" s="1" t="s">
        <v>229</v>
      </c>
      <c r="E5680" s="1"/>
    </row>
    <row r="5681" spans="1:5" ht="16">
      <c r="A5681" s="1" t="s">
        <v>5212</v>
      </c>
      <c r="B5681" s="1" t="s">
        <v>5343</v>
      </c>
      <c r="C5681" s="1" t="s">
        <v>332</v>
      </c>
      <c r="D5681" s="1" t="s">
        <v>229</v>
      </c>
      <c r="E5681" s="1"/>
    </row>
    <row r="5682" spans="1:5" ht="16">
      <c r="A5682" s="1" t="s">
        <v>5212</v>
      </c>
      <c r="B5682" s="1" t="s">
        <v>5344</v>
      </c>
      <c r="C5682" s="1" t="s">
        <v>332</v>
      </c>
      <c r="D5682" s="1" t="s">
        <v>229</v>
      </c>
      <c r="E5682" s="1"/>
    </row>
    <row r="5683" spans="1:5" ht="16">
      <c r="A5683" s="1" t="s">
        <v>5212</v>
      </c>
      <c r="B5683" s="1" t="s">
        <v>5345</v>
      </c>
      <c r="C5683" s="1" t="s">
        <v>332</v>
      </c>
      <c r="D5683" s="1" t="s">
        <v>229</v>
      </c>
      <c r="E5683" s="1"/>
    </row>
    <row r="5684" spans="1:5" ht="16">
      <c r="A5684" s="1" t="s">
        <v>5212</v>
      </c>
      <c r="B5684" s="1" t="s">
        <v>5346</v>
      </c>
      <c r="C5684" s="1" t="s">
        <v>332</v>
      </c>
      <c r="D5684" s="1" t="s">
        <v>229</v>
      </c>
      <c r="E5684" s="1"/>
    </row>
    <row r="5685" spans="1:5" ht="16">
      <c r="A5685" s="1" t="s">
        <v>5212</v>
      </c>
      <c r="B5685" s="1" t="s">
        <v>5347</v>
      </c>
      <c r="C5685" s="1" t="s">
        <v>332</v>
      </c>
      <c r="D5685" s="1" t="s">
        <v>229</v>
      </c>
      <c r="E5685" s="1"/>
    </row>
    <row r="5686" spans="1:5" ht="16">
      <c r="A5686" s="1" t="s">
        <v>5212</v>
      </c>
      <c r="B5686" s="1" t="s">
        <v>5348</v>
      </c>
      <c r="C5686" s="1" t="s">
        <v>332</v>
      </c>
      <c r="D5686" s="1" t="s">
        <v>229</v>
      </c>
      <c r="E5686" s="1"/>
    </row>
    <row r="5687" spans="1:5" ht="16">
      <c r="A5687" s="1" t="s">
        <v>5212</v>
      </c>
      <c r="B5687" s="1" t="s">
        <v>5349</v>
      </c>
      <c r="C5687" s="1" t="s">
        <v>332</v>
      </c>
      <c r="D5687" s="1" t="s">
        <v>229</v>
      </c>
      <c r="E5687" s="1"/>
    </row>
    <row r="5688" spans="1:5" ht="16">
      <c r="A5688" s="1" t="s">
        <v>5212</v>
      </c>
      <c r="B5688" s="1" t="s">
        <v>5350</v>
      </c>
      <c r="C5688" s="1" t="s">
        <v>332</v>
      </c>
      <c r="D5688" s="1" t="s">
        <v>229</v>
      </c>
      <c r="E5688" s="1"/>
    </row>
    <row r="5689" spans="1:5" ht="16">
      <c r="A5689" s="1" t="s">
        <v>5212</v>
      </c>
      <c r="B5689" s="1" t="s">
        <v>5351</v>
      </c>
      <c r="C5689" s="1" t="s">
        <v>332</v>
      </c>
      <c r="D5689" s="1" t="s">
        <v>229</v>
      </c>
      <c r="E5689" s="1"/>
    </row>
    <row r="5690" spans="1:5" ht="16">
      <c r="A5690" s="1" t="s">
        <v>5352</v>
      </c>
      <c r="B5690" s="1" t="s">
        <v>5353</v>
      </c>
      <c r="C5690" s="1" t="s">
        <v>332</v>
      </c>
      <c r="D5690" s="1" t="s">
        <v>229</v>
      </c>
      <c r="E5690" s="1"/>
    </row>
    <row r="5691" spans="1:5" ht="16">
      <c r="A5691" s="1" t="s">
        <v>5352</v>
      </c>
      <c r="B5691" s="1" t="s">
        <v>5354</v>
      </c>
      <c r="C5691" s="1" t="s">
        <v>332</v>
      </c>
      <c r="D5691" s="1" t="s">
        <v>229</v>
      </c>
      <c r="E5691" s="1"/>
    </row>
    <row r="5692" spans="1:5" ht="16">
      <c r="A5692" s="1" t="s">
        <v>5352</v>
      </c>
      <c r="B5692" s="1" t="s">
        <v>5355</v>
      </c>
      <c r="C5692" s="1" t="s">
        <v>332</v>
      </c>
      <c r="D5692" s="1" t="s">
        <v>229</v>
      </c>
      <c r="E5692" s="1"/>
    </row>
    <row r="5693" spans="1:5" ht="16">
      <c r="A5693" s="1" t="s">
        <v>5352</v>
      </c>
      <c r="B5693" s="1" t="s">
        <v>5356</v>
      </c>
      <c r="C5693" s="1" t="s">
        <v>332</v>
      </c>
      <c r="D5693" s="1" t="s">
        <v>229</v>
      </c>
      <c r="E5693" s="1"/>
    </row>
    <row r="5694" spans="1:5" ht="16">
      <c r="A5694" s="1" t="s">
        <v>5352</v>
      </c>
      <c r="B5694" s="1" t="s">
        <v>5357</v>
      </c>
      <c r="C5694" s="1" t="s">
        <v>332</v>
      </c>
      <c r="D5694" s="1" t="s">
        <v>229</v>
      </c>
      <c r="E5694" s="1"/>
    </row>
    <row r="5695" spans="1:5" ht="16">
      <c r="A5695" s="1" t="s">
        <v>5352</v>
      </c>
      <c r="B5695" s="1" t="s">
        <v>5358</v>
      </c>
      <c r="C5695" s="1" t="s">
        <v>332</v>
      </c>
      <c r="D5695" s="1" t="s">
        <v>229</v>
      </c>
      <c r="E5695" s="1"/>
    </row>
    <row r="5696" spans="1:5" ht="16">
      <c r="A5696" s="1" t="s">
        <v>5352</v>
      </c>
      <c r="B5696" s="1" t="s">
        <v>5359</v>
      </c>
      <c r="C5696" s="1" t="s">
        <v>332</v>
      </c>
      <c r="D5696" s="1" t="s">
        <v>229</v>
      </c>
      <c r="E5696" s="1"/>
    </row>
    <row r="5697" spans="1:5" ht="16">
      <c r="A5697" s="1" t="s">
        <v>5352</v>
      </c>
      <c r="B5697" s="1" t="s">
        <v>5360</v>
      </c>
      <c r="C5697" s="1" t="s">
        <v>332</v>
      </c>
      <c r="D5697" s="1" t="s">
        <v>229</v>
      </c>
      <c r="E5697" s="1"/>
    </row>
    <row r="5698" spans="1:5" ht="16">
      <c r="A5698" s="1" t="s">
        <v>5352</v>
      </c>
      <c r="B5698" s="1" t="s">
        <v>5361</v>
      </c>
      <c r="C5698" s="1" t="s">
        <v>332</v>
      </c>
      <c r="D5698" s="1" t="s">
        <v>229</v>
      </c>
      <c r="E5698" s="1"/>
    </row>
    <row r="5699" spans="1:5" ht="16">
      <c r="A5699" s="1" t="s">
        <v>5352</v>
      </c>
      <c r="B5699" s="1" t="s">
        <v>5362</v>
      </c>
      <c r="C5699" s="1" t="s">
        <v>332</v>
      </c>
      <c r="D5699" s="1" t="s">
        <v>229</v>
      </c>
      <c r="E5699" s="1"/>
    </row>
    <row r="5700" spans="1:5" ht="16">
      <c r="A5700" s="1" t="s">
        <v>5352</v>
      </c>
      <c r="B5700" s="1" t="s">
        <v>5363</v>
      </c>
      <c r="C5700" s="1" t="s">
        <v>332</v>
      </c>
      <c r="D5700" s="1" t="s">
        <v>229</v>
      </c>
      <c r="E5700" s="1"/>
    </row>
    <row r="5701" spans="1:5" ht="16">
      <c r="A5701" s="1" t="s">
        <v>5352</v>
      </c>
      <c r="B5701" s="1" t="s">
        <v>5364</v>
      </c>
      <c r="C5701" s="1" t="s">
        <v>332</v>
      </c>
      <c r="D5701" s="1" t="s">
        <v>229</v>
      </c>
      <c r="E5701" s="1"/>
    </row>
    <row r="5702" spans="1:5" ht="16">
      <c r="A5702" s="1" t="s">
        <v>5352</v>
      </c>
      <c r="B5702" s="1" t="s">
        <v>5365</v>
      </c>
      <c r="C5702" s="1" t="s">
        <v>332</v>
      </c>
      <c r="D5702" s="1" t="s">
        <v>229</v>
      </c>
      <c r="E5702" s="1"/>
    </row>
    <row r="5703" spans="1:5" ht="16">
      <c r="A5703" s="1" t="s">
        <v>5352</v>
      </c>
      <c r="B5703" s="1" t="s">
        <v>5366</v>
      </c>
      <c r="C5703" s="1" t="s">
        <v>332</v>
      </c>
      <c r="D5703" s="1" t="s">
        <v>229</v>
      </c>
      <c r="E5703" s="1"/>
    </row>
    <row r="5704" spans="1:5" ht="16">
      <c r="A5704" s="1" t="s">
        <v>5352</v>
      </c>
      <c r="B5704" s="1" t="s">
        <v>5367</v>
      </c>
      <c r="C5704" s="1" t="s">
        <v>332</v>
      </c>
      <c r="D5704" s="1" t="s">
        <v>229</v>
      </c>
      <c r="E5704" s="1"/>
    </row>
    <row r="5705" spans="1:5" ht="16">
      <c r="A5705" s="1" t="s">
        <v>5352</v>
      </c>
      <c r="B5705" s="1" t="s">
        <v>5368</v>
      </c>
      <c r="C5705" s="1" t="s">
        <v>332</v>
      </c>
      <c r="D5705" s="1" t="s">
        <v>229</v>
      </c>
      <c r="E5705" s="1"/>
    </row>
    <row r="5706" spans="1:5" ht="16">
      <c r="A5706" s="1" t="s">
        <v>5352</v>
      </c>
      <c r="B5706" s="1" t="s">
        <v>5369</v>
      </c>
      <c r="C5706" s="1" t="s">
        <v>332</v>
      </c>
      <c r="D5706" s="1" t="s">
        <v>229</v>
      </c>
      <c r="E5706" s="1"/>
    </row>
    <row r="5707" spans="1:5" ht="16">
      <c r="A5707" s="1" t="s">
        <v>5352</v>
      </c>
      <c r="B5707" s="1" t="s">
        <v>5370</v>
      </c>
      <c r="C5707" s="1" t="s">
        <v>332</v>
      </c>
      <c r="D5707" s="1" t="s">
        <v>229</v>
      </c>
      <c r="E5707" s="1"/>
    </row>
    <row r="5708" spans="1:5" ht="16">
      <c r="A5708" s="1" t="s">
        <v>5352</v>
      </c>
      <c r="B5708" s="1" t="s">
        <v>5371</v>
      </c>
      <c r="C5708" s="1" t="s">
        <v>332</v>
      </c>
      <c r="D5708" s="1" t="s">
        <v>229</v>
      </c>
      <c r="E5708" s="1"/>
    </row>
    <row r="5709" spans="1:5" ht="16">
      <c r="A5709" s="1" t="s">
        <v>5352</v>
      </c>
      <c r="B5709" s="1" t="s">
        <v>5372</v>
      </c>
      <c r="C5709" s="1" t="s">
        <v>332</v>
      </c>
      <c r="D5709" s="1" t="s">
        <v>229</v>
      </c>
      <c r="E5709" s="1"/>
    </row>
    <row r="5710" spans="1:5" ht="16">
      <c r="A5710" s="1" t="s">
        <v>5352</v>
      </c>
      <c r="B5710" s="1" t="s">
        <v>5373</v>
      </c>
      <c r="C5710" s="1" t="s">
        <v>332</v>
      </c>
      <c r="D5710" s="1" t="s">
        <v>229</v>
      </c>
      <c r="E5710" s="1"/>
    </row>
    <row r="5711" spans="1:5" ht="16">
      <c r="A5711" s="1" t="s">
        <v>5352</v>
      </c>
      <c r="B5711" s="1" t="s">
        <v>5374</v>
      </c>
      <c r="C5711" s="1" t="s">
        <v>332</v>
      </c>
      <c r="D5711" s="1" t="s">
        <v>229</v>
      </c>
      <c r="E5711" s="1"/>
    </row>
    <row r="5712" spans="1:5" ht="16">
      <c r="A5712" s="1" t="s">
        <v>5352</v>
      </c>
      <c r="B5712" s="1" t="s">
        <v>5375</v>
      </c>
      <c r="C5712" s="1" t="s">
        <v>332</v>
      </c>
      <c r="D5712" s="1" t="s">
        <v>229</v>
      </c>
      <c r="E5712" s="1"/>
    </row>
    <row r="5713" spans="1:5" ht="16">
      <c r="A5713" s="1" t="s">
        <v>5352</v>
      </c>
      <c r="B5713" s="1" t="s">
        <v>5376</v>
      </c>
      <c r="C5713" s="1" t="s">
        <v>332</v>
      </c>
      <c r="D5713" s="1" t="s">
        <v>229</v>
      </c>
      <c r="E5713" s="1"/>
    </row>
    <row r="5714" spans="1:5" ht="16">
      <c r="A5714" s="1" t="s">
        <v>5352</v>
      </c>
      <c r="B5714" s="1" t="s">
        <v>5377</v>
      </c>
      <c r="C5714" s="1" t="s">
        <v>332</v>
      </c>
      <c r="D5714" s="1" t="s">
        <v>229</v>
      </c>
      <c r="E5714" s="1"/>
    </row>
    <row r="5715" spans="1:5" ht="16">
      <c r="A5715" s="1" t="s">
        <v>5352</v>
      </c>
      <c r="B5715" s="1" t="s">
        <v>5378</v>
      </c>
      <c r="C5715" s="1" t="s">
        <v>332</v>
      </c>
      <c r="D5715" s="1" t="s">
        <v>229</v>
      </c>
      <c r="E5715" s="1"/>
    </row>
    <row r="5716" spans="1:5" ht="16">
      <c r="A5716" s="1" t="s">
        <v>5352</v>
      </c>
      <c r="B5716" s="1" t="s">
        <v>5379</v>
      </c>
      <c r="C5716" s="1" t="s">
        <v>332</v>
      </c>
      <c r="D5716" s="1" t="s">
        <v>229</v>
      </c>
      <c r="E5716" s="1"/>
    </row>
    <row r="5717" spans="1:5" ht="16">
      <c r="A5717" s="1" t="s">
        <v>5352</v>
      </c>
      <c r="B5717" s="1" t="s">
        <v>5380</v>
      </c>
      <c r="C5717" s="1" t="s">
        <v>332</v>
      </c>
      <c r="D5717" s="1" t="s">
        <v>229</v>
      </c>
      <c r="E5717" s="1"/>
    </row>
    <row r="5718" spans="1:5" ht="16">
      <c r="A5718" s="1" t="s">
        <v>5352</v>
      </c>
      <c r="B5718" s="1" t="s">
        <v>5381</v>
      </c>
      <c r="C5718" s="1" t="s">
        <v>332</v>
      </c>
      <c r="D5718" s="1" t="s">
        <v>229</v>
      </c>
      <c r="E5718" s="1"/>
    </row>
    <row r="5719" spans="1:5" ht="16">
      <c r="A5719" s="1" t="s">
        <v>5352</v>
      </c>
      <c r="B5719" s="1" t="s">
        <v>5382</v>
      </c>
      <c r="C5719" s="1" t="s">
        <v>332</v>
      </c>
      <c r="D5719" s="1" t="s">
        <v>229</v>
      </c>
      <c r="E5719" s="1"/>
    </row>
    <row r="5720" spans="1:5" ht="16">
      <c r="A5720" s="1" t="s">
        <v>5352</v>
      </c>
      <c r="B5720" s="1" t="s">
        <v>5383</v>
      </c>
      <c r="C5720" s="1" t="s">
        <v>332</v>
      </c>
      <c r="D5720" s="1" t="s">
        <v>229</v>
      </c>
      <c r="E5720" s="1"/>
    </row>
    <row r="5721" spans="1:5" ht="16">
      <c r="A5721" s="1" t="s">
        <v>5352</v>
      </c>
      <c r="B5721" s="1" t="s">
        <v>5384</v>
      </c>
      <c r="C5721" s="1" t="s">
        <v>332</v>
      </c>
      <c r="D5721" s="1" t="s">
        <v>229</v>
      </c>
      <c r="E5721" s="1"/>
    </row>
    <row r="5722" spans="1:5" ht="16">
      <c r="A5722" s="1" t="s">
        <v>5352</v>
      </c>
      <c r="B5722" s="1" t="s">
        <v>5385</v>
      </c>
      <c r="C5722" s="1" t="s">
        <v>332</v>
      </c>
      <c r="D5722" s="1" t="s">
        <v>229</v>
      </c>
      <c r="E5722" s="1"/>
    </row>
    <row r="5723" spans="1:5" ht="16">
      <c r="A5723" s="1" t="s">
        <v>5352</v>
      </c>
      <c r="B5723" s="1" t="s">
        <v>5386</v>
      </c>
      <c r="C5723" s="1" t="s">
        <v>332</v>
      </c>
      <c r="D5723" s="1" t="s">
        <v>229</v>
      </c>
      <c r="E5723" s="1"/>
    </row>
    <row r="5724" spans="1:5" ht="16">
      <c r="A5724" s="1" t="s">
        <v>5352</v>
      </c>
      <c r="B5724" s="1" t="s">
        <v>5387</v>
      </c>
      <c r="C5724" s="1" t="s">
        <v>332</v>
      </c>
      <c r="D5724" s="1" t="s">
        <v>229</v>
      </c>
      <c r="E5724" s="1"/>
    </row>
    <row r="5725" spans="1:5" ht="16">
      <c r="A5725" s="1" t="s">
        <v>5352</v>
      </c>
      <c r="B5725" s="1" t="s">
        <v>5388</v>
      </c>
      <c r="C5725" s="1" t="s">
        <v>332</v>
      </c>
      <c r="D5725" s="1" t="s">
        <v>229</v>
      </c>
      <c r="E5725" s="1"/>
    </row>
    <row r="5726" spans="1:5" ht="16">
      <c r="A5726" s="1" t="s">
        <v>5352</v>
      </c>
      <c r="B5726" s="1" t="s">
        <v>5389</v>
      </c>
      <c r="C5726" s="1" t="s">
        <v>332</v>
      </c>
      <c r="D5726" s="1" t="s">
        <v>229</v>
      </c>
      <c r="E5726" s="1"/>
    </row>
    <row r="5727" spans="1:5" ht="16">
      <c r="A5727" s="1" t="s">
        <v>5352</v>
      </c>
      <c r="B5727" s="1" t="s">
        <v>5390</v>
      </c>
      <c r="C5727" s="1" t="s">
        <v>332</v>
      </c>
      <c r="D5727" s="1" t="s">
        <v>229</v>
      </c>
      <c r="E5727" s="1"/>
    </row>
    <row r="5728" spans="1:5" ht="16">
      <c r="A5728" s="1" t="s">
        <v>5352</v>
      </c>
      <c r="B5728" s="1" t="s">
        <v>5391</v>
      </c>
      <c r="C5728" s="1" t="s">
        <v>332</v>
      </c>
      <c r="D5728" s="1" t="s">
        <v>229</v>
      </c>
      <c r="E5728" s="1"/>
    </row>
    <row r="5729" spans="1:5" ht="16">
      <c r="A5729" s="1" t="s">
        <v>5352</v>
      </c>
      <c r="B5729" s="1" t="s">
        <v>5392</v>
      </c>
      <c r="C5729" s="1" t="s">
        <v>332</v>
      </c>
      <c r="D5729" s="1" t="s">
        <v>229</v>
      </c>
      <c r="E5729" s="1"/>
    </row>
    <row r="5730" spans="1:5" ht="16">
      <c r="A5730" s="1" t="s">
        <v>5352</v>
      </c>
      <c r="B5730" s="1" t="s">
        <v>5393</v>
      </c>
      <c r="C5730" s="1" t="s">
        <v>332</v>
      </c>
      <c r="D5730" s="1" t="s">
        <v>229</v>
      </c>
      <c r="E5730" s="1"/>
    </row>
    <row r="5731" spans="1:5" ht="16">
      <c r="A5731" s="1" t="s">
        <v>5352</v>
      </c>
      <c r="B5731" s="1" t="s">
        <v>5394</v>
      </c>
      <c r="C5731" s="1" t="s">
        <v>332</v>
      </c>
      <c r="D5731" s="1" t="s">
        <v>229</v>
      </c>
      <c r="E5731" s="1"/>
    </row>
    <row r="5732" spans="1:5" ht="16">
      <c r="A5732" s="1" t="s">
        <v>5352</v>
      </c>
      <c r="B5732" s="1" t="s">
        <v>5395</v>
      </c>
      <c r="C5732" s="1" t="s">
        <v>332</v>
      </c>
      <c r="D5732" s="1" t="s">
        <v>229</v>
      </c>
      <c r="E5732" s="1"/>
    </row>
    <row r="5733" spans="1:5" ht="16">
      <c r="A5733" s="1" t="s">
        <v>5352</v>
      </c>
      <c r="B5733" s="1" t="s">
        <v>5396</v>
      </c>
      <c r="C5733" s="1" t="s">
        <v>332</v>
      </c>
      <c r="D5733" s="1" t="s">
        <v>229</v>
      </c>
      <c r="E5733" s="1"/>
    </row>
    <row r="5734" spans="1:5" ht="16">
      <c r="A5734" s="1" t="s">
        <v>5352</v>
      </c>
      <c r="B5734" s="1" t="s">
        <v>5397</v>
      </c>
      <c r="C5734" s="1" t="s">
        <v>332</v>
      </c>
      <c r="D5734" s="1" t="s">
        <v>229</v>
      </c>
      <c r="E5734" s="1"/>
    </row>
    <row r="5735" spans="1:5" ht="16">
      <c r="A5735" s="1" t="s">
        <v>5352</v>
      </c>
      <c r="B5735" s="1" t="s">
        <v>5398</v>
      </c>
      <c r="C5735" s="1" t="s">
        <v>332</v>
      </c>
      <c r="D5735" s="1" t="s">
        <v>229</v>
      </c>
      <c r="E5735" s="1"/>
    </row>
    <row r="5736" spans="1:5" ht="16">
      <c r="A5736" s="1" t="s">
        <v>5352</v>
      </c>
      <c r="B5736" s="1" t="s">
        <v>5399</v>
      </c>
      <c r="C5736" s="1" t="s">
        <v>332</v>
      </c>
      <c r="D5736" s="1" t="s">
        <v>229</v>
      </c>
      <c r="E5736" s="1"/>
    </row>
    <row r="5737" spans="1:5" ht="16">
      <c r="A5737" s="1" t="s">
        <v>5352</v>
      </c>
      <c r="B5737" s="1" t="s">
        <v>5400</v>
      </c>
      <c r="C5737" s="1" t="s">
        <v>332</v>
      </c>
      <c r="D5737" s="1" t="s">
        <v>229</v>
      </c>
      <c r="E5737" s="1"/>
    </row>
    <row r="5738" spans="1:5" ht="16">
      <c r="A5738" s="1" t="s">
        <v>5352</v>
      </c>
      <c r="B5738" s="1" t="s">
        <v>5401</v>
      </c>
      <c r="C5738" s="1" t="s">
        <v>332</v>
      </c>
      <c r="D5738" s="1" t="s">
        <v>229</v>
      </c>
      <c r="E5738" s="1"/>
    </row>
    <row r="5739" spans="1:5" ht="16">
      <c r="A5739" s="1" t="s">
        <v>5352</v>
      </c>
      <c r="B5739" s="1" t="s">
        <v>5402</v>
      </c>
      <c r="C5739" s="1" t="s">
        <v>332</v>
      </c>
      <c r="D5739" s="1" t="s">
        <v>229</v>
      </c>
      <c r="E5739" s="1"/>
    </row>
    <row r="5740" spans="1:5" ht="16">
      <c r="A5740" s="1" t="s">
        <v>5352</v>
      </c>
      <c r="B5740" s="1" t="s">
        <v>5403</v>
      </c>
      <c r="C5740" s="1" t="s">
        <v>332</v>
      </c>
      <c r="D5740" s="1" t="s">
        <v>229</v>
      </c>
      <c r="E5740" s="1"/>
    </row>
    <row r="5741" spans="1:5" ht="16">
      <c r="A5741" s="1" t="s">
        <v>5352</v>
      </c>
      <c r="B5741" s="1" t="s">
        <v>5404</v>
      </c>
      <c r="C5741" s="1" t="s">
        <v>332</v>
      </c>
      <c r="D5741" s="1" t="s">
        <v>229</v>
      </c>
      <c r="E5741" s="1"/>
    </row>
    <row r="5742" spans="1:5" ht="16">
      <c r="A5742" s="1" t="s">
        <v>5352</v>
      </c>
      <c r="B5742" s="1" t="s">
        <v>5405</v>
      </c>
      <c r="C5742" s="1" t="s">
        <v>332</v>
      </c>
      <c r="D5742" s="1" t="s">
        <v>229</v>
      </c>
      <c r="E5742" s="1"/>
    </row>
    <row r="5743" spans="1:5" ht="16">
      <c r="A5743" s="1" t="s">
        <v>5352</v>
      </c>
      <c r="B5743" s="1" t="s">
        <v>5406</v>
      </c>
      <c r="C5743" s="1" t="s">
        <v>332</v>
      </c>
      <c r="D5743" s="1" t="s">
        <v>229</v>
      </c>
      <c r="E5743" s="1"/>
    </row>
    <row r="5744" spans="1:5" ht="16">
      <c r="A5744" s="1" t="s">
        <v>5352</v>
      </c>
      <c r="B5744" s="1" t="s">
        <v>5362</v>
      </c>
      <c r="C5744" s="1" t="s">
        <v>332</v>
      </c>
      <c r="D5744" s="1" t="s">
        <v>229</v>
      </c>
      <c r="E5744" s="1"/>
    </row>
    <row r="5745" spans="1:5" ht="16">
      <c r="A5745" s="1" t="s">
        <v>5352</v>
      </c>
      <c r="B5745" s="1" t="s">
        <v>5407</v>
      </c>
      <c r="C5745" s="1" t="s">
        <v>332</v>
      </c>
      <c r="D5745" s="1" t="s">
        <v>229</v>
      </c>
      <c r="E5745" s="1"/>
    </row>
    <row r="5746" spans="1:5" ht="16">
      <c r="A5746" s="1" t="s">
        <v>5352</v>
      </c>
      <c r="B5746" s="1" t="s">
        <v>5408</v>
      </c>
      <c r="C5746" s="1" t="s">
        <v>332</v>
      </c>
      <c r="D5746" s="1" t="s">
        <v>229</v>
      </c>
      <c r="E5746" s="1"/>
    </row>
    <row r="5747" spans="1:5" ht="16">
      <c r="A5747" s="1" t="s">
        <v>5352</v>
      </c>
      <c r="B5747" s="1" t="s">
        <v>5409</v>
      </c>
      <c r="C5747" s="1" t="s">
        <v>332</v>
      </c>
      <c r="D5747" s="1" t="s">
        <v>229</v>
      </c>
      <c r="E5747" s="1"/>
    </row>
    <row r="5748" spans="1:5" ht="16">
      <c r="A5748" s="1" t="s">
        <v>5352</v>
      </c>
      <c r="B5748" s="1" t="s">
        <v>5410</v>
      </c>
      <c r="C5748" s="1" t="s">
        <v>332</v>
      </c>
      <c r="D5748" s="1" t="s">
        <v>229</v>
      </c>
      <c r="E5748" s="1"/>
    </row>
    <row r="5749" spans="1:5" ht="16">
      <c r="A5749" s="1" t="s">
        <v>5352</v>
      </c>
      <c r="B5749" s="1" t="s">
        <v>5411</v>
      </c>
      <c r="C5749" s="1" t="s">
        <v>332</v>
      </c>
      <c r="D5749" s="1" t="s">
        <v>229</v>
      </c>
      <c r="E5749" s="1"/>
    </row>
    <row r="5750" spans="1:5" ht="16">
      <c r="A5750" s="1" t="s">
        <v>5352</v>
      </c>
      <c r="B5750" s="1" t="s">
        <v>5412</v>
      </c>
      <c r="C5750" s="1" t="s">
        <v>332</v>
      </c>
      <c r="D5750" s="1" t="s">
        <v>229</v>
      </c>
      <c r="E5750" s="1"/>
    </row>
    <row r="5751" spans="1:5" ht="16">
      <c r="A5751" s="1" t="s">
        <v>5352</v>
      </c>
      <c r="B5751" s="1" t="s">
        <v>5413</v>
      </c>
      <c r="C5751" s="1" t="s">
        <v>332</v>
      </c>
      <c r="D5751" s="1" t="s">
        <v>229</v>
      </c>
      <c r="E5751" s="1"/>
    </row>
    <row r="5752" spans="1:5" ht="16">
      <c r="A5752" s="1" t="s">
        <v>5352</v>
      </c>
      <c r="B5752" s="1" t="s">
        <v>5414</v>
      </c>
      <c r="C5752" s="1" t="s">
        <v>332</v>
      </c>
      <c r="D5752" s="1" t="s">
        <v>229</v>
      </c>
      <c r="E5752" s="1"/>
    </row>
    <row r="5753" spans="1:5" ht="16">
      <c r="A5753" s="1" t="s">
        <v>5352</v>
      </c>
      <c r="B5753" s="1" t="s">
        <v>5415</v>
      </c>
      <c r="C5753" s="1" t="s">
        <v>332</v>
      </c>
      <c r="D5753" s="1" t="s">
        <v>229</v>
      </c>
      <c r="E5753" s="1"/>
    </row>
    <row r="5754" spans="1:5" ht="16">
      <c r="A5754" s="1" t="s">
        <v>5352</v>
      </c>
      <c r="B5754" s="1" t="s">
        <v>5416</v>
      </c>
      <c r="C5754" s="1" t="s">
        <v>332</v>
      </c>
      <c r="D5754" s="1" t="s">
        <v>229</v>
      </c>
      <c r="E5754" s="1"/>
    </row>
    <row r="5755" spans="1:5" ht="16">
      <c r="A5755" s="1" t="s">
        <v>5352</v>
      </c>
      <c r="B5755" s="1" t="s">
        <v>5417</v>
      </c>
      <c r="C5755" s="1" t="s">
        <v>332</v>
      </c>
      <c r="D5755" s="1" t="s">
        <v>229</v>
      </c>
      <c r="E5755" s="1"/>
    </row>
    <row r="5756" spans="1:5" ht="16">
      <c r="A5756" s="1" t="s">
        <v>5352</v>
      </c>
      <c r="B5756" s="1" t="s">
        <v>5418</v>
      </c>
      <c r="C5756" s="1" t="s">
        <v>332</v>
      </c>
      <c r="D5756" s="1" t="s">
        <v>229</v>
      </c>
      <c r="E5756" s="1"/>
    </row>
    <row r="5757" spans="1:5" ht="16">
      <c r="A5757" s="1" t="s">
        <v>5352</v>
      </c>
      <c r="B5757" s="1" t="s">
        <v>5419</v>
      </c>
      <c r="C5757" s="1" t="s">
        <v>332</v>
      </c>
      <c r="D5757" s="1" t="s">
        <v>229</v>
      </c>
      <c r="E5757" s="1"/>
    </row>
    <row r="5758" spans="1:5" ht="16">
      <c r="A5758" s="1" t="s">
        <v>5352</v>
      </c>
      <c r="B5758" s="1" t="s">
        <v>5420</v>
      </c>
      <c r="C5758" s="1" t="s">
        <v>332</v>
      </c>
      <c r="D5758" s="1" t="s">
        <v>229</v>
      </c>
      <c r="E5758" s="1"/>
    </row>
    <row r="5759" spans="1:5" ht="16">
      <c r="A5759" s="1" t="s">
        <v>5352</v>
      </c>
      <c r="B5759" s="1" t="s">
        <v>5421</v>
      </c>
      <c r="C5759" s="1" t="s">
        <v>332</v>
      </c>
      <c r="D5759" s="1" t="s">
        <v>229</v>
      </c>
      <c r="E5759" s="1"/>
    </row>
    <row r="5760" spans="1:5" ht="16">
      <c r="A5760" s="1" t="s">
        <v>5352</v>
      </c>
      <c r="B5760" s="1" t="s">
        <v>5422</v>
      </c>
      <c r="C5760" s="1" t="s">
        <v>332</v>
      </c>
      <c r="D5760" s="1" t="s">
        <v>229</v>
      </c>
      <c r="E5760" s="1"/>
    </row>
    <row r="5761" spans="1:5" ht="16">
      <c r="A5761" s="1" t="s">
        <v>5352</v>
      </c>
      <c r="B5761" s="1" t="s">
        <v>5423</v>
      </c>
      <c r="C5761" s="1" t="s">
        <v>332</v>
      </c>
      <c r="D5761" s="1" t="s">
        <v>229</v>
      </c>
      <c r="E5761" s="1"/>
    </row>
    <row r="5762" spans="1:5" ht="16">
      <c r="A5762" s="1" t="s">
        <v>5352</v>
      </c>
      <c r="B5762" s="1" t="s">
        <v>5424</v>
      </c>
      <c r="C5762" s="1" t="s">
        <v>332</v>
      </c>
      <c r="D5762" s="1" t="s">
        <v>229</v>
      </c>
      <c r="E5762" s="1"/>
    </row>
    <row r="5763" spans="1:5" ht="16">
      <c r="A5763" s="1" t="s">
        <v>5352</v>
      </c>
      <c r="B5763" s="1" t="s">
        <v>5425</v>
      </c>
      <c r="C5763" s="1" t="s">
        <v>332</v>
      </c>
      <c r="D5763" s="1" t="s">
        <v>229</v>
      </c>
      <c r="E5763" s="1"/>
    </row>
    <row r="5764" spans="1:5" ht="16">
      <c r="A5764" s="1" t="s">
        <v>5352</v>
      </c>
      <c r="B5764" s="1" t="s">
        <v>5426</v>
      </c>
      <c r="C5764" s="1" t="s">
        <v>332</v>
      </c>
      <c r="D5764" s="1" t="s">
        <v>229</v>
      </c>
      <c r="E5764" s="1"/>
    </row>
    <row r="5765" spans="1:5" ht="16">
      <c r="A5765" s="1" t="s">
        <v>5352</v>
      </c>
      <c r="B5765" s="1" t="s">
        <v>5427</v>
      </c>
      <c r="C5765" s="1" t="s">
        <v>332</v>
      </c>
      <c r="D5765" s="1" t="s">
        <v>229</v>
      </c>
      <c r="E5765" s="1"/>
    </row>
    <row r="5766" spans="1:5" ht="16">
      <c r="A5766" s="1" t="s">
        <v>5352</v>
      </c>
      <c r="B5766" s="1" t="s">
        <v>5428</v>
      </c>
      <c r="C5766" s="1" t="s">
        <v>332</v>
      </c>
      <c r="D5766" s="1" t="s">
        <v>229</v>
      </c>
      <c r="E5766" s="1"/>
    </row>
    <row r="5767" spans="1:5" ht="16">
      <c r="A5767" s="1" t="s">
        <v>5352</v>
      </c>
      <c r="B5767" s="1" t="s">
        <v>5429</v>
      </c>
      <c r="C5767" s="1" t="s">
        <v>332</v>
      </c>
      <c r="D5767" s="1" t="s">
        <v>229</v>
      </c>
      <c r="E5767" s="1"/>
    </row>
    <row r="5768" spans="1:5" ht="16">
      <c r="A5768" s="1" t="s">
        <v>5352</v>
      </c>
      <c r="B5768" s="1" t="s">
        <v>5430</v>
      </c>
      <c r="C5768" s="1" t="s">
        <v>332</v>
      </c>
      <c r="D5768" s="1" t="s">
        <v>229</v>
      </c>
      <c r="E5768" s="1"/>
    </row>
    <row r="5769" spans="1:5" ht="16">
      <c r="A5769" s="1" t="s">
        <v>5352</v>
      </c>
      <c r="B5769" s="1" t="s">
        <v>5431</v>
      </c>
      <c r="C5769" s="1" t="s">
        <v>332</v>
      </c>
      <c r="D5769" s="1" t="s">
        <v>229</v>
      </c>
      <c r="E5769" s="1"/>
    </row>
    <row r="5770" spans="1:5" ht="16">
      <c r="A5770" s="1" t="s">
        <v>5352</v>
      </c>
      <c r="B5770" s="1" t="s">
        <v>5432</v>
      </c>
      <c r="C5770" s="1" t="s">
        <v>332</v>
      </c>
      <c r="D5770" s="1" t="s">
        <v>229</v>
      </c>
      <c r="E5770" s="1"/>
    </row>
    <row r="5771" spans="1:5" ht="16">
      <c r="A5771" s="1" t="s">
        <v>5352</v>
      </c>
      <c r="B5771" s="1" t="s">
        <v>5433</v>
      </c>
      <c r="C5771" s="1" t="s">
        <v>332</v>
      </c>
      <c r="D5771" s="1" t="s">
        <v>229</v>
      </c>
      <c r="E5771" s="1"/>
    </row>
    <row r="5772" spans="1:5" ht="16">
      <c r="A5772" s="1" t="s">
        <v>5352</v>
      </c>
      <c r="B5772" s="1" t="s">
        <v>5434</v>
      </c>
      <c r="C5772" s="1" t="s">
        <v>332</v>
      </c>
      <c r="D5772" s="1" t="s">
        <v>229</v>
      </c>
      <c r="E5772" s="1"/>
    </row>
    <row r="5773" spans="1:5" ht="16">
      <c r="A5773" s="1" t="s">
        <v>5352</v>
      </c>
      <c r="B5773" s="1" t="s">
        <v>5435</v>
      </c>
      <c r="C5773" s="1" t="s">
        <v>332</v>
      </c>
      <c r="D5773" s="1" t="s">
        <v>229</v>
      </c>
      <c r="E5773" s="1"/>
    </row>
    <row r="5774" spans="1:5" ht="16">
      <c r="A5774" s="1" t="s">
        <v>5352</v>
      </c>
      <c r="B5774" s="1" t="s">
        <v>5436</v>
      </c>
      <c r="C5774" s="1" t="s">
        <v>332</v>
      </c>
      <c r="D5774" s="1" t="s">
        <v>229</v>
      </c>
      <c r="E5774" s="1"/>
    </row>
    <row r="5775" spans="1:5" ht="16">
      <c r="A5775" s="1" t="s">
        <v>5352</v>
      </c>
      <c r="B5775" s="1" t="s">
        <v>5437</v>
      </c>
      <c r="C5775" s="1" t="s">
        <v>332</v>
      </c>
      <c r="D5775" s="1" t="s">
        <v>229</v>
      </c>
      <c r="E5775" s="1"/>
    </row>
    <row r="5776" spans="1:5" ht="16">
      <c r="A5776" s="1" t="s">
        <v>5352</v>
      </c>
      <c r="B5776" s="1" t="s">
        <v>5438</v>
      </c>
      <c r="C5776" s="1" t="s">
        <v>332</v>
      </c>
      <c r="D5776" s="1" t="s">
        <v>229</v>
      </c>
      <c r="E5776" s="1"/>
    </row>
    <row r="5777" spans="1:5" ht="16">
      <c r="A5777" s="1" t="s">
        <v>5352</v>
      </c>
      <c r="B5777" s="1" t="s">
        <v>5439</v>
      </c>
      <c r="C5777" s="1" t="s">
        <v>332</v>
      </c>
      <c r="D5777" s="1" t="s">
        <v>229</v>
      </c>
      <c r="E5777" s="1"/>
    </row>
    <row r="5778" spans="1:5" ht="16">
      <c r="A5778" s="1" t="s">
        <v>5352</v>
      </c>
      <c r="B5778" s="1" t="s">
        <v>5440</v>
      </c>
      <c r="C5778" s="1" t="s">
        <v>332</v>
      </c>
      <c r="D5778" s="1" t="s">
        <v>229</v>
      </c>
      <c r="E5778" s="1"/>
    </row>
    <row r="5779" spans="1:5" ht="16">
      <c r="A5779" s="1" t="s">
        <v>5352</v>
      </c>
      <c r="B5779" s="1" t="s">
        <v>5441</v>
      </c>
      <c r="C5779" s="1" t="s">
        <v>332</v>
      </c>
      <c r="D5779" s="1" t="s">
        <v>229</v>
      </c>
      <c r="E5779" s="1"/>
    </row>
    <row r="5780" spans="1:5" ht="16">
      <c r="A5780" s="1" t="s">
        <v>5352</v>
      </c>
      <c r="B5780" s="1" t="s">
        <v>5442</v>
      </c>
      <c r="C5780" s="1" t="s">
        <v>332</v>
      </c>
      <c r="D5780" s="1" t="s">
        <v>229</v>
      </c>
      <c r="E5780" s="1"/>
    </row>
    <row r="5781" spans="1:5" ht="16">
      <c r="A5781" s="1" t="s">
        <v>5352</v>
      </c>
      <c r="B5781" s="1" t="s">
        <v>5443</v>
      </c>
      <c r="C5781" s="1" t="s">
        <v>332</v>
      </c>
      <c r="D5781" s="1" t="s">
        <v>229</v>
      </c>
      <c r="E5781" s="1"/>
    </row>
    <row r="5782" spans="1:5" ht="16">
      <c r="A5782" s="1" t="s">
        <v>5352</v>
      </c>
      <c r="B5782" s="1" t="s">
        <v>5444</v>
      </c>
      <c r="C5782" s="1" t="s">
        <v>332</v>
      </c>
      <c r="D5782" s="1" t="s">
        <v>229</v>
      </c>
      <c r="E5782" s="1"/>
    </row>
    <row r="5783" spans="1:5" ht="16">
      <c r="A5783" s="1" t="s">
        <v>5352</v>
      </c>
      <c r="B5783" s="1" t="s">
        <v>5445</v>
      </c>
      <c r="C5783" s="1" t="s">
        <v>332</v>
      </c>
      <c r="D5783" s="1" t="s">
        <v>229</v>
      </c>
      <c r="E5783" s="1"/>
    </row>
    <row r="5784" spans="1:5" ht="16">
      <c r="A5784" s="1" t="s">
        <v>5352</v>
      </c>
      <c r="B5784" s="1" t="s">
        <v>5446</v>
      </c>
      <c r="C5784" s="1" t="s">
        <v>332</v>
      </c>
      <c r="D5784" s="1" t="s">
        <v>229</v>
      </c>
      <c r="E5784" s="1"/>
    </row>
    <row r="5785" spans="1:5" ht="16">
      <c r="A5785" s="1" t="s">
        <v>5352</v>
      </c>
      <c r="B5785" s="1" t="s">
        <v>5447</v>
      </c>
      <c r="C5785" s="1" t="s">
        <v>332</v>
      </c>
      <c r="D5785" s="1" t="s">
        <v>229</v>
      </c>
      <c r="E5785" s="1"/>
    </row>
    <row r="5786" spans="1:5" ht="16">
      <c r="A5786" s="1" t="s">
        <v>5352</v>
      </c>
      <c r="B5786" s="1" t="s">
        <v>5448</v>
      </c>
      <c r="C5786" s="1" t="s">
        <v>332</v>
      </c>
      <c r="D5786" s="1" t="s">
        <v>229</v>
      </c>
      <c r="E5786" s="1"/>
    </row>
    <row r="5787" spans="1:5" ht="16">
      <c r="A5787" s="1" t="s">
        <v>5352</v>
      </c>
      <c r="B5787" s="1" t="s">
        <v>5449</v>
      </c>
      <c r="C5787" s="1" t="s">
        <v>332</v>
      </c>
      <c r="D5787" s="1" t="s">
        <v>229</v>
      </c>
      <c r="E5787" s="1"/>
    </row>
    <row r="5788" spans="1:5" ht="16">
      <c r="A5788" s="1" t="s">
        <v>5352</v>
      </c>
      <c r="B5788" s="1" t="s">
        <v>5450</v>
      </c>
      <c r="C5788" s="1" t="s">
        <v>332</v>
      </c>
      <c r="D5788" s="1" t="s">
        <v>229</v>
      </c>
      <c r="E5788" s="1"/>
    </row>
    <row r="5789" spans="1:5" ht="16">
      <c r="A5789" s="1" t="s">
        <v>5352</v>
      </c>
      <c r="B5789" s="1" t="s">
        <v>5451</v>
      </c>
      <c r="C5789" s="1" t="s">
        <v>332</v>
      </c>
      <c r="D5789" s="1" t="s">
        <v>229</v>
      </c>
      <c r="E5789" s="1"/>
    </row>
    <row r="5790" spans="1:5" ht="16">
      <c r="A5790" s="1" t="s">
        <v>5352</v>
      </c>
      <c r="B5790" s="1" t="s">
        <v>5452</v>
      </c>
      <c r="C5790" s="1" t="s">
        <v>332</v>
      </c>
      <c r="D5790" s="1" t="s">
        <v>229</v>
      </c>
      <c r="E5790" s="1"/>
    </row>
    <row r="5791" spans="1:5" ht="16">
      <c r="A5791" s="1" t="s">
        <v>5352</v>
      </c>
      <c r="B5791" s="1" t="s">
        <v>5453</v>
      </c>
      <c r="C5791" s="1" t="s">
        <v>332</v>
      </c>
      <c r="D5791" s="1" t="s">
        <v>229</v>
      </c>
      <c r="E5791" s="1"/>
    </row>
    <row r="5792" spans="1:5" ht="16">
      <c r="A5792" s="1" t="s">
        <v>5352</v>
      </c>
      <c r="B5792" s="1" t="s">
        <v>5454</v>
      </c>
      <c r="C5792" s="1" t="s">
        <v>332</v>
      </c>
      <c r="D5792" s="1" t="s">
        <v>229</v>
      </c>
      <c r="E5792" s="1"/>
    </row>
    <row r="5793" spans="1:5" ht="16">
      <c r="A5793" s="1" t="s">
        <v>5352</v>
      </c>
      <c r="B5793" s="1" t="s">
        <v>5455</v>
      </c>
      <c r="C5793" s="1" t="s">
        <v>332</v>
      </c>
      <c r="D5793" s="1" t="s">
        <v>229</v>
      </c>
      <c r="E5793" s="1"/>
    </row>
    <row r="5794" spans="1:5" ht="16">
      <c r="A5794" s="1" t="s">
        <v>5352</v>
      </c>
      <c r="B5794" s="1" t="s">
        <v>5456</v>
      </c>
      <c r="C5794" s="1" t="s">
        <v>332</v>
      </c>
      <c r="D5794" s="1" t="s">
        <v>229</v>
      </c>
      <c r="E5794" s="1"/>
    </row>
    <row r="5795" spans="1:5" ht="16">
      <c r="A5795" s="1" t="s">
        <v>5352</v>
      </c>
      <c r="B5795" s="1" t="s">
        <v>5457</v>
      </c>
      <c r="C5795" s="1" t="s">
        <v>332</v>
      </c>
      <c r="D5795" s="1" t="s">
        <v>229</v>
      </c>
      <c r="E5795" s="1"/>
    </row>
    <row r="5796" spans="1:5" ht="16">
      <c r="A5796" s="1" t="s">
        <v>5352</v>
      </c>
      <c r="B5796" s="1" t="s">
        <v>5458</v>
      </c>
      <c r="C5796" s="1" t="s">
        <v>332</v>
      </c>
      <c r="D5796" s="1" t="s">
        <v>229</v>
      </c>
      <c r="E5796" s="1"/>
    </row>
    <row r="5797" spans="1:5" ht="16">
      <c r="A5797" s="1" t="s">
        <v>5352</v>
      </c>
      <c r="B5797" s="1" t="s">
        <v>5459</v>
      </c>
      <c r="C5797" s="1" t="s">
        <v>332</v>
      </c>
      <c r="D5797" s="1" t="s">
        <v>229</v>
      </c>
      <c r="E5797" s="1"/>
    </row>
    <row r="5798" spans="1:5" ht="16">
      <c r="A5798" s="1" t="s">
        <v>5352</v>
      </c>
      <c r="B5798" s="1" t="s">
        <v>5460</v>
      </c>
      <c r="C5798" s="1" t="s">
        <v>332</v>
      </c>
      <c r="D5798" s="1" t="s">
        <v>229</v>
      </c>
      <c r="E5798" s="1"/>
    </row>
    <row r="5799" spans="1:5" ht="16">
      <c r="A5799" s="1" t="s">
        <v>5352</v>
      </c>
      <c r="B5799" s="1" t="s">
        <v>5461</v>
      </c>
      <c r="C5799" s="1" t="s">
        <v>332</v>
      </c>
      <c r="D5799" s="1" t="s">
        <v>229</v>
      </c>
      <c r="E5799" s="1"/>
    </row>
    <row r="5800" spans="1:5" ht="16">
      <c r="A5800" s="1" t="s">
        <v>5352</v>
      </c>
      <c r="B5800" s="1" t="s">
        <v>5462</v>
      </c>
      <c r="C5800" s="1" t="s">
        <v>332</v>
      </c>
      <c r="D5800" s="1" t="s">
        <v>229</v>
      </c>
      <c r="E5800" s="1"/>
    </row>
    <row r="5801" spans="1:5" ht="16">
      <c r="A5801" s="1" t="s">
        <v>5352</v>
      </c>
      <c r="B5801" s="1" t="s">
        <v>5463</v>
      </c>
      <c r="C5801" s="1" t="s">
        <v>332</v>
      </c>
      <c r="D5801" s="1" t="s">
        <v>229</v>
      </c>
      <c r="E5801" s="1"/>
    </row>
    <row r="5802" spans="1:5" ht="16">
      <c r="A5802" s="1" t="s">
        <v>5352</v>
      </c>
      <c r="B5802" s="1" t="s">
        <v>5464</v>
      </c>
      <c r="C5802" s="1" t="s">
        <v>332</v>
      </c>
      <c r="D5802" s="1" t="s">
        <v>229</v>
      </c>
      <c r="E5802" s="1"/>
    </row>
    <row r="5803" spans="1:5" ht="16">
      <c r="A5803" s="1" t="s">
        <v>5352</v>
      </c>
      <c r="B5803" s="1" t="s">
        <v>5465</v>
      </c>
      <c r="C5803" s="1" t="s">
        <v>332</v>
      </c>
      <c r="D5803" s="1" t="s">
        <v>229</v>
      </c>
      <c r="E5803" s="1"/>
    </row>
    <row r="5804" spans="1:5" ht="16">
      <c r="A5804" s="1" t="s">
        <v>5352</v>
      </c>
      <c r="B5804" s="1" t="s">
        <v>5466</v>
      </c>
      <c r="C5804" s="1" t="s">
        <v>332</v>
      </c>
      <c r="D5804" s="1" t="s">
        <v>229</v>
      </c>
      <c r="E5804" s="1"/>
    </row>
    <row r="5805" spans="1:5" ht="16">
      <c r="A5805" s="1" t="s">
        <v>5352</v>
      </c>
      <c r="B5805" s="1" t="s">
        <v>5467</v>
      </c>
      <c r="C5805" s="1" t="s">
        <v>332</v>
      </c>
      <c r="D5805" s="1" t="s">
        <v>229</v>
      </c>
      <c r="E5805" s="1"/>
    </row>
    <row r="5806" spans="1:5" ht="16">
      <c r="A5806" s="1" t="s">
        <v>5352</v>
      </c>
      <c r="B5806" s="1" t="s">
        <v>5468</v>
      </c>
      <c r="C5806" s="1" t="s">
        <v>332</v>
      </c>
      <c r="D5806" s="1" t="s">
        <v>229</v>
      </c>
      <c r="E5806" s="1"/>
    </row>
    <row r="5807" spans="1:5" ht="16">
      <c r="A5807" s="1" t="s">
        <v>5352</v>
      </c>
      <c r="B5807" s="1" t="s">
        <v>5469</v>
      </c>
      <c r="C5807" s="1" t="s">
        <v>332</v>
      </c>
      <c r="D5807" s="1" t="s">
        <v>229</v>
      </c>
      <c r="E5807" s="1"/>
    </row>
    <row r="5808" spans="1:5" ht="16">
      <c r="A5808" s="1" t="s">
        <v>5352</v>
      </c>
      <c r="B5808" s="1" t="s">
        <v>5470</v>
      </c>
      <c r="C5808" s="1" t="s">
        <v>332</v>
      </c>
      <c r="D5808" s="1" t="s">
        <v>229</v>
      </c>
      <c r="E5808" s="1"/>
    </row>
    <row r="5809" spans="1:5" ht="16">
      <c r="A5809" s="1" t="s">
        <v>5352</v>
      </c>
      <c r="B5809" s="1" t="s">
        <v>5471</v>
      </c>
      <c r="C5809" s="1" t="s">
        <v>332</v>
      </c>
      <c r="D5809" s="1" t="s">
        <v>229</v>
      </c>
      <c r="E5809" s="1"/>
    </row>
    <row r="5810" spans="1:5" ht="16">
      <c r="A5810" s="1" t="s">
        <v>5352</v>
      </c>
      <c r="B5810" s="1" t="s">
        <v>5472</v>
      </c>
      <c r="C5810" s="1" t="s">
        <v>332</v>
      </c>
      <c r="D5810" s="1" t="s">
        <v>229</v>
      </c>
      <c r="E5810" s="1"/>
    </row>
    <row r="5811" spans="1:5" ht="16">
      <c r="A5811" s="1" t="s">
        <v>5352</v>
      </c>
      <c r="B5811" s="1" t="s">
        <v>5473</v>
      </c>
      <c r="C5811" s="1" t="s">
        <v>332</v>
      </c>
      <c r="D5811" s="1" t="s">
        <v>229</v>
      </c>
      <c r="E5811" s="1"/>
    </row>
    <row r="5812" spans="1:5" ht="16">
      <c r="A5812" s="1" t="s">
        <v>5352</v>
      </c>
      <c r="B5812" s="1" t="s">
        <v>5474</v>
      </c>
      <c r="C5812" s="1" t="s">
        <v>332</v>
      </c>
      <c r="D5812" s="1" t="s">
        <v>229</v>
      </c>
      <c r="E5812" s="1"/>
    </row>
    <row r="5813" spans="1:5" ht="16">
      <c r="A5813" s="1" t="s">
        <v>5352</v>
      </c>
      <c r="B5813" s="1" t="s">
        <v>5475</v>
      </c>
      <c r="C5813" s="1" t="s">
        <v>332</v>
      </c>
      <c r="D5813" s="1" t="s">
        <v>229</v>
      </c>
      <c r="E5813" s="1"/>
    </row>
    <row r="5814" spans="1:5" ht="16">
      <c r="A5814" s="1" t="s">
        <v>5352</v>
      </c>
      <c r="B5814" s="1" t="s">
        <v>5476</v>
      </c>
      <c r="C5814" s="1" t="s">
        <v>332</v>
      </c>
      <c r="D5814" s="1" t="s">
        <v>229</v>
      </c>
      <c r="E5814" s="1"/>
    </row>
    <row r="5815" spans="1:5" ht="16">
      <c r="A5815" s="1" t="s">
        <v>5352</v>
      </c>
      <c r="B5815" s="1" t="s">
        <v>5477</v>
      </c>
      <c r="C5815" s="1" t="s">
        <v>332</v>
      </c>
      <c r="D5815" s="1" t="s">
        <v>229</v>
      </c>
      <c r="E5815" s="1"/>
    </row>
    <row r="5816" spans="1:5" ht="16">
      <c r="A5816" s="1" t="s">
        <v>5352</v>
      </c>
      <c r="B5816" s="1" t="s">
        <v>5478</v>
      </c>
      <c r="C5816" s="1" t="s">
        <v>332</v>
      </c>
      <c r="D5816" s="1" t="s">
        <v>229</v>
      </c>
      <c r="E5816" s="1"/>
    </row>
    <row r="5817" spans="1:5" ht="16">
      <c r="A5817" s="1" t="s">
        <v>5352</v>
      </c>
      <c r="B5817" s="1" t="s">
        <v>5479</v>
      </c>
      <c r="C5817" s="1" t="s">
        <v>332</v>
      </c>
      <c r="D5817" s="1" t="s">
        <v>229</v>
      </c>
      <c r="E5817" s="1"/>
    </row>
    <row r="5818" spans="1:5" ht="16">
      <c r="A5818" s="1" t="s">
        <v>5352</v>
      </c>
      <c r="B5818" s="1" t="s">
        <v>5480</v>
      </c>
      <c r="C5818" s="1" t="s">
        <v>332</v>
      </c>
      <c r="D5818" s="1" t="s">
        <v>229</v>
      </c>
      <c r="E5818" s="1"/>
    </row>
    <row r="5819" spans="1:5" ht="16">
      <c r="A5819" s="1" t="s">
        <v>5352</v>
      </c>
      <c r="B5819" s="1" t="s">
        <v>5481</v>
      </c>
      <c r="C5819" s="1" t="s">
        <v>332</v>
      </c>
      <c r="D5819" s="1" t="s">
        <v>229</v>
      </c>
      <c r="E5819" s="1"/>
    </row>
    <row r="5820" spans="1:5" ht="16">
      <c r="A5820" s="1" t="s">
        <v>5352</v>
      </c>
      <c r="B5820" s="1" t="s">
        <v>5482</v>
      </c>
      <c r="C5820" s="1" t="s">
        <v>332</v>
      </c>
      <c r="D5820" s="1" t="s">
        <v>229</v>
      </c>
      <c r="E5820" s="1"/>
    </row>
    <row r="5821" spans="1:5" ht="16">
      <c r="A5821" s="1" t="s">
        <v>5352</v>
      </c>
      <c r="B5821" s="1" t="s">
        <v>5483</v>
      </c>
      <c r="C5821" s="1" t="s">
        <v>332</v>
      </c>
      <c r="D5821" s="1" t="s">
        <v>229</v>
      </c>
      <c r="E5821" s="1"/>
    </row>
    <row r="5822" spans="1:5" ht="16">
      <c r="A5822" s="1" t="s">
        <v>5352</v>
      </c>
      <c r="B5822" s="1" t="s">
        <v>5484</v>
      </c>
      <c r="C5822" s="1" t="s">
        <v>332</v>
      </c>
      <c r="D5822" s="1" t="s">
        <v>229</v>
      </c>
      <c r="E5822" s="1"/>
    </row>
    <row r="5823" spans="1:5" ht="16">
      <c r="A5823" s="1" t="s">
        <v>5352</v>
      </c>
      <c r="B5823" s="1" t="s">
        <v>5485</v>
      </c>
      <c r="C5823" s="1" t="s">
        <v>332</v>
      </c>
      <c r="D5823" s="1" t="s">
        <v>229</v>
      </c>
      <c r="E5823" s="1"/>
    </row>
    <row r="5824" spans="1:5" ht="16">
      <c r="A5824" s="1" t="s">
        <v>5352</v>
      </c>
      <c r="B5824" s="1" t="s">
        <v>5486</v>
      </c>
      <c r="C5824" s="1" t="s">
        <v>332</v>
      </c>
      <c r="D5824" s="1" t="s">
        <v>229</v>
      </c>
      <c r="E5824" s="1"/>
    </row>
    <row r="5825" spans="1:5" ht="16">
      <c r="A5825" s="1" t="s">
        <v>5352</v>
      </c>
      <c r="B5825" s="1" t="s">
        <v>5487</v>
      </c>
      <c r="C5825" s="1" t="s">
        <v>332</v>
      </c>
      <c r="D5825" s="1" t="s">
        <v>229</v>
      </c>
      <c r="E5825" s="1"/>
    </row>
    <row r="5826" spans="1:5" ht="16">
      <c r="A5826" s="1" t="s">
        <v>5352</v>
      </c>
      <c r="B5826" s="1" t="s">
        <v>5488</v>
      </c>
      <c r="C5826" s="1" t="s">
        <v>332</v>
      </c>
      <c r="D5826" s="1" t="s">
        <v>229</v>
      </c>
      <c r="E5826" s="1"/>
    </row>
    <row r="5827" spans="1:5" ht="16">
      <c r="A5827" s="1" t="s">
        <v>5352</v>
      </c>
      <c r="B5827" s="1" t="s">
        <v>5489</v>
      </c>
      <c r="C5827" s="1" t="s">
        <v>332</v>
      </c>
      <c r="D5827" s="1" t="s">
        <v>229</v>
      </c>
      <c r="E5827" s="1"/>
    </row>
    <row r="5828" spans="1:5" ht="16">
      <c r="A5828" s="1" t="s">
        <v>5352</v>
      </c>
      <c r="B5828" s="1" t="s">
        <v>5490</v>
      </c>
      <c r="C5828" s="1" t="s">
        <v>332</v>
      </c>
      <c r="D5828" s="1" t="s">
        <v>229</v>
      </c>
      <c r="E5828" s="1"/>
    </row>
    <row r="5829" spans="1:5" ht="16">
      <c r="A5829" s="1" t="s">
        <v>5352</v>
      </c>
      <c r="B5829" s="1" t="s">
        <v>5491</v>
      </c>
      <c r="C5829" s="1" t="s">
        <v>332</v>
      </c>
      <c r="D5829" s="1" t="s">
        <v>229</v>
      </c>
      <c r="E5829" s="1"/>
    </row>
    <row r="5830" spans="1:5" ht="16">
      <c r="A5830" s="1" t="s">
        <v>5352</v>
      </c>
      <c r="B5830" s="1" t="s">
        <v>5492</v>
      </c>
      <c r="C5830" s="1" t="s">
        <v>332</v>
      </c>
      <c r="D5830" s="1" t="s">
        <v>229</v>
      </c>
      <c r="E5830" s="1"/>
    </row>
    <row r="5831" spans="1:5" ht="16">
      <c r="A5831" s="1" t="s">
        <v>5352</v>
      </c>
      <c r="B5831" s="1" t="s">
        <v>5493</v>
      </c>
      <c r="C5831" s="1" t="s">
        <v>332</v>
      </c>
      <c r="D5831" s="1" t="s">
        <v>229</v>
      </c>
      <c r="E5831" s="1"/>
    </row>
    <row r="5832" spans="1:5" ht="16">
      <c r="A5832" s="1" t="s">
        <v>5352</v>
      </c>
      <c r="B5832" s="1" t="s">
        <v>5494</v>
      </c>
      <c r="C5832" s="1" t="s">
        <v>332</v>
      </c>
      <c r="D5832" s="1" t="s">
        <v>229</v>
      </c>
      <c r="E5832" s="1"/>
    </row>
    <row r="5833" spans="1:5" ht="16">
      <c r="A5833" s="1" t="s">
        <v>5352</v>
      </c>
      <c r="B5833" s="1" t="s">
        <v>5495</v>
      </c>
      <c r="C5833" s="1" t="s">
        <v>332</v>
      </c>
      <c r="D5833" s="1" t="s">
        <v>229</v>
      </c>
      <c r="E5833" s="1"/>
    </row>
    <row r="5834" spans="1:5" ht="16">
      <c r="A5834" s="1" t="s">
        <v>5352</v>
      </c>
      <c r="B5834" s="1" t="s">
        <v>5496</v>
      </c>
      <c r="C5834" s="1" t="s">
        <v>332</v>
      </c>
      <c r="D5834" s="1" t="s">
        <v>229</v>
      </c>
      <c r="E5834" s="1"/>
    </row>
    <row r="5835" spans="1:5" ht="16">
      <c r="A5835" s="1" t="s">
        <v>5352</v>
      </c>
      <c r="B5835" s="1" t="s">
        <v>5497</v>
      </c>
      <c r="C5835" s="1" t="s">
        <v>332</v>
      </c>
      <c r="D5835" s="1" t="s">
        <v>229</v>
      </c>
      <c r="E5835" s="1"/>
    </row>
    <row r="5836" spans="1:5" ht="16">
      <c r="A5836" s="1" t="s">
        <v>5498</v>
      </c>
      <c r="B5836" s="1" t="s">
        <v>5499</v>
      </c>
      <c r="C5836" s="1" t="s">
        <v>332</v>
      </c>
      <c r="D5836" s="1" t="s">
        <v>229</v>
      </c>
      <c r="E5836" s="1"/>
    </row>
    <row r="5837" spans="1:5" ht="16">
      <c r="A5837" s="1" t="s">
        <v>5500</v>
      </c>
      <c r="B5837" s="1" t="s">
        <v>5501</v>
      </c>
      <c r="C5837" s="1" t="s">
        <v>334</v>
      </c>
      <c r="D5837" s="1" t="s">
        <v>229</v>
      </c>
      <c r="E5837" s="1"/>
    </row>
    <row r="5838" spans="1:5" ht="16">
      <c r="A5838" s="1" t="s">
        <v>5502</v>
      </c>
      <c r="B5838" s="1" t="s">
        <v>5137</v>
      </c>
      <c r="C5838" s="1" t="s">
        <v>332</v>
      </c>
      <c r="D5838" s="1" t="s">
        <v>229</v>
      </c>
      <c r="E5838" s="1"/>
    </row>
    <row r="5839" spans="1:5" ht="16">
      <c r="A5839" s="1" t="s">
        <v>5503</v>
      </c>
      <c r="B5839" s="1" t="s">
        <v>5504</v>
      </c>
      <c r="C5839" s="1" t="s">
        <v>332</v>
      </c>
      <c r="D5839" s="1" t="s">
        <v>229</v>
      </c>
      <c r="E5839" s="1"/>
    </row>
    <row r="5840" spans="1:5" ht="16">
      <c r="A5840" s="1" t="s">
        <v>5503</v>
      </c>
      <c r="B5840" s="1" t="s">
        <v>5505</v>
      </c>
      <c r="C5840" s="1" t="s">
        <v>332</v>
      </c>
      <c r="D5840" s="1" t="s">
        <v>229</v>
      </c>
      <c r="E5840" s="1"/>
    </row>
    <row r="5841" spans="1:5" ht="16">
      <c r="A5841" s="1" t="s">
        <v>5503</v>
      </c>
      <c r="B5841" s="1" t="s">
        <v>5506</v>
      </c>
      <c r="C5841" s="1" t="s">
        <v>332</v>
      </c>
      <c r="D5841" s="1" t="s">
        <v>229</v>
      </c>
      <c r="E5841" s="1"/>
    </row>
    <row r="5842" spans="1:5" ht="16">
      <c r="A5842" s="1" t="s">
        <v>5503</v>
      </c>
      <c r="B5842" s="1" t="s">
        <v>5507</v>
      </c>
      <c r="C5842" s="1" t="s">
        <v>332</v>
      </c>
      <c r="D5842" s="1" t="s">
        <v>229</v>
      </c>
      <c r="E5842" s="1"/>
    </row>
    <row r="5843" spans="1:5" ht="16">
      <c r="A5843" s="1" t="s">
        <v>5503</v>
      </c>
      <c r="B5843" s="1" t="s">
        <v>5508</v>
      </c>
      <c r="C5843" s="1" t="s">
        <v>332</v>
      </c>
      <c r="D5843" s="1" t="s">
        <v>229</v>
      </c>
      <c r="E5843" s="1"/>
    </row>
    <row r="5844" spans="1:5" ht="16">
      <c r="A5844" s="1" t="s">
        <v>5503</v>
      </c>
      <c r="B5844" s="1" t="s">
        <v>5509</v>
      </c>
      <c r="C5844" s="1" t="s">
        <v>332</v>
      </c>
      <c r="D5844" s="1" t="s">
        <v>229</v>
      </c>
      <c r="E5844" s="1"/>
    </row>
    <row r="5845" spans="1:5" ht="16">
      <c r="A5845" s="1" t="s">
        <v>5503</v>
      </c>
      <c r="B5845" s="1" t="s">
        <v>5510</v>
      </c>
      <c r="C5845" s="1" t="s">
        <v>332</v>
      </c>
      <c r="D5845" s="1" t="s">
        <v>229</v>
      </c>
      <c r="E5845" s="1"/>
    </row>
    <row r="5846" spans="1:5" ht="16">
      <c r="A5846" s="1" t="s">
        <v>5503</v>
      </c>
      <c r="B5846" s="1" t="s">
        <v>5511</v>
      </c>
      <c r="C5846" s="1" t="s">
        <v>332</v>
      </c>
      <c r="D5846" s="1" t="s">
        <v>229</v>
      </c>
      <c r="E5846" s="1"/>
    </row>
    <row r="5847" spans="1:5" ht="16">
      <c r="A5847" s="1" t="s">
        <v>5503</v>
      </c>
      <c r="B5847" s="1" t="s">
        <v>5512</v>
      </c>
      <c r="C5847" s="1" t="s">
        <v>332</v>
      </c>
      <c r="D5847" s="1" t="s">
        <v>229</v>
      </c>
      <c r="E5847" s="1"/>
    </row>
    <row r="5848" spans="1:5" ht="16">
      <c r="A5848" s="1" t="s">
        <v>5503</v>
      </c>
      <c r="B5848" s="1" t="s">
        <v>1315</v>
      </c>
      <c r="C5848" s="1" t="s">
        <v>332</v>
      </c>
      <c r="D5848" s="1" t="s">
        <v>229</v>
      </c>
      <c r="E5848" s="1"/>
    </row>
    <row r="5849" spans="1:5" ht="16">
      <c r="A5849" s="1" t="s">
        <v>5503</v>
      </c>
      <c r="B5849" s="1" t="s">
        <v>5513</v>
      </c>
      <c r="C5849" s="1" t="s">
        <v>332</v>
      </c>
      <c r="D5849" s="1" t="s">
        <v>229</v>
      </c>
      <c r="E5849" s="1"/>
    </row>
    <row r="5850" spans="1:5" ht="16">
      <c r="A5850" s="1" t="s">
        <v>5503</v>
      </c>
      <c r="B5850" s="1" t="s">
        <v>5514</v>
      </c>
      <c r="C5850" s="1" t="s">
        <v>332</v>
      </c>
      <c r="D5850" s="1" t="s">
        <v>229</v>
      </c>
      <c r="E5850" s="1"/>
    </row>
    <row r="5851" spans="1:5" ht="16">
      <c r="A5851" s="1" t="s">
        <v>5503</v>
      </c>
      <c r="B5851" s="1" t="s">
        <v>5515</v>
      </c>
      <c r="C5851" s="1" t="s">
        <v>332</v>
      </c>
      <c r="D5851" s="1" t="s">
        <v>229</v>
      </c>
      <c r="E5851" s="1"/>
    </row>
    <row r="5852" spans="1:5" ht="16">
      <c r="A5852" s="1" t="s">
        <v>5503</v>
      </c>
      <c r="B5852" s="1" t="s">
        <v>5516</v>
      </c>
      <c r="C5852" s="1" t="s">
        <v>332</v>
      </c>
      <c r="D5852" s="1" t="s">
        <v>229</v>
      </c>
      <c r="E5852" s="1"/>
    </row>
    <row r="5853" spans="1:5" ht="16">
      <c r="A5853" s="1" t="s">
        <v>5503</v>
      </c>
      <c r="B5853" s="1" t="s">
        <v>5517</v>
      </c>
      <c r="C5853" s="1" t="s">
        <v>332</v>
      </c>
      <c r="D5853" s="1" t="s">
        <v>229</v>
      </c>
      <c r="E5853" s="1"/>
    </row>
    <row r="5854" spans="1:5" ht="16">
      <c r="A5854" s="1" t="s">
        <v>5503</v>
      </c>
      <c r="B5854" s="1" t="s">
        <v>5518</v>
      </c>
      <c r="C5854" s="1" t="s">
        <v>332</v>
      </c>
      <c r="D5854" s="1" t="s">
        <v>229</v>
      </c>
      <c r="E5854" s="1"/>
    </row>
    <row r="5855" spans="1:5" ht="16">
      <c r="A5855" s="1" t="s">
        <v>5503</v>
      </c>
      <c r="B5855" s="1" t="s">
        <v>5519</v>
      </c>
      <c r="C5855" s="1" t="s">
        <v>332</v>
      </c>
      <c r="D5855" s="1" t="s">
        <v>229</v>
      </c>
      <c r="E5855" s="1"/>
    </row>
    <row r="5856" spans="1:5" ht="16">
      <c r="A5856" s="1" t="s">
        <v>5503</v>
      </c>
      <c r="B5856" s="1" t="s">
        <v>5520</v>
      </c>
      <c r="C5856" s="1" t="s">
        <v>332</v>
      </c>
      <c r="D5856" s="1" t="s">
        <v>229</v>
      </c>
      <c r="E5856" s="1"/>
    </row>
    <row r="5857" spans="1:5" ht="16">
      <c r="A5857" s="1" t="s">
        <v>5503</v>
      </c>
      <c r="B5857" s="1" t="s">
        <v>1308</v>
      </c>
      <c r="C5857" s="1" t="s">
        <v>332</v>
      </c>
      <c r="D5857" s="1" t="s">
        <v>229</v>
      </c>
      <c r="E5857" s="1"/>
    </row>
    <row r="5858" spans="1:5" ht="16">
      <c r="A5858" s="1" t="s">
        <v>5503</v>
      </c>
      <c r="B5858" s="1" t="s">
        <v>1312</v>
      </c>
      <c r="C5858" s="1" t="s">
        <v>332</v>
      </c>
      <c r="D5858" s="1" t="s">
        <v>229</v>
      </c>
      <c r="E5858" s="1"/>
    </row>
    <row r="5859" spans="1:5" ht="16">
      <c r="A5859" s="1" t="s">
        <v>5503</v>
      </c>
      <c r="B5859" s="1" t="s">
        <v>5521</v>
      </c>
      <c r="C5859" s="1" t="s">
        <v>332</v>
      </c>
      <c r="D5859" s="1" t="s">
        <v>229</v>
      </c>
      <c r="E5859" s="1"/>
    </row>
    <row r="5860" spans="1:5" ht="16">
      <c r="A5860" s="1" t="s">
        <v>5503</v>
      </c>
      <c r="B5860" s="1" t="s">
        <v>5522</v>
      </c>
      <c r="C5860" s="1" t="s">
        <v>332</v>
      </c>
      <c r="D5860" s="1" t="s">
        <v>229</v>
      </c>
      <c r="E5860" s="1"/>
    </row>
    <row r="5861" spans="1:5" ht="16">
      <c r="A5861" s="1" t="s">
        <v>5503</v>
      </c>
      <c r="B5861" s="1" t="s">
        <v>5523</v>
      </c>
      <c r="C5861" s="1" t="s">
        <v>332</v>
      </c>
      <c r="D5861" s="1" t="s">
        <v>229</v>
      </c>
      <c r="E5861" s="1"/>
    </row>
    <row r="5862" spans="1:5" ht="16">
      <c r="A5862" s="1" t="s">
        <v>5503</v>
      </c>
      <c r="B5862" s="1" t="s">
        <v>5524</v>
      </c>
      <c r="C5862" s="1" t="s">
        <v>332</v>
      </c>
      <c r="D5862" s="1" t="s">
        <v>229</v>
      </c>
      <c r="E5862" s="1"/>
    </row>
    <row r="5863" spans="1:5" ht="16">
      <c r="A5863" s="1" t="s">
        <v>5503</v>
      </c>
      <c r="B5863" s="1" t="s">
        <v>5525</v>
      </c>
      <c r="C5863" s="1" t="s">
        <v>332</v>
      </c>
      <c r="D5863" s="1" t="s">
        <v>229</v>
      </c>
      <c r="E5863" s="1"/>
    </row>
    <row r="5864" spans="1:5" ht="16">
      <c r="A5864" s="1" t="s">
        <v>5503</v>
      </c>
      <c r="B5864" s="1" t="s">
        <v>5526</v>
      </c>
      <c r="C5864" s="1" t="s">
        <v>332</v>
      </c>
      <c r="D5864" s="1" t="s">
        <v>229</v>
      </c>
      <c r="E5864" s="1"/>
    </row>
    <row r="5865" spans="1:5" ht="16">
      <c r="A5865" s="1" t="s">
        <v>5503</v>
      </c>
      <c r="B5865" s="1" t="s">
        <v>1421</v>
      </c>
      <c r="C5865" s="1" t="s">
        <v>332</v>
      </c>
      <c r="D5865" s="1" t="s">
        <v>229</v>
      </c>
      <c r="E5865" s="1"/>
    </row>
    <row r="5866" spans="1:5" ht="16">
      <c r="A5866" s="1" t="s">
        <v>5503</v>
      </c>
      <c r="B5866" s="1" t="s">
        <v>1422</v>
      </c>
      <c r="C5866" s="1" t="s">
        <v>332</v>
      </c>
      <c r="D5866" s="1" t="s">
        <v>229</v>
      </c>
      <c r="E5866" s="1"/>
    </row>
    <row r="5867" spans="1:5" ht="16">
      <c r="A5867" s="1" t="s">
        <v>5503</v>
      </c>
      <c r="B5867" s="1" t="s">
        <v>1423</v>
      </c>
      <c r="C5867" s="1" t="s">
        <v>332</v>
      </c>
      <c r="D5867" s="1" t="s">
        <v>229</v>
      </c>
      <c r="E5867" s="1"/>
    </row>
    <row r="5868" spans="1:5" ht="16">
      <c r="A5868" s="1" t="s">
        <v>5503</v>
      </c>
      <c r="B5868" s="1" t="s">
        <v>1424</v>
      </c>
      <c r="C5868" s="1" t="s">
        <v>332</v>
      </c>
      <c r="D5868" s="1" t="s">
        <v>229</v>
      </c>
      <c r="E5868" s="1"/>
    </row>
    <row r="5869" spans="1:5" ht="16">
      <c r="A5869" s="1" t="s">
        <v>5503</v>
      </c>
      <c r="B5869" s="1" t="s">
        <v>5527</v>
      </c>
      <c r="C5869" s="1" t="s">
        <v>332</v>
      </c>
      <c r="D5869" s="1" t="s">
        <v>229</v>
      </c>
      <c r="E5869" s="1"/>
    </row>
    <row r="5870" spans="1:5" ht="16">
      <c r="A5870" s="1" t="s">
        <v>5503</v>
      </c>
      <c r="B5870" s="1" t="s">
        <v>5528</v>
      </c>
      <c r="C5870" s="1" t="s">
        <v>332</v>
      </c>
      <c r="D5870" s="1" t="s">
        <v>229</v>
      </c>
      <c r="E5870" s="1"/>
    </row>
    <row r="5871" spans="1:5" ht="16">
      <c r="A5871" s="1" t="s">
        <v>5503</v>
      </c>
      <c r="B5871" s="1" t="s">
        <v>5529</v>
      </c>
      <c r="C5871" s="1" t="s">
        <v>332</v>
      </c>
      <c r="D5871" s="1" t="s">
        <v>229</v>
      </c>
      <c r="E5871" s="1"/>
    </row>
    <row r="5872" spans="1:5" ht="16">
      <c r="A5872" s="1" t="s">
        <v>5503</v>
      </c>
      <c r="B5872" s="1" t="s">
        <v>5530</v>
      </c>
      <c r="C5872" s="1" t="s">
        <v>332</v>
      </c>
      <c r="D5872" s="1" t="s">
        <v>229</v>
      </c>
      <c r="E5872" s="1"/>
    </row>
    <row r="5873" spans="1:5" ht="16">
      <c r="A5873" s="1" t="s">
        <v>5503</v>
      </c>
      <c r="B5873" s="1" t="s">
        <v>5531</v>
      </c>
      <c r="C5873" s="1" t="s">
        <v>332</v>
      </c>
      <c r="D5873" s="1" t="s">
        <v>229</v>
      </c>
      <c r="E5873" s="1"/>
    </row>
    <row r="5874" spans="1:5" ht="16">
      <c r="A5874" s="1" t="s">
        <v>5503</v>
      </c>
      <c r="B5874" s="1" t="s">
        <v>5532</v>
      </c>
      <c r="C5874" s="1" t="s">
        <v>332</v>
      </c>
      <c r="D5874" s="1" t="s">
        <v>229</v>
      </c>
      <c r="E5874" s="1"/>
    </row>
    <row r="5875" spans="1:5" ht="16">
      <c r="A5875" s="1" t="s">
        <v>5503</v>
      </c>
      <c r="B5875" s="1" t="s">
        <v>5533</v>
      </c>
      <c r="C5875" s="1" t="s">
        <v>332</v>
      </c>
      <c r="D5875" s="1" t="s">
        <v>229</v>
      </c>
      <c r="E5875" s="1"/>
    </row>
    <row r="5876" spans="1:5" ht="16">
      <c r="A5876" s="1" t="s">
        <v>5503</v>
      </c>
      <c r="B5876" s="1" t="s">
        <v>5534</v>
      </c>
      <c r="C5876" s="1" t="s">
        <v>332</v>
      </c>
      <c r="D5876" s="1" t="s">
        <v>229</v>
      </c>
      <c r="E5876" s="1"/>
    </row>
    <row r="5877" spans="1:5" ht="16">
      <c r="A5877" s="1" t="s">
        <v>5503</v>
      </c>
      <c r="B5877" s="1" t="s">
        <v>1441</v>
      </c>
      <c r="C5877" s="1" t="s">
        <v>332</v>
      </c>
      <c r="D5877" s="1" t="s">
        <v>229</v>
      </c>
      <c r="E5877" s="1"/>
    </row>
    <row r="5878" spans="1:5" ht="16">
      <c r="A5878" s="1" t="s">
        <v>5503</v>
      </c>
      <c r="B5878" s="1" t="s">
        <v>5535</v>
      </c>
      <c r="C5878" s="1" t="s">
        <v>332</v>
      </c>
      <c r="D5878" s="1" t="s">
        <v>229</v>
      </c>
      <c r="E5878" s="1"/>
    </row>
    <row r="5879" spans="1:5" ht="16">
      <c r="A5879" s="1" t="s">
        <v>5503</v>
      </c>
      <c r="B5879" s="1" t="s">
        <v>5536</v>
      </c>
      <c r="C5879" s="1" t="s">
        <v>332</v>
      </c>
      <c r="D5879" s="1" t="s">
        <v>229</v>
      </c>
      <c r="E5879" s="1"/>
    </row>
    <row r="5880" spans="1:5" ht="16">
      <c r="A5880" s="1" t="s">
        <v>5503</v>
      </c>
      <c r="B5880" s="1" t="s">
        <v>1448</v>
      </c>
      <c r="C5880" s="1" t="s">
        <v>332</v>
      </c>
      <c r="D5880" s="1" t="s">
        <v>229</v>
      </c>
      <c r="E5880" s="1"/>
    </row>
    <row r="5881" spans="1:5" ht="16">
      <c r="A5881" s="1" t="s">
        <v>5503</v>
      </c>
      <c r="B5881" s="1" t="s">
        <v>1449</v>
      </c>
      <c r="C5881" s="1" t="s">
        <v>332</v>
      </c>
      <c r="D5881" s="1" t="s">
        <v>229</v>
      </c>
      <c r="E5881" s="1"/>
    </row>
    <row r="5882" spans="1:5" ht="16">
      <c r="A5882" s="1" t="s">
        <v>5503</v>
      </c>
      <c r="B5882" s="1" t="s">
        <v>1450</v>
      </c>
      <c r="C5882" s="1" t="s">
        <v>332</v>
      </c>
      <c r="D5882" s="1" t="s">
        <v>229</v>
      </c>
      <c r="E5882" s="1"/>
    </row>
    <row r="5883" spans="1:5" ht="16">
      <c r="A5883" s="1" t="s">
        <v>5503</v>
      </c>
      <c r="B5883" s="1" t="s">
        <v>1451</v>
      </c>
      <c r="C5883" s="1" t="s">
        <v>332</v>
      </c>
      <c r="D5883" s="1" t="s">
        <v>229</v>
      </c>
      <c r="E5883" s="1"/>
    </row>
    <row r="5884" spans="1:5" ht="16">
      <c r="A5884" s="1" t="s">
        <v>5503</v>
      </c>
      <c r="B5884" s="1" t="s">
        <v>5537</v>
      </c>
      <c r="C5884" s="1" t="s">
        <v>332</v>
      </c>
      <c r="D5884" s="1" t="s">
        <v>229</v>
      </c>
      <c r="E5884" s="1"/>
    </row>
    <row r="5885" spans="1:5" ht="16">
      <c r="A5885" s="1" t="s">
        <v>5503</v>
      </c>
      <c r="B5885" s="1" t="s">
        <v>5538</v>
      </c>
      <c r="C5885" s="1" t="s">
        <v>332</v>
      </c>
      <c r="D5885" s="1" t="s">
        <v>229</v>
      </c>
      <c r="E5885" s="1"/>
    </row>
    <row r="5886" spans="1:5" ht="16">
      <c r="A5886" s="1" t="s">
        <v>5503</v>
      </c>
      <c r="B5886" s="1" t="s">
        <v>5539</v>
      </c>
      <c r="C5886" s="1" t="s">
        <v>332</v>
      </c>
      <c r="D5886" s="1" t="s">
        <v>229</v>
      </c>
      <c r="E5886" s="1"/>
    </row>
    <row r="5887" spans="1:5" ht="16">
      <c r="A5887" s="1" t="s">
        <v>5503</v>
      </c>
      <c r="B5887" s="1" t="s">
        <v>5540</v>
      </c>
      <c r="C5887" s="1" t="s">
        <v>332</v>
      </c>
      <c r="D5887" s="1" t="s">
        <v>229</v>
      </c>
      <c r="E5887" s="1"/>
    </row>
    <row r="5888" spans="1:5" ht="16">
      <c r="A5888" s="1" t="s">
        <v>5503</v>
      </c>
      <c r="B5888" s="1" t="s">
        <v>5541</v>
      </c>
      <c r="C5888" s="1" t="s">
        <v>332</v>
      </c>
      <c r="D5888" s="1" t="s">
        <v>229</v>
      </c>
      <c r="E5888" s="1"/>
    </row>
    <row r="5889" spans="1:5" ht="16">
      <c r="A5889" s="1" t="s">
        <v>5503</v>
      </c>
      <c r="B5889" s="1" t="s">
        <v>5542</v>
      </c>
      <c r="C5889" s="1" t="s">
        <v>332</v>
      </c>
      <c r="D5889" s="1" t="s">
        <v>229</v>
      </c>
      <c r="E5889" s="1"/>
    </row>
    <row r="5890" spans="1:5" ht="16">
      <c r="A5890" s="1" t="s">
        <v>5503</v>
      </c>
      <c r="B5890" s="1" t="s">
        <v>5543</v>
      </c>
      <c r="C5890" s="1" t="s">
        <v>332</v>
      </c>
      <c r="D5890" s="1" t="s">
        <v>229</v>
      </c>
      <c r="E5890" s="1"/>
    </row>
    <row r="5891" spans="1:5" ht="16">
      <c r="A5891" s="1" t="s">
        <v>5503</v>
      </c>
      <c r="B5891" s="1" t="s">
        <v>5544</v>
      </c>
      <c r="C5891" s="1" t="s">
        <v>332</v>
      </c>
      <c r="D5891" s="1" t="s">
        <v>229</v>
      </c>
      <c r="E5891" s="1"/>
    </row>
    <row r="5892" spans="1:5" ht="16">
      <c r="A5892" s="1" t="s">
        <v>5503</v>
      </c>
      <c r="B5892" s="1" t="s">
        <v>5545</v>
      </c>
      <c r="C5892" s="1" t="s">
        <v>332</v>
      </c>
      <c r="D5892" s="1" t="s">
        <v>229</v>
      </c>
      <c r="E5892" s="1"/>
    </row>
    <row r="5893" spans="1:5" ht="16">
      <c r="A5893" s="1" t="s">
        <v>5503</v>
      </c>
      <c r="B5893" s="1" t="s">
        <v>1524</v>
      </c>
      <c r="C5893" s="1" t="s">
        <v>332</v>
      </c>
      <c r="D5893" s="1" t="s">
        <v>229</v>
      </c>
      <c r="E5893" s="1"/>
    </row>
    <row r="5894" spans="1:5" ht="16">
      <c r="A5894" s="1" t="s">
        <v>5503</v>
      </c>
      <c r="B5894" s="1" t="s">
        <v>5546</v>
      </c>
      <c r="C5894" s="1" t="s">
        <v>332</v>
      </c>
      <c r="D5894" s="1" t="s">
        <v>229</v>
      </c>
      <c r="E5894" s="1"/>
    </row>
    <row r="5895" spans="1:5" ht="16">
      <c r="A5895" s="1" t="s">
        <v>5503</v>
      </c>
      <c r="B5895" s="1" t="s">
        <v>5547</v>
      </c>
      <c r="C5895" s="1" t="s">
        <v>332</v>
      </c>
      <c r="D5895" s="1" t="s">
        <v>229</v>
      </c>
      <c r="E5895" s="1"/>
    </row>
    <row r="5896" spans="1:5" ht="16">
      <c r="A5896" s="1" t="s">
        <v>5503</v>
      </c>
      <c r="B5896" s="1" t="s">
        <v>5548</v>
      </c>
      <c r="C5896" s="1" t="s">
        <v>332</v>
      </c>
      <c r="D5896" s="1" t="s">
        <v>229</v>
      </c>
      <c r="E5896" s="1"/>
    </row>
    <row r="5897" spans="1:5" ht="16">
      <c r="A5897" s="1" t="s">
        <v>5503</v>
      </c>
      <c r="B5897" s="1" t="s">
        <v>5549</v>
      </c>
      <c r="C5897" s="1" t="s">
        <v>332</v>
      </c>
      <c r="D5897" s="1" t="s">
        <v>229</v>
      </c>
      <c r="E5897" s="1"/>
    </row>
    <row r="5898" spans="1:5" ht="16">
      <c r="A5898" s="1" t="s">
        <v>5503</v>
      </c>
      <c r="B5898" s="1" t="s">
        <v>5550</v>
      </c>
      <c r="C5898" s="1" t="s">
        <v>332</v>
      </c>
      <c r="D5898" s="1" t="s">
        <v>229</v>
      </c>
      <c r="E5898" s="1"/>
    </row>
    <row r="5899" spans="1:5" ht="16">
      <c r="A5899" s="1" t="s">
        <v>5503</v>
      </c>
      <c r="B5899" s="1" t="s">
        <v>5551</v>
      </c>
      <c r="C5899" s="1" t="s">
        <v>332</v>
      </c>
      <c r="D5899" s="1" t="s">
        <v>229</v>
      </c>
      <c r="E5899" s="1"/>
    </row>
    <row r="5900" spans="1:5" ht="16">
      <c r="A5900" s="1" t="s">
        <v>5503</v>
      </c>
      <c r="B5900" s="1" t="s">
        <v>5552</v>
      </c>
      <c r="C5900" s="1" t="s">
        <v>332</v>
      </c>
      <c r="D5900" s="1" t="s">
        <v>229</v>
      </c>
      <c r="E5900" s="1"/>
    </row>
    <row r="5901" spans="1:5" ht="16">
      <c r="A5901" s="1" t="s">
        <v>5503</v>
      </c>
      <c r="B5901" s="1" t="s">
        <v>5553</v>
      </c>
      <c r="C5901" s="1" t="s">
        <v>332</v>
      </c>
      <c r="D5901" s="1" t="s">
        <v>229</v>
      </c>
      <c r="E5901" s="1"/>
    </row>
    <row r="5902" spans="1:5" ht="16">
      <c r="A5902" s="1" t="s">
        <v>5503</v>
      </c>
      <c r="B5902" s="1" t="s">
        <v>5554</v>
      </c>
      <c r="C5902" s="1" t="s">
        <v>332</v>
      </c>
      <c r="D5902" s="1" t="s">
        <v>229</v>
      </c>
      <c r="E5902" s="1"/>
    </row>
    <row r="5903" spans="1:5" ht="16">
      <c r="A5903" s="1" t="s">
        <v>5503</v>
      </c>
      <c r="B5903" s="1" t="s">
        <v>5555</v>
      </c>
      <c r="C5903" s="1" t="s">
        <v>332</v>
      </c>
      <c r="D5903" s="1" t="s">
        <v>229</v>
      </c>
      <c r="E5903" s="1"/>
    </row>
    <row r="5904" spans="1:5" ht="16">
      <c r="A5904" s="1" t="s">
        <v>5503</v>
      </c>
      <c r="B5904" s="1" t="s">
        <v>5556</v>
      </c>
      <c r="C5904" s="1" t="s">
        <v>332</v>
      </c>
      <c r="D5904" s="1" t="s">
        <v>229</v>
      </c>
      <c r="E5904" s="1"/>
    </row>
    <row r="5905" spans="1:5" ht="16">
      <c r="A5905" s="1" t="s">
        <v>5503</v>
      </c>
      <c r="B5905" s="1" t="s">
        <v>5557</v>
      </c>
      <c r="C5905" s="1" t="s">
        <v>332</v>
      </c>
      <c r="D5905" s="1" t="s">
        <v>229</v>
      </c>
      <c r="E5905" s="1"/>
    </row>
    <row r="5906" spans="1:5" ht="16">
      <c r="A5906" s="1" t="s">
        <v>5503</v>
      </c>
      <c r="B5906" s="1" t="s">
        <v>5558</v>
      </c>
      <c r="C5906" s="1" t="s">
        <v>332</v>
      </c>
      <c r="D5906" s="1" t="s">
        <v>229</v>
      </c>
      <c r="E5906" s="1"/>
    </row>
    <row r="5907" spans="1:5" ht="16">
      <c r="A5907" s="1" t="s">
        <v>5503</v>
      </c>
      <c r="B5907" s="1" t="s">
        <v>5559</v>
      </c>
      <c r="C5907" s="1" t="s">
        <v>332</v>
      </c>
      <c r="D5907" s="1" t="s">
        <v>229</v>
      </c>
      <c r="E5907" s="1"/>
    </row>
    <row r="5908" spans="1:5" ht="16">
      <c r="A5908" s="1" t="s">
        <v>5503</v>
      </c>
      <c r="B5908" s="1" t="s">
        <v>5560</v>
      </c>
      <c r="C5908" s="1" t="s">
        <v>332</v>
      </c>
      <c r="D5908" s="1" t="s">
        <v>229</v>
      </c>
      <c r="E5908" s="1"/>
    </row>
    <row r="5909" spans="1:5" ht="16">
      <c r="A5909" s="1" t="s">
        <v>5503</v>
      </c>
      <c r="B5909" s="1" t="s">
        <v>5561</v>
      </c>
      <c r="C5909" s="1" t="s">
        <v>332</v>
      </c>
      <c r="D5909" s="1" t="s">
        <v>229</v>
      </c>
      <c r="E5909" s="1"/>
    </row>
    <row r="5910" spans="1:5" ht="16">
      <c r="A5910" s="1" t="s">
        <v>5503</v>
      </c>
      <c r="B5910" s="1" t="s">
        <v>5562</v>
      </c>
      <c r="C5910" s="1" t="s">
        <v>332</v>
      </c>
      <c r="D5910" s="1" t="s">
        <v>229</v>
      </c>
      <c r="E5910" s="1"/>
    </row>
    <row r="5911" spans="1:5" ht="16">
      <c r="A5911" s="1" t="s">
        <v>5503</v>
      </c>
      <c r="B5911" s="1" t="s">
        <v>5563</v>
      </c>
      <c r="C5911" s="1" t="s">
        <v>332</v>
      </c>
      <c r="D5911" s="1" t="s">
        <v>229</v>
      </c>
      <c r="E5911" s="1"/>
    </row>
    <row r="5912" spans="1:5" ht="16">
      <c r="A5912" s="1" t="s">
        <v>5503</v>
      </c>
      <c r="B5912" s="1" t="s">
        <v>5564</v>
      </c>
      <c r="C5912" s="1" t="s">
        <v>332</v>
      </c>
      <c r="D5912" s="1" t="s">
        <v>229</v>
      </c>
      <c r="E5912" s="1"/>
    </row>
    <row r="5913" spans="1:5" ht="16">
      <c r="A5913" s="1" t="s">
        <v>5503</v>
      </c>
      <c r="B5913" s="1" t="s">
        <v>5565</v>
      </c>
      <c r="C5913" s="1" t="s">
        <v>332</v>
      </c>
      <c r="D5913" s="1" t="s">
        <v>229</v>
      </c>
      <c r="E5913" s="1"/>
    </row>
    <row r="5914" spans="1:5" ht="16">
      <c r="A5914" s="1" t="s">
        <v>5503</v>
      </c>
      <c r="B5914" s="1" t="s">
        <v>5566</v>
      </c>
      <c r="C5914" s="1" t="s">
        <v>332</v>
      </c>
      <c r="D5914" s="1" t="s">
        <v>229</v>
      </c>
      <c r="E5914" s="1"/>
    </row>
    <row r="5915" spans="1:5" ht="16">
      <c r="A5915" s="1" t="s">
        <v>5567</v>
      </c>
      <c r="B5915" s="1" t="s">
        <v>5568</v>
      </c>
      <c r="C5915" s="1" t="s">
        <v>332</v>
      </c>
      <c r="D5915" s="1" t="s">
        <v>229</v>
      </c>
      <c r="E5915" s="1"/>
    </row>
    <row r="5916" spans="1:5" ht="16">
      <c r="A5916" s="1" t="s">
        <v>5567</v>
      </c>
      <c r="B5916" s="1" t="s">
        <v>5569</v>
      </c>
      <c r="C5916" s="1" t="s">
        <v>332</v>
      </c>
      <c r="D5916" s="1" t="s">
        <v>229</v>
      </c>
      <c r="E5916" s="1"/>
    </row>
    <row r="5917" spans="1:5" ht="16">
      <c r="A5917" s="1" t="s">
        <v>5570</v>
      </c>
      <c r="B5917" s="1" t="s">
        <v>5571</v>
      </c>
      <c r="C5917" s="1" t="s">
        <v>334</v>
      </c>
      <c r="D5917" s="1" t="s">
        <v>229</v>
      </c>
      <c r="E5917" s="1" t="s">
        <v>500</v>
      </c>
    </row>
    <row r="5918" spans="1:5" ht="16">
      <c r="A5918" s="1" t="s">
        <v>5570</v>
      </c>
      <c r="B5918" s="1" t="s">
        <v>5572</v>
      </c>
      <c r="C5918" s="1" t="s">
        <v>334</v>
      </c>
      <c r="D5918" s="1" t="s">
        <v>229</v>
      </c>
      <c r="E5918" s="1" t="s">
        <v>500</v>
      </c>
    </row>
    <row r="5919" spans="1:5" ht="16">
      <c r="A5919" s="1" t="s">
        <v>5570</v>
      </c>
      <c r="B5919" s="1" t="s">
        <v>5573</v>
      </c>
      <c r="C5919" s="1" t="s">
        <v>334</v>
      </c>
      <c r="D5919" s="1" t="s">
        <v>229</v>
      </c>
      <c r="E5919" s="1" t="s">
        <v>500</v>
      </c>
    </row>
    <row r="5920" spans="1:5" ht="16">
      <c r="A5920" s="1" t="s">
        <v>5570</v>
      </c>
      <c r="B5920" s="1" t="s">
        <v>5574</v>
      </c>
      <c r="C5920" s="1" t="s">
        <v>334</v>
      </c>
      <c r="D5920" s="1" t="s">
        <v>229</v>
      </c>
      <c r="E5920" s="1" t="s">
        <v>500</v>
      </c>
    </row>
    <row r="5921" spans="1:5" ht="16">
      <c r="A5921" s="1" t="s">
        <v>5570</v>
      </c>
      <c r="B5921" s="1" t="s">
        <v>5575</v>
      </c>
      <c r="C5921" s="1" t="s">
        <v>334</v>
      </c>
      <c r="D5921" s="1" t="s">
        <v>229</v>
      </c>
      <c r="E5921" s="1" t="s">
        <v>500</v>
      </c>
    </row>
    <row r="5922" spans="1:5" ht="16">
      <c r="A5922" s="1" t="s">
        <v>5570</v>
      </c>
      <c r="B5922" s="1" t="s">
        <v>5576</v>
      </c>
      <c r="C5922" s="1" t="s">
        <v>334</v>
      </c>
      <c r="D5922" s="1" t="s">
        <v>229</v>
      </c>
      <c r="E5922" s="1" t="s">
        <v>500</v>
      </c>
    </row>
    <row r="5923" spans="1:5" ht="16">
      <c r="A5923" s="1" t="s">
        <v>5570</v>
      </c>
      <c r="B5923" s="1" t="s">
        <v>1202</v>
      </c>
      <c r="C5923" s="1" t="s">
        <v>334</v>
      </c>
      <c r="D5923" s="1" t="s">
        <v>229</v>
      </c>
      <c r="E5923" s="1" t="s">
        <v>500</v>
      </c>
    </row>
    <row r="5924" spans="1:5" ht="16">
      <c r="A5924" s="1" t="s">
        <v>5570</v>
      </c>
      <c r="B5924" s="1" t="s">
        <v>5577</v>
      </c>
      <c r="C5924" s="1" t="s">
        <v>334</v>
      </c>
      <c r="D5924" s="1" t="s">
        <v>229</v>
      </c>
      <c r="E5924" s="1" t="s">
        <v>500</v>
      </c>
    </row>
    <row r="5925" spans="1:5" ht="16">
      <c r="A5925" s="1" t="s">
        <v>5570</v>
      </c>
      <c r="B5925" s="1" t="s">
        <v>5578</v>
      </c>
      <c r="C5925" s="1" t="s">
        <v>334</v>
      </c>
      <c r="D5925" s="1" t="s">
        <v>229</v>
      </c>
      <c r="E5925" s="1" t="s">
        <v>500</v>
      </c>
    </row>
    <row r="5926" spans="1:5" ht="16">
      <c r="A5926" s="1" t="s">
        <v>5570</v>
      </c>
      <c r="B5926" s="1" t="s">
        <v>5579</v>
      </c>
      <c r="C5926" s="1" t="s">
        <v>334</v>
      </c>
      <c r="D5926" s="1" t="s">
        <v>229</v>
      </c>
      <c r="E5926" s="1" t="s">
        <v>500</v>
      </c>
    </row>
    <row r="5927" spans="1:5" ht="16">
      <c r="A5927" s="1" t="s">
        <v>5570</v>
      </c>
      <c r="B5927" s="1" t="s">
        <v>5580</v>
      </c>
      <c r="C5927" s="1" t="s">
        <v>334</v>
      </c>
      <c r="D5927" s="1" t="s">
        <v>229</v>
      </c>
      <c r="E5927" s="1" t="s">
        <v>500</v>
      </c>
    </row>
    <row r="5928" spans="1:5" ht="16">
      <c r="A5928" s="1" t="s">
        <v>5570</v>
      </c>
      <c r="B5928" s="1" t="s">
        <v>5581</v>
      </c>
      <c r="C5928" s="1" t="s">
        <v>334</v>
      </c>
      <c r="D5928" s="1" t="s">
        <v>229</v>
      </c>
      <c r="E5928" s="1" t="s">
        <v>500</v>
      </c>
    </row>
    <row r="5929" spans="1:5" ht="16">
      <c r="A5929" s="1" t="s">
        <v>5582</v>
      </c>
      <c r="B5929" s="1" t="s">
        <v>5583</v>
      </c>
      <c r="C5929" s="1" t="s">
        <v>332</v>
      </c>
      <c r="D5929" s="1" t="s">
        <v>355</v>
      </c>
      <c r="E5929" s="1"/>
    </row>
    <row r="5930" spans="1:5" ht="16">
      <c r="A5930" s="1" t="s">
        <v>5582</v>
      </c>
      <c r="B5930" s="1" t="s">
        <v>5584</v>
      </c>
      <c r="C5930" s="1" t="s">
        <v>332</v>
      </c>
      <c r="D5930" s="1" t="s">
        <v>229</v>
      </c>
      <c r="E5930" s="1"/>
    </row>
    <row r="5931" spans="1:5" ht="16">
      <c r="A5931" s="1" t="s">
        <v>5582</v>
      </c>
      <c r="B5931" s="1" t="s">
        <v>5585</v>
      </c>
      <c r="C5931" s="1" t="s">
        <v>332</v>
      </c>
      <c r="D5931" s="1" t="s">
        <v>229</v>
      </c>
      <c r="E5931" s="1"/>
    </row>
    <row r="5932" spans="1:5" ht="16">
      <c r="A5932" s="1" t="s">
        <v>5582</v>
      </c>
      <c r="B5932" s="1" t="s">
        <v>5586</v>
      </c>
      <c r="C5932" s="1" t="s">
        <v>332</v>
      </c>
      <c r="D5932" s="1" t="s">
        <v>355</v>
      </c>
      <c r="E5932" s="1"/>
    </row>
    <row r="5933" spans="1:5" ht="16">
      <c r="A5933" s="1" t="s">
        <v>5587</v>
      </c>
      <c r="B5933" s="1" t="s">
        <v>5588</v>
      </c>
      <c r="C5933" s="1" t="s">
        <v>332</v>
      </c>
      <c r="D5933" s="1" t="s">
        <v>229</v>
      </c>
      <c r="E5933" s="1"/>
    </row>
    <row r="5934" spans="1:5" ht="16">
      <c r="A5934" s="1" t="s">
        <v>5587</v>
      </c>
      <c r="B5934" s="1" t="s">
        <v>5589</v>
      </c>
      <c r="C5934" s="1" t="s">
        <v>332</v>
      </c>
      <c r="D5934" s="1" t="s">
        <v>229</v>
      </c>
      <c r="E5934" s="1"/>
    </row>
    <row r="5935" spans="1:5" ht="16">
      <c r="A5935" s="1" t="s">
        <v>5587</v>
      </c>
      <c r="B5935" s="1" t="s">
        <v>5590</v>
      </c>
      <c r="C5935" s="1" t="s">
        <v>332</v>
      </c>
      <c r="D5935" s="1" t="s">
        <v>229</v>
      </c>
      <c r="E5935" s="1"/>
    </row>
    <row r="5936" spans="1:5" ht="16">
      <c r="A5936" s="1" t="s">
        <v>5587</v>
      </c>
      <c r="B5936" s="1" t="s">
        <v>5591</v>
      </c>
      <c r="C5936" s="1" t="s">
        <v>332</v>
      </c>
      <c r="D5936" s="1" t="s">
        <v>229</v>
      </c>
      <c r="E5936" s="1"/>
    </row>
    <row r="5937" spans="1:5" ht="16">
      <c r="A5937" s="1" t="s">
        <v>5587</v>
      </c>
      <c r="B5937" s="1" t="s">
        <v>5592</v>
      </c>
      <c r="C5937" s="1" t="s">
        <v>332</v>
      </c>
      <c r="D5937" s="1" t="s">
        <v>229</v>
      </c>
      <c r="E5937" s="1"/>
    </row>
    <row r="5938" spans="1:5" ht="16">
      <c r="A5938" s="1" t="s">
        <v>5587</v>
      </c>
      <c r="B5938" s="1" t="s">
        <v>5593</v>
      </c>
      <c r="C5938" s="1" t="s">
        <v>332</v>
      </c>
      <c r="D5938" s="1" t="s">
        <v>229</v>
      </c>
      <c r="E5938" s="1"/>
    </row>
    <row r="5939" spans="1:5" ht="16">
      <c r="A5939" s="1" t="s">
        <v>5587</v>
      </c>
      <c r="B5939" s="1" t="s">
        <v>5594</v>
      </c>
      <c r="C5939" s="1" t="s">
        <v>332</v>
      </c>
      <c r="D5939" s="1" t="s">
        <v>229</v>
      </c>
      <c r="E5939" s="1"/>
    </row>
    <row r="5940" spans="1:5" ht="16">
      <c r="A5940" s="1" t="s">
        <v>5587</v>
      </c>
      <c r="B5940" s="1" t="s">
        <v>5595</v>
      </c>
      <c r="C5940" s="1" t="s">
        <v>332</v>
      </c>
      <c r="D5940" s="1" t="s">
        <v>229</v>
      </c>
      <c r="E5940" s="1"/>
    </row>
    <row r="5941" spans="1:5" ht="16">
      <c r="A5941" s="1" t="s">
        <v>5587</v>
      </c>
      <c r="B5941" s="1" t="s">
        <v>5596</v>
      </c>
      <c r="C5941" s="1" t="s">
        <v>332</v>
      </c>
      <c r="D5941" s="1" t="s">
        <v>229</v>
      </c>
      <c r="E5941" s="1"/>
    </row>
    <row r="5942" spans="1:5" ht="16">
      <c r="A5942" s="1" t="s">
        <v>5587</v>
      </c>
      <c r="B5942" s="1" t="s">
        <v>5597</v>
      </c>
      <c r="C5942" s="1" t="s">
        <v>332</v>
      </c>
      <c r="D5942" s="1" t="s">
        <v>229</v>
      </c>
      <c r="E5942" s="1"/>
    </row>
    <row r="5943" spans="1:5" ht="16">
      <c r="A5943" s="1" t="s">
        <v>5587</v>
      </c>
      <c r="B5943" s="1" t="s">
        <v>5598</v>
      </c>
      <c r="C5943" s="1" t="s">
        <v>332</v>
      </c>
      <c r="D5943" s="1" t="s">
        <v>229</v>
      </c>
      <c r="E5943" s="1"/>
    </row>
    <row r="5944" spans="1:5" ht="16">
      <c r="A5944" s="1" t="s">
        <v>5587</v>
      </c>
      <c r="B5944" s="1" t="s">
        <v>5599</v>
      </c>
      <c r="C5944" s="1" t="s">
        <v>332</v>
      </c>
      <c r="D5944" s="1" t="s">
        <v>229</v>
      </c>
      <c r="E5944" s="1"/>
    </row>
    <row r="5945" spans="1:5" ht="16">
      <c r="A5945" s="1" t="s">
        <v>5587</v>
      </c>
      <c r="B5945" s="1" t="s">
        <v>5600</v>
      </c>
      <c r="C5945" s="1" t="s">
        <v>332</v>
      </c>
      <c r="D5945" s="1" t="s">
        <v>229</v>
      </c>
      <c r="E5945" s="1"/>
    </row>
    <row r="5946" spans="1:5" ht="16">
      <c r="A5946" s="1" t="s">
        <v>5587</v>
      </c>
      <c r="B5946" s="1" t="s">
        <v>5601</v>
      </c>
      <c r="C5946" s="1" t="s">
        <v>332</v>
      </c>
      <c r="D5946" s="1" t="s">
        <v>229</v>
      </c>
      <c r="E5946" s="1"/>
    </row>
    <row r="5947" spans="1:5" ht="16">
      <c r="A5947" s="1" t="s">
        <v>5587</v>
      </c>
      <c r="B5947" s="1" t="s">
        <v>5602</v>
      </c>
      <c r="C5947" s="1" t="s">
        <v>332</v>
      </c>
      <c r="D5947" s="1" t="s">
        <v>229</v>
      </c>
      <c r="E5947" s="1"/>
    </row>
    <row r="5948" spans="1:5" ht="16">
      <c r="A5948" s="1" t="s">
        <v>5587</v>
      </c>
      <c r="B5948" s="1" t="s">
        <v>5603</v>
      </c>
      <c r="C5948" s="1" t="s">
        <v>332</v>
      </c>
      <c r="D5948" s="1" t="s">
        <v>229</v>
      </c>
      <c r="E5948" s="1"/>
    </row>
    <row r="5949" spans="1:5" ht="16">
      <c r="A5949" s="1" t="s">
        <v>5587</v>
      </c>
      <c r="B5949" s="1" t="s">
        <v>5604</v>
      </c>
      <c r="C5949" s="1" t="s">
        <v>332</v>
      </c>
      <c r="D5949" s="1" t="s">
        <v>229</v>
      </c>
      <c r="E5949" s="1"/>
    </row>
    <row r="5950" spans="1:5" ht="16">
      <c r="A5950" s="1" t="s">
        <v>5587</v>
      </c>
      <c r="B5950" s="1" t="s">
        <v>5605</v>
      </c>
      <c r="C5950" s="1" t="s">
        <v>332</v>
      </c>
      <c r="D5950" s="1" t="s">
        <v>229</v>
      </c>
      <c r="E5950" s="1"/>
    </row>
    <row r="5951" spans="1:5" ht="16">
      <c r="A5951" s="1" t="s">
        <v>5587</v>
      </c>
      <c r="B5951" s="1" t="s">
        <v>5606</v>
      </c>
      <c r="C5951" s="1" t="s">
        <v>332</v>
      </c>
      <c r="D5951" s="1" t="s">
        <v>229</v>
      </c>
      <c r="E5951" s="1"/>
    </row>
    <row r="5952" spans="1:5" ht="16">
      <c r="A5952" s="1" t="s">
        <v>5587</v>
      </c>
      <c r="B5952" s="1" t="s">
        <v>5607</v>
      </c>
      <c r="C5952" s="1" t="s">
        <v>332</v>
      </c>
      <c r="D5952" s="1" t="s">
        <v>229</v>
      </c>
      <c r="E5952" s="1"/>
    </row>
    <row r="5953" spans="1:5" ht="16">
      <c r="A5953" s="1" t="s">
        <v>5587</v>
      </c>
      <c r="B5953" s="1" t="s">
        <v>5608</v>
      </c>
      <c r="C5953" s="1" t="s">
        <v>332</v>
      </c>
      <c r="D5953" s="1" t="s">
        <v>229</v>
      </c>
      <c r="E5953" s="1"/>
    </row>
    <row r="5954" spans="1:5" ht="16">
      <c r="A5954" s="1" t="s">
        <v>5587</v>
      </c>
      <c r="B5954" s="1" t="s">
        <v>5609</v>
      </c>
      <c r="C5954" s="1" t="s">
        <v>332</v>
      </c>
      <c r="D5954" s="1" t="s">
        <v>229</v>
      </c>
      <c r="E5954" s="1"/>
    </row>
    <row r="5955" spans="1:5" ht="16">
      <c r="A5955" s="1" t="s">
        <v>5587</v>
      </c>
      <c r="B5955" s="1" t="s">
        <v>5610</v>
      </c>
      <c r="C5955" s="1" t="s">
        <v>332</v>
      </c>
      <c r="D5955" s="1" t="s">
        <v>229</v>
      </c>
      <c r="E5955" s="1"/>
    </row>
    <row r="5956" spans="1:5" ht="16">
      <c r="A5956" s="1" t="s">
        <v>5587</v>
      </c>
      <c r="B5956" s="1" t="s">
        <v>5611</v>
      </c>
      <c r="C5956" s="1" t="s">
        <v>332</v>
      </c>
      <c r="D5956" s="1" t="s">
        <v>229</v>
      </c>
      <c r="E5956" s="1"/>
    </row>
    <row r="5957" spans="1:5" ht="16">
      <c r="A5957" s="1" t="s">
        <v>5587</v>
      </c>
      <c r="B5957" s="1" t="s">
        <v>5612</v>
      </c>
      <c r="C5957" s="1" t="s">
        <v>332</v>
      </c>
      <c r="D5957" s="1" t="s">
        <v>229</v>
      </c>
      <c r="E5957" s="1"/>
    </row>
    <row r="5958" spans="1:5" ht="16">
      <c r="A5958" s="1" t="s">
        <v>5587</v>
      </c>
      <c r="B5958" s="1" t="s">
        <v>5613</v>
      </c>
      <c r="C5958" s="1" t="s">
        <v>332</v>
      </c>
      <c r="D5958" s="1" t="s">
        <v>229</v>
      </c>
      <c r="E5958" s="1"/>
    </row>
    <row r="5959" spans="1:5" ht="16">
      <c r="A5959" s="1" t="s">
        <v>5587</v>
      </c>
      <c r="B5959" s="1" t="s">
        <v>5614</v>
      </c>
      <c r="C5959" s="1" t="s">
        <v>332</v>
      </c>
      <c r="D5959" s="1" t="s">
        <v>229</v>
      </c>
      <c r="E5959" s="1"/>
    </row>
    <row r="5960" spans="1:5" ht="16">
      <c r="A5960" s="1" t="s">
        <v>5587</v>
      </c>
      <c r="B5960" s="1" t="s">
        <v>5615</v>
      </c>
      <c r="C5960" s="1" t="s">
        <v>332</v>
      </c>
      <c r="D5960" s="1" t="s">
        <v>229</v>
      </c>
      <c r="E5960" s="1"/>
    </row>
    <row r="5961" spans="1:5" ht="16">
      <c r="A5961" s="1" t="s">
        <v>5587</v>
      </c>
      <c r="B5961" s="1" t="s">
        <v>5616</v>
      </c>
      <c r="C5961" s="1" t="s">
        <v>332</v>
      </c>
      <c r="D5961" s="1" t="s">
        <v>229</v>
      </c>
      <c r="E5961" s="1"/>
    </row>
    <row r="5962" spans="1:5" ht="16">
      <c r="A5962" s="1" t="s">
        <v>5587</v>
      </c>
      <c r="B5962" s="1" t="s">
        <v>5617</v>
      </c>
      <c r="C5962" s="1" t="s">
        <v>332</v>
      </c>
      <c r="D5962" s="1" t="s">
        <v>229</v>
      </c>
      <c r="E5962" s="1"/>
    </row>
    <row r="5963" spans="1:5" ht="16">
      <c r="A5963" s="1" t="s">
        <v>5587</v>
      </c>
      <c r="B5963" s="1" t="s">
        <v>5618</v>
      </c>
      <c r="C5963" s="1" t="s">
        <v>332</v>
      </c>
      <c r="D5963" s="1" t="s">
        <v>229</v>
      </c>
      <c r="E5963" s="1"/>
    </row>
    <row r="5964" spans="1:5" ht="16">
      <c r="A5964" s="1" t="s">
        <v>5587</v>
      </c>
      <c r="B5964" s="1" t="s">
        <v>5619</v>
      </c>
      <c r="C5964" s="1" t="s">
        <v>332</v>
      </c>
      <c r="D5964" s="1" t="s">
        <v>229</v>
      </c>
      <c r="E5964" s="1"/>
    </row>
    <row r="5965" spans="1:5" ht="16">
      <c r="A5965" s="1" t="s">
        <v>5587</v>
      </c>
      <c r="B5965" s="1" t="s">
        <v>5620</v>
      </c>
      <c r="C5965" s="1" t="s">
        <v>332</v>
      </c>
      <c r="D5965" s="1" t="s">
        <v>229</v>
      </c>
      <c r="E5965" s="1"/>
    </row>
    <row r="5966" spans="1:5" ht="16">
      <c r="A5966" s="1" t="s">
        <v>5587</v>
      </c>
      <c r="B5966" s="1" t="s">
        <v>5621</v>
      </c>
      <c r="C5966" s="1" t="s">
        <v>332</v>
      </c>
      <c r="D5966" s="1" t="s">
        <v>229</v>
      </c>
      <c r="E5966" s="1"/>
    </row>
    <row r="5967" spans="1:5" ht="16">
      <c r="A5967" s="1" t="s">
        <v>5587</v>
      </c>
      <c r="B5967" s="1" t="s">
        <v>5622</v>
      </c>
      <c r="C5967" s="1" t="s">
        <v>332</v>
      </c>
      <c r="D5967" s="1" t="s">
        <v>229</v>
      </c>
      <c r="E5967" s="1"/>
    </row>
    <row r="5968" spans="1:5" ht="16">
      <c r="A5968" s="1" t="s">
        <v>5587</v>
      </c>
      <c r="B5968" s="1" t="s">
        <v>5623</v>
      </c>
      <c r="C5968" s="1" t="s">
        <v>332</v>
      </c>
      <c r="D5968" s="1" t="s">
        <v>229</v>
      </c>
      <c r="E5968" s="1"/>
    </row>
    <row r="5969" spans="1:5" ht="16">
      <c r="A5969" s="1" t="s">
        <v>5587</v>
      </c>
      <c r="B5969" s="1" t="s">
        <v>5624</v>
      </c>
      <c r="C5969" s="1" t="s">
        <v>332</v>
      </c>
      <c r="D5969" s="1" t="s">
        <v>229</v>
      </c>
      <c r="E5969" s="1"/>
    </row>
    <row r="5970" spans="1:5" ht="16">
      <c r="A5970" s="1" t="s">
        <v>5587</v>
      </c>
      <c r="B5970" s="1" t="s">
        <v>5625</v>
      </c>
      <c r="C5970" s="1" t="s">
        <v>332</v>
      </c>
      <c r="D5970" s="1" t="s">
        <v>229</v>
      </c>
      <c r="E5970" s="1"/>
    </row>
    <row r="5971" spans="1:5" ht="16">
      <c r="A5971" s="1" t="s">
        <v>5587</v>
      </c>
      <c r="B5971" s="1" t="s">
        <v>5626</v>
      </c>
      <c r="C5971" s="1" t="s">
        <v>332</v>
      </c>
      <c r="D5971" s="1" t="s">
        <v>229</v>
      </c>
      <c r="E5971" s="1"/>
    </row>
    <row r="5972" spans="1:5" ht="16">
      <c r="A5972" s="1" t="s">
        <v>5587</v>
      </c>
      <c r="B5972" s="1" t="s">
        <v>5627</v>
      </c>
      <c r="C5972" s="1" t="s">
        <v>332</v>
      </c>
      <c r="D5972" s="1" t="s">
        <v>229</v>
      </c>
      <c r="E5972" s="1"/>
    </row>
    <row r="5973" spans="1:5" ht="16">
      <c r="A5973" s="1" t="s">
        <v>5587</v>
      </c>
      <c r="B5973" s="1" t="s">
        <v>5628</v>
      </c>
      <c r="C5973" s="1" t="s">
        <v>332</v>
      </c>
      <c r="D5973" s="1" t="s">
        <v>229</v>
      </c>
      <c r="E5973" s="1"/>
    </row>
    <row r="5974" spans="1:5" ht="16">
      <c r="A5974" s="1" t="s">
        <v>5587</v>
      </c>
      <c r="B5974" s="1" t="s">
        <v>5629</v>
      </c>
      <c r="C5974" s="1" t="s">
        <v>332</v>
      </c>
      <c r="D5974" s="1" t="s">
        <v>229</v>
      </c>
      <c r="E5974" s="1"/>
    </row>
    <row r="5975" spans="1:5" ht="16">
      <c r="A5975" s="1" t="s">
        <v>5587</v>
      </c>
      <c r="B5975" s="1" t="s">
        <v>5630</v>
      </c>
      <c r="C5975" s="1" t="s">
        <v>332</v>
      </c>
      <c r="D5975" s="1" t="s">
        <v>229</v>
      </c>
      <c r="E5975" s="1"/>
    </row>
    <row r="5976" spans="1:5" ht="16">
      <c r="A5976" s="1" t="s">
        <v>5587</v>
      </c>
      <c r="B5976" s="1" t="s">
        <v>5631</v>
      </c>
      <c r="C5976" s="1" t="s">
        <v>332</v>
      </c>
      <c r="D5976" s="1" t="s">
        <v>229</v>
      </c>
      <c r="E5976" s="1"/>
    </row>
    <row r="5977" spans="1:5" ht="16">
      <c r="A5977" s="1" t="s">
        <v>5587</v>
      </c>
      <c r="B5977" s="1" t="s">
        <v>5632</v>
      </c>
      <c r="C5977" s="1" t="s">
        <v>332</v>
      </c>
      <c r="D5977" s="1" t="s">
        <v>229</v>
      </c>
      <c r="E5977" s="1"/>
    </row>
    <row r="5978" spans="1:5" ht="16">
      <c r="A5978" s="1" t="s">
        <v>5587</v>
      </c>
      <c r="B5978" s="1" t="s">
        <v>5633</v>
      </c>
      <c r="C5978" s="1" t="s">
        <v>332</v>
      </c>
      <c r="D5978" s="1" t="s">
        <v>229</v>
      </c>
      <c r="E5978" s="1"/>
    </row>
    <row r="5979" spans="1:5" ht="16">
      <c r="A5979" s="1" t="s">
        <v>5587</v>
      </c>
      <c r="B5979" s="1" t="s">
        <v>5634</v>
      </c>
      <c r="C5979" s="1" t="s">
        <v>332</v>
      </c>
      <c r="D5979" s="1" t="s">
        <v>229</v>
      </c>
      <c r="E5979" s="1"/>
    </row>
    <row r="5980" spans="1:5" ht="16">
      <c r="A5980" s="1" t="s">
        <v>5587</v>
      </c>
      <c r="B5980" s="1" t="s">
        <v>5635</v>
      </c>
      <c r="C5980" s="1" t="s">
        <v>332</v>
      </c>
      <c r="D5980" s="1" t="s">
        <v>229</v>
      </c>
      <c r="E5980" s="1"/>
    </row>
    <row r="5981" spans="1:5" ht="16">
      <c r="A5981" s="1" t="s">
        <v>5587</v>
      </c>
      <c r="B5981" s="1" t="s">
        <v>5636</v>
      </c>
      <c r="C5981" s="1" t="s">
        <v>332</v>
      </c>
      <c r="D5981" s="1" t="s">
        <v>229</v>
      </c>
      <c r="E5981" s="1"/>
    </row>
    <row r="5982" spans="1:5" ht="16">
      <c r="A5982" s="1" t="s">
        <v>5587</v>
      </c>
      <c r="B5982" s="1" t="s">
        <v>5637</v>
      </c>
      <c r="C5982" s="1" t="s">
        <v>332</v>
      </c>
      <c r="D5982" s="1" t="s">
        <v>229</v>
      </c>
      <c r="E5982" s="1"/>
    </row>
    <row r="5983" spans="1:5" ht="16">
      <c r="A5983" s="1" t="s">
        <v>5587</v>
      </c>
      <c r="B5983" s="1" t="s">
        <v>5638</v>
      </c>
      <c r="C5983" s="1" t="s">
        <v>332</v>
      </c>
      <c r="D5983" s="1" t="s">
        <v>229</v>
      </c>
      <c r="E5983" s="1"/>
    </row>
    <row r="5984" spans="1:5" ht="16">
      <c r="A5984" s="1" t="s">
        <v>5587</v>
      </c>
      <c r="B5984" s="1" t="s">
        <v>5639</v>
      </c>
      <c r="C5984" s="1" t="s">
        <v>332</v>
      </c>
      <c r="D5984" s="1" t="s">
        <v>229</v>
      </c>
      <c r="E5984" s="1"/>
    </row>
    <row r="5985" spans="1:5" ht="16">
      <c r="A5985" s="1" t="s">
        <v>5587</v>
      </c>
      <c r="B5985" s="1" t="s">
        <v>5640</v>
      </c>
      <c r="C5985" s="1" t="s">
        <v>332</v>
      </c>
      <c r="D5985" s="1" t="s">
        <v>229</v>
      </c>
      <c r="E5985" s="1"/>
    </row>
    <row r="5986" spans="1:5" ht="16">
      <c r="A5986" s="1" t="s">
        <v>5587</v>
      </c>
      <c r="B5986" s="1" t="s">
        <v>5641</v>
      </c>
      <c r="C5986" s="1" t="s">
        <v>332</v>
      </c>
      <c r="D5986" s="1" t="s">
        <v>229</v>
      </c>
      <c r="E5986" s="1"/>
    </row>
    <row r="5987" spans="1:5" ht="16">
      <c r="A5987" s="1" t="s">
        <v>5587</v>
      </c>
      <c r="B5987" s="1" t="s">
        <v>5642</v>
      </c>
      <c r="C5987" s="1" t="s">
        <v>332</v>
      </c>
      <c r="D5987" s="1" t="s">
        <v>229</v>
      </c>
      <c r="E5987" s="1"/>
    </row>
    <row r="5988" spans="1:5" ht="16">
      <c r="A5988" s="1" t="s">
        <v>5587</v>
      </c>
      <c r="B5988" s="1" t="s">
        <v>5643</v>
      </c>
      <c r="C5988" s="1" t="s">
        <v>332</v>
      </c>
      <c r="D5988" s="1" t="s">
        <v>229</v>
      </c>
      <c r="E5988" s="1"/>
    </row>
    <row r="5989" spans="1:5" ht="16">
      <c r="A5989" s="1" t="s">
        <v>5587</v>
      </c>
      <c r="B5989" s="1" t="s">
        <v>5644</v>
      </c>
      <c r="C5989" s="1" t="s">
        <v>332</v>
      </c>
      <c r="D5989" s="1" t="s">
        <v>229</v>
      </c>
      <c r="E5989" s="1"/>
    </row>
    <row r="5990" spans="1:5" ht="16">
      <c r="A5990" s="1" t="s">
        <v>5587</v>
      </c>
      <c r="B5990" s="1" t="s">
        <v>5645</v>
      </c>
      <c r="C5990" s="1" t="s">
        <v>332</v>
      </c>
      <c r="D5990" s="1" t="s">
        <v>229</v>
      </c>
      <c r="E5990" s="1"/>
    </row>
    <row r="5991" spans="1:5" ht="16">
      <c r="A5991" s="1" t="s">
        <v>5587</v>
      </c>
      <c r="B5991" s="1" t="s">
        <v>5646</v>
      </c>
      <c r="C5991" s="1" t="s">
        <v>332</v>
      </c>
      <c r="D5991" s="1" t="s">
        <v>229</v>
      </c>
      <c r="E5991" s="1"/>
    </row>
    <row r="5992" spans="1:5" ht="16">
      <c r="A5992" s="1" t="s">
        <v>5587</v>
      </c>
      <c r="B5992" s="1" t="s">
        <v>5647</v>
      </c>
      <c r="C5992" s="1" t="s">
        <v>332</v>
      </c>
      <c r="D5992" s="1" t="s">
        <v>229</v>
      </c>
      <c r="E5992" s="1"/>
    </row>
    <row r="5993" spans="1:5" ht="16">
      <c r="A5993" s="1" t="s">
        <v>5587</v>
      </c>
      <c r="B5993" s="1" t="s">
        <v>5648</v>
      </c>
      <c r="C5993" s="1" t="s">
        <v>332</v>
      </c>
      <c r="D5993" s="1" t="s">
        <v>229</v>
      </c>
      <c r="E5993" s="1"/>
    </row>
    <row r="5994" spans="1:5" ht="16">
      <c r="A5994" s="1" t="s">
        <v>5587</v>
      </c>
      <c r="B5994" s="1" t="s">
        <v>5649</v>
      </c>
      <c r="C5994" s="1" t="s">
        <v>332</v>
      </c>
      <c r="D5994" s="1" t="s">
        <v>229</v>
      </c>
      <c r="E5994" s="1"/>
    </row>
    <row r="5995" spans="1:5" ht="16">
      <c r="A5995" s="1" t="s">
        <v>5587</v>
      </c>
      <c r="B5995" s="1" t="s">
        <v>5650</v>
      </c>
      <c r="C5995" s="1" t="s">
        <v>332</v>
      </c>
      <c r="D5995" s="1" t="s">
        <v>229</v>
      </c>
      <c r="E5995" s="1"/>
    </row>
    <row r="5996" spans="1:5" ht="16">
      <c r="A5996" s="1" t="s">
        <v>5587</v>
      </c>
      <c r="B5996" s="1" t="s">
        <v>5651</v>
      </c>
      <c r="C5996" s="1" t="s">
        <v>332</v>
      </c>
      <c r="D5996" s="1" t="s">
        <v>229</v>
      </c>
      <c r="E5996" s="1"/>
    </row>
    <row r="5997" spans="1:5" ht="16">
      <c r="A5997" s="1" t="s">
        <v>5587</v>
      </c>
      <c r="B5997" s="1" t="s">
        <v>5652</v>
      </c>
      <c r="C5997" s="1" t="s">
        <v>332</v>
      </c>
      <c r="D5997" s="1" t="s">
        <v>229</v>
      </c>
      <c r="E5997" s="1"/>
    </row>
    <row r="5998" spans="1:5" ht="16">
      <c r="A5998" s="1" t="s">
        <v>5587</v>
      </c>
      <c r="B5998" s="1" t="s">
        <v>5653</v>
      </c>
      <c r="C5998" s="1" t="s">
        <v>332</v>
      </c>
      <c r="D5998" s="1" t="s">
        <v>229</v>
      </c>
      <c r="E5998" s="1"/>
    </row>
    <row r="5999" spans="1:5" ht="16">
      <c r="A5999" s="1" t="s">
        <v>5587</v>
      </c>
      <c r="B5999" s="1" t="s">
        <v>5654</v>
      </c>
      <c r="C5999" s="1" t="s">
        <v>332</v>
      </c>
      <c r="D5999" s="1" t="s">
        <v>229</v>
      </c>
      <c r="E5999" s="1"/>
    </row>
    <row r="6000" spans="1:5" ht="16">
      <c r="A6000" s="1" t="s">
        <v>5587</v>
      </c>
      <c r="B6000" s="1" t="s">
        <v>5655</v>
      </c>
      <c r="C6000" s="1" t="s">
        <v>332</v>
      </c>
      <c r="D6000" s="1" t="s">
        <v>229</v>
      </c>
      <c r="E6000" s="1"/>
    </row>
    <row r="6001" spans="1:5" ht="16">
      <c r="A6001" s="1" t="s">
        <v>5587</v>
      </c>
      <c r="B6001" s="1" t="s">
        <v>5656</v>
      </c>
      <c r="C6001" s="1" t="s">
        <v>332</v>
      </c>
      <c r="D6001" s="1" t="s">
        <v>229</v>
      </c>
      <c r="E6001" s="1"/>
    </row>
    <row r="6002" spans="1:5" ht="16">
      <c r="A6002" s="1" t="s">
        <v>5587</v>
      </c>
      <c r="B6002" s="1" t="s">
        <v>5657</v>
      </c>
      <c r="C6002" s="1" t="s">
        <v>332</v>
      </c>
      <c r="D6002" s="1" t="s">
        <v>229</v>
      </c>
      <c r="E6002" s="1"/>
    </row>
    <row r="6003" spans="1:5" ht="16">
      <c r="A6003" s="1" t="s">
        <v>5587</v>
      </c>
      <c r="B6003" s="1" t="s">
        <v>5658</v>
      </c>
      <c r="C6003" s="1" t="s">
        <v>332</v>
      </c>
      <c r="D6003" s="1" t="s">
        <v>229</v>
      </c>
      <c r="E6003" s="1"/>
    </row>
    <row r="6004" spans="1:5" ht="16">
      <c r="A6004" s="1" t="s">
        <v>5587</v>
      </c>
      <c r="B6004" s="1" t="s">
        <v>5659</v>
      </c>
      <c r="C6004" s="1" t="s">
        <v>332</v>
      </c>
      <c r="D6004" s="1" t="s">
        <v>229</v>
      </c>
      <c r="E6004" s="1"/>
    </row>
    <row r="6005" spans="1:5" ht="16">
      <c r="A6005" s="1" t="s">
        <v>5587</v>
      </c>
      <c r="B6005" s="1" t="s">
        <v>5660</v>
      </c>
      <c r="C6005" s="1" t="s">
        <v>332</v>
      </c>
      <c r="D6005" s="1" t="s">
        <v>229</v>
      </c>
      <c r="E6005" s="1"/>
    </row>
    <row r="6006" spans="1:5" ht="16">
      <c r="A6006" s="1" t="s">
        <v>5587</v>
      </c>
      <c r="B6006" s="1" t="s">
        <v>5661</v>
      </c>
      <c r="C6006" s="1" t="s">
        <v>332</v>
      </c>
      <c r="D6006" s="1" t="s">
        <v>229</v>
      </c>
      <c r="E6006" s="1"/>
    </row>
    <row r="6007" spans="1:5" ht="16">
      <c r="A6007" s="1" t="s">
        <v>5587</v>
      </c>
      <c r="B6007" s="1" t="s">
        <v>5662</v>
      </c>
      <c r="C6007" s="1" t="s">
        <v>332</v>
      </c>
      <c r="D6007" s="1" t="s">
        <v>229</v>
      </c>
      <c r="E6007" s="1"/>
    </row>
    <row r="6008" spans="1:5" ht="16">
      <c r="A6008" s="1" t="s">
        <v>5587</v>
      </c>
      <c r="B6008" s="1" t="s">
        <v>5663</v>
      </c>
      <c r="C6008" s="1" t="s">
        <v>332</v>
      </c>
      <c r="D6008" s="1" t="s">
        <v>229</v>
      </c>
      <c r="E6008" s="1"/>
    </row>
    <row r="6009" spans="1:5" ht="16">
      <c r="A6009" s="1" t="s">
        <v>5587</v>
      </c>
      <c r="B6009" s="1" t="s">
        <v>5664</v>
      </c>
      <c r="C6009" s="1" t="s">
        <v>332</v>
      </c>
      <c r="D6009" s="1" t="s">
        <v>229</v>
      </c>
      <c r="E6009" s="1"/>
    </row>
    <row r="6010" spans="1:5" ht="16">
      <c r="A6010" s="1" t="s">
        <v>5587</v>
      </c>
      <c r="B6010" s="1" t="s">
        <v>5665</v>
      </c>
      <c r="C6010" s="1" t="s">
        <v>332</v>
      </c>
      <c r="D6010" s="1" t="s">
        <v>229</v>
      </c>
      <c r="E6010" s="1"/>
    </row>
    <row r="6011" spans="1:5" ht="16">
      <c r="A6011" s="1" t="s">
        <v>5587</v>
      </c>
      <c r="B6011" s="1" t="s">
        <v>5666</v>
      </c>
      <c r="C6011" s="1" t="s">
        <v>332</v>
      </c>
      <c r="D6011" s="1" t="s">
        <v>229</v>
      </c>
      <c r="E6011" s="1"/>
    </row>
    <row r="6012" spans="1:5" ht="16">
      <c r="A6012" s="1" t="s">
        <v>5587</v>
      </c>
      <c r="B6012" s="1" t="s">
        <v>5667</v>
      </c>
      <c r="C6012" s="1" t="s">
        <v>332</v>
      </c>
      <c r="D6012" s="1" t="s">
        <v>229</v>
      </c>
      <c r="E6012" s="1"/>
    </row>
    <row r="6013" spans="1:5" ht="16">
      <c r="A6013" s="1" t="s">
        <v>5587</v>
      </c>
      <c r="B6013" s="1" t="s">
        <v>5668</v>
      </c>
      <c r="C6013" s="1" t="s">
        <v>332</v>
      </c>
      <c r="D6013" s="1" t="s">
        <v>229</v>
      </c>
      <c r="E6013" s="1"/>
    </row>
    <row r="6014" spans="1:5" ht="16">
      <c r="A6014" s="1" t="s">
        <v>5587</v>
      </c>
      <c r="B6014" s="1" t="s">
        <v>5669</v>
      </c>
      <c r="C6014" s="1" t="s">
        <v>332</v>
      </c>
      <c r="D6014" s="1" t="s">
        <v>229</v>
      </c>
      <c r="E6014" s="1"/>
    </row>
    <row r="6015" spans="1:5" ht="16">
      <c r="A6015" s="1" t="s">
        <v>5587</v>
      </c>
      <c r="B6015" s="1" t="s">
        <v>5670</v>
      </c>
      <c r="C6015" s="1" t="s">
        <v>332</v>
      </c>
      <c r="D6015" s="1" t="s">
        <v>229</v>
      </c>
      <c r="E6015" s="1"/>
    </row>
    <row r="6016" spans="1:5" ht="16">
      <c r="A6016" s="1" t="s">
        <v>5587</v>
      </c>
      <c r="B6016" s="1" t="s">
        <v>5671</v>
      </c>
      <c r="C6016" s="1" t="s">
        <v>332</v>
      </c>
      <c r="D6016" s="1" t="s">
        <v>229</v>
      </c>
      <c r="E6016" s="1"/>
    </row>
    <row r="6017" spans="1:5" ht="16">
      <c r="A6017" s="1" t="s">
        <v>5587</v>
      </c>
      <c r="B6017" s="1" t="s">
        <v>5672</v>
      </c>
      <c r="C6017" s="1" t="s">
        <v>332</v>
      </c>
      <c r="D6017" s="1" t="s">
        <v>229</v>
      </c>
      <c r="E6017" s="1"/>
    </row>
    <row r="6018" spans="1:5" ht="16">
      <c r="A6018" s="1" t="s">
        <v>5587</v>
      </c>
      <c r="B6018" s="1" t="s">
        <v>5673</v>
      </c>
      <c r="C6018" s="1"/>
      <c r="D6018" s="1"/>
      <c r="E6018" s="1"/>
    </row>
    <row r="6019" spans="1:5" ht="16">
      <c r="A6019" s="1" t="s">
        <v>5674</v>
      </c>
      <c r="B6019" s="1" t="s">
        <v>332</v>
      </c>
      <c r="C6019" s="1" t="s">
        <v>229</v>
      </c>
      <c r="D6019" s="1"/>
      <c r="E6019" s="1"/>
    </row>
    <row r="6020" spans="1:5" ht="16">
      <c r="A6020" s="1" t="s">
        <v>5587</v>
      </c>
      <c r="B6020" s="1" t="s">
        <v>5675</v>
      </c>
      <c r="C6020" s="1" t="s">
        <v>332</v>
      </c>
      <c r="D6020" s="1" t="s">
        <v>229</v>
      </c>
      <c r="E6020" s="1"/>
    </row>
    <row r="6021" spans="1:5" ht="16">
      <c r="A6021" s="1" t="s">
        <v>5587</v>
      </c>
      <c r="B6021" s="1" t="s">
        <v>5676</v>
      </c>
      <c r="C6021" s="1" t="s">
        <v>332</v>
      </c>
      <c r="D6021" s="1" t="s">
        <v>229</v>
      </c>
      <c r="E6021" s="1"/>
    </row>
    <row r="6022" spans="1:5" ht="16">
      <c r="A6022" s="1" t="s">
        <v>5587</v>
      </c>
      <c r="B6022" s="1" t="s">
        <v>5677</v>
      </c>
      <c r="C6022" s="1" t="s">
        <v>332</v>
      </c>
      <c r="D6022" s="1" t="s">
        <v>229</v>
      </c>
      <c r="E6022" s="1"/>
    </row>
    <row r="6023" spans="1:5" ht="16">
      <c r="A6023" s="1" t="s">
        <v>5587</v>
      </c>
      <c r="B6023" s="1" t="s">
        <v>5678</v>
      </c>
      <c r="C6023" s="1" t="s">
        <v>332</v>
      </c>
      <c r="D6023" s="1" t="s">
        <v>229</v>
      </c>
      <c r="E6023" s="1"/>
    </row>
    <row r="6024" spans="1:5" ht="16">
      <c r="A6024" s="1" t="s">
        <v>5587</v>
      </c>
      <c r="B6024" s="1" t="s">
        <v>5679</v>
      </c>
      <c r="C6024" s="1" t="s">
        <v>332</v>
      </c>
      <c r="D6024" s="1" t="s">
        <v>229</v>
      </c>
      <c r="E6024" s="1"/>
    </row>
    <row r="6025" spans="1:5" ht="16">
      <c r="A6025" s="1" t="s">
        <v>5587</v>
      </c>
      <c r="B6025" s="1" t="s">
        <v>5680</v>
      </c>
      <c r="C6025" s="1" t="s">
        <v>332</v>
      </c>
      <c r="D6025" s="1" t="s">
        <v>229</v>
      </c>
      <c r="E6025" s="1"/>
    </row>
    <row r="6026" spans="1:5" ht="16">
      <c r="A6026" s="1" t="s">
        <v>5587</v>
      </c>
      <c r="B6026" s="1" t="s">
        <v>5681</v>
      </c>
      <c r="C6026" s="1" t="s">
        <v>332</v>
      </c>
      <c r="D6026" s="1" t="s">
        <v>229</v>
      </c>
      <c r="E6026" s="1"/>
    </row>
    <row r="6027" spans="1:5" ht="16">
      <c r="A6027" s="1" t="s">
        <v>5587</v>
      </c>
      <c r="B6027" s="1" t="s">
        <v>5682</v>
      </c>
      <c r="C6027" s="1" t="s">
        <v>332</v>
      </c>
      <c r="D6027" s="1" t="s">
        <v>229</v>
      </c>
      <c r="E6027" s="1"/>
    </row>
    <row r="6028" spans="1:5" ht="16">
      <c r="A6028" s="1" t="s">
        <v>5587</v>
      </c>
      <c r="B6028" s="1" t="s">
        <v>5683</v>
      </c>
      <c r="C6028" s="1" t="s">
        <v>332</v>
      </c>
      <c r="D6028" s="1" t="s">
        <v>229</v>
      </c>
      <c r="E6028" s="1"/>
    </row>
    <row r="6029" spans="1:5" ht="16">
      <c r="A6029" s="1" t="s">
        <v>5587</v>
      </c>
      <c r="B6029" s="1" t="s">
        <v>5684</v>
      </c>
      <c r="C6029" s="1" t="s">
        <v>332</v>
      </c>
      <c r="D6029" s="1" t="s">
        <v>229</v>
      </c>
      <c r="E6029" s="1"/>
    </row>
    <row r="6030" spans="1:5" ht="16">
      <c r="A6030" s="1" t="s">
        <v>5587</v>
      </c>
      <c r="B6030" s="1" t="s">
        <v>5685</v>
      </c>
      <c r="C6030" s="1" t="s">
        <v>332</v>
      </c>
      <c r="D6030" s="1" t="s">
        <v>229</v>
      </c>
      <c r="E6030" s="1"/>
    </row>
    <row r="6031" spans="1:5" ht="16">
      <c r="A6031" s="1" t="s">
        <v>5587</v>
      </c>
      <c r="B6031" s="1" t="s">
        <v>5686</v>
      </c>
      <c r="C6031" s="1" t="s">
        <v>332</v>
      </c>
      <c r="D6031" s="1" t="s">
        <v>229</v>
      </c>
      <c r="E6031" s="1"/>
    </row>
    <row r="6032" spans="1:5" ht="16">
      <c r="A6032" s="1" t="s">
        <v>5587</v>
      </c>
      <c r="B6032" s="1" t="s">
        <v>5687</v>
      </c>
      <c r="C6032" s="1" t="s">
        <v>332</v>
      </c>
      <c r="D6032" s="1" t="s">
        <v>229</v>
      </c>
      <c r="E6032" s="1"/>
    </row>
    <row r="6033" spans="1:5" ht="16">
      <c r="A6033" s="1" t="s">
        <v>5587</v>
      </c>
      <c r="B6033" s="1" t="s">
        <v>5688</v>
      </c>
      <c r="C6033" s="1" t="s">
        <v>332</v>
      </c>
      <c r="D6033" s="1" t="s">
        <v>229</v>
      </c>
      <c r="E6033" s="1"/>
    </row>
    <row r="6034" spans="1:5" ht="16">
      <c r="A6034" s="1" t="s">
        <v>5587</v>
      </c>
      <c r="B6034" s="1" t="s">
        <v>5689</v>
      </c>
      <c r="C6034" s="1" t="s">
        <v>332</v>
      </c>
      <c r="D6034" s="1" t="s">
        <v>229</v>
      </c>
      <c r="E6034" s="1"/>
    </row>
    <row r="6035" spans="1:5" ht="16">
      <c r="A6035" s="1" t="s">
        <v>5587</v>
      </c>
      <c r="B6035" s="1" t="s">
        <v>5690</v>
      </c>
      <c r="C6035" s="1" t="s">
        <v>332</v>
      </c>
      <c r="D6035" s="1" t="s">
        <v>229</v>
      </c>
      <c r="E6035" s="1"/>
    </row>
    <row r="6036" spans="1:5" ht="16">
      <c r="A6036" s="1" t="s">
        <v>5587</v>
      </c>
      <c r="B6036" s="1" t="s">
        <v>5691</v>
      </c>
      <c r="C6036" s="1" t="s">
        <v>332</v>
      </c>
      <c r="D6036" s="1" t="s">
        <v>229</v>
      </c>
      <c r="E6036" s="1"/>
    </row>
    <row r="6037" spans="1:5" ht="16">
      <c r="A6037" s="1" t="s">
        <v>5587</v>
      </c>
      <c r="B6037" s="1" t="s">
        <v>5692</v>
      </c>
      <c r="C6037" s="1" t="s">
        <v>332</v>
      </c>
      <c r="D6037" s="1" t="s">
        <v>229</v>
      </c>
      <c r="E6037" s="1"/>
    </row>
    <row r="6038" spans="1:5" ht="16">
      <c r="A6038" s="1" t="s">
        <v>5587</v>
      </c>
      <c r="B6038" s="1" t="s">
        <v>5693</v>
      </c>
      <c r="C6038" s="1" t="s">
        <v>332</v>
      </c>
      <c r="D6038" s="1" t="s">
        <v>229</v>
      </c>
      <c r="E6038" s="1"/>
    </row>
    <row r="6039" spans="1:5" ht="16">
      <c r="A6039" s="1" t="s">
        <v>5587</v>
      </c>
      <c r="B6039" s="1" t="s">
        <v>5694</v>
      </c>
      <c r="C6039" s="1" t="s">
        <v>332</v>
      </c>
      <c r="D6039" s="1" t="s">
        <v>229</v>
      </c>
      <c r="E6039" s="1"/>
    </row>
    <row r="6040" spans="1:5" ht="16">
      <c r="A6040" s="1" t="s">
        <v>5587</v>
      </c>
      <c r="B6040" s="1" t="s">
        <v>5695</v>
      </c>
      <c r="C6040" s="1" t="s">
        <v>332</v>
      </c>
      <c r="D6040" s="1" t="s">
        <v>229</v>
      </c>
      <c r="E6040" s="1"/>
    </row>
    <row r="6041" spans="1:5" ht="16">
      <c r="A6041" s="1" t="s">
        <v>5587</v>
      </c>
      <c r="B6041" s="1" t="s">
        <v>5696</v>
      </c>
      <c r="C6041" s="1" t="s">
        <v>332</v>
      </c>
      <c r="D6041" s="1" t="s">
        <v>229</v>
      </c>
      <c r="E6041" s="1"/>
    </row>
    <row r="6042" spans="1:5" ht="16">
      <c r="A6042" s="1" t="s">
        <v>5587</v>
      </c>
      <c r="B6042" s="1" t="s">
        <v>5697</v>
      </c>
      <c r="C6042" s="1" t="s">
        <v>332</v>
      </c>
      <c r="D6042" s="1" t="s">
        <v>229</v>
      </c>
      <c r="E6042" s="1"/>
    </row>
    <row r="6043" spans="1:5" ht="16">
      <c r="A6043" s="1" t="s">
        <v>5698</v>
      </c>
      <c r="B6043" s="1" t="s">
        <v>5699</v>
      </c>
      <c r="C6043" s="1" t="s">
        <v>334</v>
      </c>
      <c r="D6043" s="1" t="s">
        <v>229</v>
      </c>
      <c r="E6043" s="1"/>
    </row>
    <row r="6044" spans="1:5" ht="16">
      <c r="A6044" s="1" t="s">
        <v>5698</v>
      </c>
      <c r="B6044" s="1" t="s">
        <v>5700</v>
      </c>
      <c r="C6044" s="1" t="s">
        <v>334</v>
      </c>
      <c r="D6044" s="1" t="s">
        <v>229</v>
      </c>
      <c r="E6044" s="1"/>
    </row>
    <row r="6045" spans="1:5" ht="16">
      <c r="A6045" s="1" t="s">
        <v>5701</v>
      </c>
      <c r="B6045" s="1" t="s">
        <v>5702</v>
      </c>
      <c r="C6045" s="1" t="s">
        <v>332</v>
      </c>
      <c r="D6045" s="1" t="s">
        <v>229</v>
      </c>
      <c r="E6045" s="1"/>
    </row>
    <row r="6046" spans="1:5" ht="16">
      <c r="A6046" s="1" t="s">
        <v>5703</v>
      </c>
      <c r="B6046" s="1" t="s">
        <v>5704</v>
      </c>
      <c r="C6046" s="1" t="s">
        <v>228</v>
      </c>
      <c r="D6046" s="1" t="s">
        <v>229</v>
      </c>
      <c r="E6046" s="1"/>
    </row>
    <row r="6047" spans="1:5" ht="16">
      <c r="A6047" s="1" t="s">
        <v>5703</v>
      </c>
      <c r="B6047" s="1" t="s">
        <v>5705</v>
      </c>
      <c r="C6047" s="1" t="s">
        <v>234</v>
      </c>
      <c r="D6047" s="1" t="s">
        <v>229</v>
      </c>
      <c r="E6047" s="1"/>
    </row>
    <row r="6048" spans="1:5" ht="16">
      <c r="A6048" s="1" t="s">
        <v>5703</v>
      </c>
      <c r="B6048" s="1" t="s">
        <v>5706</v>
      </c>
      <c r="C6048" s="1" t="s">
        <v>334</v>
      </c>
      <c r="D6048" s="1" t="s">
        <v>229</v>
      </c>
      <c r="E6048" s="1"/>
    </row>
    <row r="6049" spans="1:5" ht="16">
      <c r="A6049" s="1" t="s">
        <v>5703</v>
      </c>
      <c r="B6049" s="1" t="s">
        <v>5707</v>
      </c>
      <c r="C6049" s="1" t="s">
        <v>334</v>
      </c>
      <c r="D6049" s="1" t="s">
        <v>229</v>
      </c>
      <c r="E6049" s="1" t="s">
        <v>500</v>
      </c>
    </row>
    <row r="6050" spans="1:5" ht="16">
      <c r="A6050" s="1" t="s">
        <v>5703</v>
      </c>
      <c r="B6050" s="1" t="s">
        <v>5708</v>
      </c>
      <c r="C6050" s="1" t="s">
        <v>334</v>
      </c>
      <c r="D6050" s="1" t="s">
        <v>229</v>
      </c>
      <c r="E6050" s="1" t="s">
        <v>500</v>
      </c>
    </row>
    <row r="6051" spans="1:5" ht="16">
      <c r="A6051" s="1" t="s">
        <v>5703</v>
      </c>
      <c r="B6051" s="1" t="s">
        <v>5709</v>
      </c>
      <c r="C6051" s="1" t="s">
        <v>334</v>
      </c>
      <c r="D6051" s="1" t="s">
        <v>229</v>
      </c>
      <c r="E6051" s="1" t="s">
        <v>500</v>
      </c>
    </row>
    <row r="6052" spans="1:5" ht="16">
      <c r="A6052" s="1" t="s">
        <v>5703</v>
      </c>
      <c r="B6052" s="1" t="s">
        <v>5710</v>
      </c>
      <c r="C6052" s="1" t="s">
        <v>334</v>
      </c>
      <c r="D6052" s="1" t="s">
        <v>229</v>
      </c>
      <c r="E6052" s="1" t="s">
        <v>500</v>
      </c>
    </row>
    <row r="6053" spans="1:5" ht="16">
      <c r="A6053" s="1" t="s">
        <v>5703</v>
      </c>
      <c r="B6053" s="1" t="s">
        <v>5710</v>
      </c>
      <c r="C6053" s="1" t="s">
        <v>334</v>
      </c>
      <c r="D6053" s="1" t="s">
        <v>229</v>
      </c>
      <c r="E6053" s="1" t="s">
        <v>500</v>
      </c>
    </row>
    <row r="6054" spans="1:5" ht="16">
      <c r="A6054" s="1" t="s">
        <v>5703</v>
      </c>
      <c r="B6054" s="1" t="s">
        <v>5711</v>
      </c>
      <c r="C6054" s="1" t="s">
        <v>334</v>
      </c>
      <c r="D6054" s="1" t="s">
        <v>229</v>
      </c>
      <c r="E6054" s="1" t="s">
        <v>500</v>
      </c>
    </row>
    <row r="6055" spans="1:5" ht="16">
      <c r="A6055" s="1" t="s">
        <v>5703</v>
      </c>
      <c r="B6055" s="1" t="s">
        <v>5712</v>
      </c>
      <c r="C6055" s="1" t="s">
        <v>334</v>
      </c>
      <c r="D6055" s="1" t="s">
        <v>229</v>
      </c>
      <c r="E6055" s="1"/>
    </row>
    <row r="6056" spans="1:5" ht="16">
      <c r="A6056" s="1" t="s">
        <v>5703</v>
      </c>
      <c r="B6056" s="1" t="s">
        <v>5713</v>
      </c>
      <c r="C6056" s="1" t="s">
        <v>334</v>
      </c>
      <c r="D6056" s="1" t="s">
        <v>229</v>
      </c>
      <c r="E6056" s="1"/>
    </row>
    <row r="6057" spans="1:5" ht="16">
      <c r="A6057" s="1" t="s">
        <v>5703</v>
      </c>
      <c r="B6057" s="1" t="s">
        <v>5714</v>
      </c>
      <c r="C6057" s="1" t="s">
        <v>334</v>
      </c>
      <c r="D6057" s="1" t="s">
        <v>229</v>
      </c>
      <c r="E6057" s="1"/>
    </row>
    <row r="6058" spans="1:5" ht="16">
      <c r="A6058" s="1" t="s">
        <v>5703</v>
      </c>
      <c r="B6058" s="1" t="s">
        <v>5715</v>
      </c>
      <c r="C6058" s="1" t="s">
        <v>334</v>
      </c>
      <c r="D6058" s="1" t="s">
        <v>229</v>
      </c>
      <c r="E6058" s="1"/>
    </row>
    <row r="6059" spans="1:5" ht="16">
      <c r="A6059" s="1" t="s">
        <v>5703</v>
      </c>
      <c r="B6059" s="1" t="s">
        <v>5716</v>
      </c>
      <c r="C6059" s="1" t="s">
        <v>334</v>
      </c>
      <c r="D6059" s="1" t="s">
        <v>229</v>
      </c>
      <c r="E6059" s="1"/>
    </row>
    <row r="6060" spans="1:5" ht="16">
      <c r="A6060" s="1" t="s">
        <v>5703</v>
      </c>
      <c r="B6060" s="1" t="s">
        <v>5717</v>
      </c>
      <c r="C6060" s="1" t="s">
        <v>334</v>
      </c>
      <c r="D6060" s="1" t="s">
        <v>229</v>
      </c>
      <c r="E6060" s="1"/>
    </row>
    <row r="6061" spans="1:5" ht="16">
      <c r="A6061" s="1" t="s">
        <v>5703</v>
      </c>
      <c r="B6061" s="1" t="s">
        <v>5718</v>
      </c>
      <c r="C6061" s="1" t="s">
        <v>334</v>
      </c>
      <c r="D6061" s="1" t="s">
        <v>229</v>
      </c>
      <c r="E6061" s="1"/>
    </row>
    <row r="6062" spans="1:5" ht="16">
      <c r="A6062" s="1" t="s">
        <v>5703</v>
      </c>
      <c r="B6062" s="1" t="s">
        <v>5719</v>
      </c>
      <c r="C6062" s="1" t="s">
        <v>334</v>
      </c>
      <c r="D6062" s="1" t="s">
        <v>229</v>
      </c>
      <c r="E6062" s="1"/>
    </row>
    <row r="6063" spans="1:5" ht="16">
      <c r="A6063" s="1" t="s">
        <v>5703</v>
      </c>
      <c r="B6063" s="1" t="s">
        <v>5720</v>
      </c>
      <c r="C6063" s="1" t="s">
        <v>334</v>
      </c>
      <c r="D6063" s="1" t="s">
        <v>229</v>
      </c>
      <c r="E6063" s="1"/>
    </row>
    <row r="6064" spans="1:5" ht="16">
      <c r="A6064" s="1" t="s">
        <v>5703</v>
      </c>
      <c r="B6064" s="1" t="s">
        <v>5721</v>
      </c>
      <c r="C6064" s="1" t="s">
        <v>334</v>
      </c>
      <c r="D6064" s="1" t="s">
        <v>229</v>
      </c>
      <c r="E6064" s="1"/>
    </row>
    <row r="6065" spans="1:5" ht="16">
      <c r="A6065" s="1" t="s">
        <v>5703</v>
      </c>
      <c r="B6065" s="1" t="s">
        <v>5722</v>
      </c>
      <c r="C6065" s="1" t="s">
        <v>334</v>
      </c>
      <c r="D6065" s="1" t="s">
        <v>229</v>
      </c>
      <c r="E6065" s="1"/>
    </row>
    <row r="6066" spans="1:5" ht="16">
      <c r="A6066" s="1" t="s">
        <v>5703</v>
      </c>
      <c r="B6066" s="1" t="s">
        <v>5723</v>
      </c>
      <c r="C6066" s="1" t="s">
        <v>334</v>
      </c>
      <c r="D6066" s="1" t="s">
        <v>229</v>
      </c>
      <c r="E6066" s="1"/>
    </row>
    <row r="6067" spans="1:5" ht="16">
      <c r="A6067" s="1" t="s">
        <v>5703</v>
      </c>
      <c r="B6067" s="1" t="s">
        <v>5724</v>
      </c>
      <c r="C6067" s="1" t="s">
        <v>334</v>
      </c>
      <c r="D6067" s="1" t="s">
        <v>229</v>
      </c>
      <c r="E6067" s="1"/>
    </row>
    <row r="6068" spans="1:5" ht="16">
      <c r="A6068" s="1" t="s">
        <v>5703</v>
      </c>
      <c r="B6068" s="1" t="s">
        <v>5725</v>
      </c>
      <c r="C6068" s="1" t="s">
        <v>334</v>
      </c>
      <c r="D6068" s="1" t="s">
        <v>229</v>
      </c>
      <c r="E6068" s="1"/>
    </row>
    <row r="6069" spans="1:5" ht="16">
      <c r="A6069" s="1" t="s">
        <v>5703</v>
      </c>
      <c r="B6069" s="1" t="s">
        <v>5726</v>
      </c>
      <c r="C6069" s="1" t="s">
        <v>334</v>
      </c>
      <c r="D6069" s="1" t="s">
        <v>229</v>
      </c>
      <c r="E6069" s="1"/>
    </row>
    <row r="6070" spans="1:5" ht="16">
      <c r="A6070" s="1" t="s">
        <v>5703</v>
      </c>
      <c r="B6070" s="1" t="s">
        <v>5727</v>
      </c>
      <c r="C6070" s="1" t="s">
        <v>334</v>
      </c>
      <c r="D6070" s="1" t="s">
        <v>229</v>
      </c>
      <c r="E6070" s="1"/>
    </row>
    <row r="6071" spans="1:5" ht="16">
      <c r="A6071" s="1" t="s">
        <v>5703</v>
      </c>
      <c r="B6071" s="1" t="s">
        <v>5728</v>
      </c>
      <c r="C6071" s="1" t="s">
        <v>334</v>
      </c>
      <c r="D6071" s="1" t="s">
        <v>229</v>
      </c>
      <c r="E6071" s="1"/>
    </row>
    <row r="6072" spans="1:5" ht="16">
      <c r="A6072" s="1" t="s">
        <v>5703</v>
      </c>
      <c r="B6072" s="1" t="s">
        <v>5729</v>
      </c>
      <c r="C6072" s="1" t="s">
        <v>334</v>
      </c>
      <c r="D6072" s="1" t="s">
        <v>229</v>
      </c>
      <c r="E6072" s="1"/>
    </row>
    <row r="6073" spans="1:5" ht="16">
      <c r="A6073" s="1" t="s">
        <v>5703</v>
      </c>
      <c r="B6073" s="1" t="s">
        <v>5730</v>
      </c>
      <c r="C6073" s="1" t="s">
        <v>334</v>
      </c>
      <c r="D6073" s="1" t="s">
        <v>229</v>
      </c>
      <c r="E6073" s="1"/>
    </row>
    <row r="6074" spans="1:5" ht="16">
      <c r="A6074" s="1" t="s">
        <v>5703</v>
      </c>
      <c r="B6074" s="1" t="s">
        <v>5731</v>
      </c>
      <c r="C6074" s="1" t="s">
        <v>334</v>
      </c>
      <c r="D6074" s="1" t="s">
        <v>229</v>
      </c>
      <c r="E6074" s="1"/>
    </row>
    <row r="6075" spans="1:5" ht="16">
      <c r="A6075" s="1" t="s">
        <v>5703</v>
      </c>
      <c r="B6075" s="1" t="s">
        <v>5732</v>
      </c>
      <c r="C6075" s="1" t="s">
        <v>334</v>
      </c>
      <c r="D6075" s="1" t="s">
        <v>229</v>
      </c>
      <c r="E6075" s="1"/>
    </row>
    <row r="6076" spans="1:5" ht="16">
      <c r="A6076" s="1" t="s">
        <v>5703</v>
      </c>
      <c r="B6076" s="1" t="s">
        <v>5733</v>
      </c>
      <c r="C6076" s="1" t="s">
        <v>334</v>
      </c>
      <c r="D6076" s="1" t="s">
        <v>229</v>
      </c>
      <c r="E6076" s="1"/>
    </row>
    <row r="6077" spans="1:5" ht="16">
      <c r="A6077" s="1" t="s">
        <v>5703</v>
      </c>
      <c r="B6077" s="1" t="s">
        <v>5734</v>
      </c>
      <c r="C6077" s="1" t="s">
        <v>334</v>
      </c>
      <c r="D6077" s="1" t="s">
        <v>229</v>
      </c>
      <c r="E6077" s="1"/>
    </row>
    <row r="6078" spans="1:5" ht="16">
      <c r="A6078" s="1" t="s">
        <v>5703</v>
      </c>
      <c r="B6078" s="1" t="s">
        <v>5735</v>
      </c>
      <c r="C6078" s="1" t="s">
        <v>334</v>
      </c>
      <c r="D6078" s="1" t="s">
        <v>229</v>
      </c>
      <c r="E6078" s="1"/>
    </row>
    <row r="6079" spans="1:5" ht="16">
      <c r="A6079" s="1" t="s">
        <v>5703</v>
      </c>
      <c r="B6079" s="1" t="s">
        <v>5736</v>
      </c>
      <c r="C6079" s="1" t="s">
        <v>334</v>
      </c>
      <c r="D6079" s="1" t="s">
        <v>229</v>
      </c>
      <c r="E6079" s="1"/>
    </row>
    <row r="6080" spans="1:5" ht="16">
      <c r="A6080" s="1" t="s">
        <v>5703</v>
      </c>
      <c r="B6080" s="1" t="s">
        <v>5737</v>
      </c>
      <c r="C6080" s="1" t="s">
        <v>334</v>
      </c>
      <c r="D6080" s="1" t="s">
        <v>229</v>
      </c>
      <c r="E6080" s="1"/>
    </row>
    <row r="6081" spans="1:5" ht="16">
      <c r="A6081" s="1" t="s">
        <v>5703</v>
      </c>
      <c r="B6081" s="1" t="s">
        <v>5738</v>
      </c>
      <c r="C6081" s="1" t="s">
        <v>334</v>
      </c>
      <c r="D6081" s="1" t="s">
        <v>229</v>
      </c>
      <c r="E6081" s="1"/>
    </row>
    <row r="6082" spans="1:5" ht="16">
      <c r="A6082" s="1" t="s">
        <v>5703</v>
      </c>
      <c r="B6082" s="1" t="s">
        <v>5739</v>
      </c>
      <c r="C6082" s="1" t="s">
        <v>334</v>
      </c>
      <c r="D6082" s="1" t="s">
        <v>229</v>
      </c>
      <c r="E6082" s="1"/>
    </row>
    <row r="6083" spans="1:5" ht="16">
      <c r="A6083" s="1" t="s">
        <v>5703</v>
      </c>
      <c r="B6083" s="1" t="s">
        <v>5740</v>
      </c>
      <c r="C6083" s="1" t="s">
        <v>334</v>
      </c>
      <c r="D6083" s="1" t="s">
        <v>229</v>
      </c>
      <c r="E6083" s="1"/>
    </row>
    <row r="6084" spans="1:5" ht="16">
      <c r="A6084" s="1" t="s">
        <v>5703</v>
      </c>
      <c r="B6084" s="1" t="s">
        <v>5740</v>
      </c>
      <c r="C6084" s="1" t="s">
        <v>334</v>
      </c>
      <c r="D6084" s="1" t="s">
        <v>229</v>
      </c>
      <c r="E6084" s="1"/>
    </row>
    <row r="6085" spans="1:5" ht="16">
      <c r="A6085" s="1" t="s">
        <v>5703</v>
      </c>
      <c r="B6085" s="1" t="s">
        <v>5741</v>
      </c>
      <c r="C6085" s="1" t="s">
        <v>334</v>
      </c>
      <c r="D6085" s="1" t="s">
        <v>229</v>
      </c>
      <c r="E6085" s="1"/>
    </row>
    <row r="6086" spans="1:5" ht="16">
      <c r="A6086" s="1" t="s">
        <v>5703</v>
      </c>
      <c r="B6086" s="1" t="s">
        <v>5741</v>
      </c>
      <c r="C6086" s="1" t="s">
        <v>334</v>
      </c>
      <c r="D6086" s="1" t="s">
        <v>229</v>
      </c>
      <c r="E6086" s="1"/>
    </row>
    <row r="6087" spans="1:5" ht="16">
      <c r="A6087" s="1" t="s">
        <v>5703</v>
      </c>
      <c r="B6087" s="1" t="s">
        <v>5742</v>
      </c>
      <c r="C6087" s="1" t="s">
        <v>334</v>
      </c>
      <c r="D6087" s="1" t="s">
        <v>229</v>
      </c>
      <c r="E6087" s="1"/>
    </row>
    <row r="6088" spans="1:5" ht="16">
      <c r="A6088" s="1" t="s">
        <v>5703</v>
      </c>
      <c r="B6088" s="1" t="s">
        <v>5742</v>
      </c>
      <c r="C6088" s="1" t="s">
        <v>334</v>
      </c>
      <c r="D6088" s="1" t="s">
        <v>229</v>
      </c>
      <c r="E6088" s="1"/>
    </row>
    <row r="6089" spans="1:5" ht="16">
      <c r="A6089" s="1" t="s">
        <v>5703</v>
      </c>
      <c r="B6089" s="1" t="s">
        <v>5743</v>
      </c>
      <c r="C6089" s="1" t="s">
        <v>334</v>
      </c>
      <c r="D6089" s="1" t="s">
        <v>229</v>
      </c>
      <c r="E6089" s="1"/>
    </row>
    <row r="6090" spans="1:5" ht="16">
      <c r="A6090" s="1" t="s">
        <v>5703</v>
      </c>
      <c r="B6090" s="1" t="s">
        <v>5743</v>
      </c>
      <c r="C6090" s="1" t="s">
        <v>334</v>
      </c>
      <c r="D6090" s="1" t="s">
        <v>229</v>
      </c>
      <c r="E6090" s="1"/>
    </row>
    <row r="6091" spans="1:5" ht="16">
      <c r="A6091" s="1" t="s">
        <v>5703</v>
      </c>
      <c r="B6091" s="1" t="s">
        <v>5744</v>
      </c>
      <c r="C6091" s="1" t="s">
        <v>334</v>
      </c>
      <c r="D6091" s="1" t="s">
        <v>229</v>
      </c>
      <c r="E6091" s="1"/>
    </row>
    <row r="6092" spans="1:5" ht="16">
      <c r="A6092" s="1" t="s">
        <v>5703</v>
      </c>
      <c r="B6092" s="1" t="s">
        <v>5745</v>
      </c>
      <c r="C6092" s="1" t="s">
        <v>334</v>
      </c>
      <c r="D6092" s="1" t="s">
        <v>229</v>
      </c>
      <c r="E6092" s="1"/>
    </row>
    <row r="6093" spans="1:5" ht="16">
      <c r="A6093" s="1" t="s">
        <v>5703</v>
      </c>
      <c r="B6093" s="1" t="s">
        <v>5746</v>
      </c>
      <c r="C6093" s="1" t="s">
        <v>334</v>
      </c>
      <c r="D6093" s="1" t="s">
        <v>229</v>
      </c>
      <c r="E6093" s="1"/>
    </row>
    <row r="6094" spans="1:5" ht="16">
      <c r="A6094" s="1" t="s">
        <v>5703</v>
      </c>
      <c r="B6094" s="1" t="s">
        <v>5740</v>
      </c>
      <c r="C6094" s="1" t="s">
        <v>334</v>
      </c>
      <c r="D6094" s="1" t="s">
        <v>229</v>
      </c>
      <c r="E6094" s="1"/>
    </row>
    <row r="6095" spans="1:5" ht="16">
      <c r="A6095" s="1" t="s">
        <v>5703</v>
      </c>
      <c r="B6095" s="1" t="s">
        <v>5740</v>
      </c>
      <c r="C6095" s="1" t="s">
        <v>334</v>
      </c>
      <c r="D6095" s="1" t="s">
        <v>229</v>
      </c>
      <c r="E6095" s="1"/>
    </row>
    <row r="6096" spans="1:5" ht="16">
      <c r="A6096" s="1" t="s">
        <v>5703</v>
      </c>
      <c r="B6096" s="1" t="s">
        <v>5740</v>
      </c>
      <c r="C6096" s="1" t="s">
        <v>334</v>
      </c>
      <c r="D6096" s="1" t="s">
        <v>229</v>
      </c>
      <c r="E6096" s="1"/>
    </row>
    <row r="6097" spans="1:5" ht="16">
      <c r="A6097" s="1" t="s">
        <v>5703</v>
      </c>
      <c r="B6097" s="1" t="s">
        <v>5747</v>
      </c>
      <c r="C6097" s="1" t="s">
        <v>334</v>
      </c>
      <c r="D6097" s="1" t="s">
        <v>229</v>
      </c>
      <c r="E6097" s="1"/>
    </row>
    <row r="6098" spans="1:5" ht="16">
      <c r="A6098" s="1" t="s">
        <v>5703</v>
      </c>
      <c r="B6098" s="1" t="s">
        <v>5748</v>
      </c>
      <c r="C6098" s="1" t="s">
        <v>334</v>
      </c>
      <c r="D6098" s="1" t="s">
        <v>229</v>
      </c>
      <c r="E6098" s="1"/>
    </row>
    <row r="6099" spans="1:5" ht="16">
      <c r="A6099" s="1" t="s">
        <v>5703</v>
      </c>
      <c r="B6099" s="1" t="s">
        <v>5748</v>
      </c>
      <c r="C6099" s="1" t="s">
        <v>334</v>
      </c>
      <c r="D6099" s="1" t="s">
        <v>229</v>
      </c>
      <c r="E6099" s="1"/>
    </row>
    <row r="6100" spans="1:5" ht="16">
      <c r="A6100" s="1" t="s">
        <v>5703</v>
      </c>
      <c r="B6100" s="1" t="s">
        <v>5749</v>
      </c>
      <c r="C6100" s="1" t="s">
        <v>334</v>
      </c>
      <c r="D6100" s="1" t="s">
        <v>229</v>
      </c>
      <c r="E6100" s="1"/>
    </row>
    <row r="6101" spans="1:5" ht="16">
      <c r="A6101" s="1" t="s">
        <v>5703</v>
      </c>
      <c r="B6101" s="1" t="s">
        <v>5749</v>
      </c>
      <c r="C6101" s="1" t="s">
        <v>334</v>
      </c>
      <c r="D6101" s="1" t="s">
        <v>229</v>
      </c>
      <c r="E6101" s="1"/>
    </row>
    <row r="6102" spans="1:5" ht="16">
      <c r="A6102" s="1" t="s">
        <v>5703</v>
      </c>
      <c r="B6102" s="1" t="s">
        <v>5750</v>
      </c>
      <c r="C6102" s="1" t="s">
        <v>334</v>
      </c>
      <c r="D6102" s="1" t="s">
        <v>229</v>
      </c>
      <c r="E6102" s="1"/>
    </row>
    <row r="6103" spans="1:5" ht="16">
      <c r="A6103" s="1" t="s">
        <v>5703</v>
      </c>
      <c r="B6103" s="1" t="s">
        <v>5750</v>
      </c>
      <c r="C6103" s="1" t="s">
        <v>334</v>
      </c>
      <c r="D6103" s="1" t="s">
        <v>229</v>
      </c>
      <c r="E6103" s="1"/>
    </row>
    <row r="6104" spans="1:5" ht="16">
      <c r="A6104" s="1" t="s">
        <v>5703</v>
      </c>
      <c r="B6104" s="1" t="s">
        <v>5751</v>
      </c>
      <c r="C6104" s="1" t="s">
        <v>334</v>
      </c>
      <c r="D6104" s="1" t="s">
        <v>229</v>
      </c>
      <c r="E6104" s="1"/>
    </row>
    <row r="6105" spans="1:5" ht="16">
      <c r="A6105" s="1" t="s">
        <v>5703</v>
      </c>
      <c r="B6105" s="1" t="s">
        <v>5751</v>
      </c>
      <c r="C6105" s="1" t="s">
        <v>334</v>
      </c>
      <c r="D6105" s="1" t="s">
        <v>229</v>
      </c>
      <c r="E6105" s="1"/>
    </row>
    <row r="6106" spans="1:5" ht="16">
      <c r="A6106" s="1" t="s">
        <v>5703</v>
      </c>
      <c r="B6106" s="1" t="s">
        <v>5752</v>
      </c>
      <c r="C6106" s="1" t="s">
        <v>334</v>
      </c>
      <c r="D6106" s="1" t="s">
        <v>229</v>
      </c>
      <c r="E6106" s="1"/>
    </row>
    <row r="6107" spans="1:5" ht="16">
      <c r="A6107" s="1" t="s">
        <v>5703</v>
      </c>
      <c r="B6107" s="1" t="s">
        <v>5753</v>
      </c>
      <c r="C6107" s="1" t="s">
        <v>334</v>
      </c>
      <c r="D6107" s="1" t="s">
        <v>229</v>
      </c>
      <c r="E6107" s="1"/>
    </row>
    <row r="6108" spans="1:5" ht="16">
      <c r="A6108" s="1" t="s">
        <v>5703</v>
      </c>
      <c r="B6108" s="1" t="s">
        <v>5754</v>
      </c>
      <c r="C6108" s="1" t="s">
        <v>334</v>
      </c>
      <c r="D6108" s="1" t="s">
        <v>229</v>
      </c>
      <c r="E6108" s="1"/>
    </row>
    <row r="6109" spans="1:5" ht="16">
      <c r="A6109" s="1" t="s">
        <v>5703</v>
      </c>
      <c r="B6109" s="1" t="s">
        <v>5755</v>
      </c>
      <c r="C6109" s="1" t="s">
        <v>334</v>
      </c>
      <c r="D6109" s="1" t="s">
        <v>355</v>
      </c>
      <c r="E6109" s="1"/>
    </row>
    <row r="6110" spans="1:5" ht="16">
      <c r="A6110" s="1" t="s">
        <v>5703</v>
      </c>
      <c r="B6110" s="1" t="s">
        <v>5756</v>
      </c>
      <c r="C6110" s="1" t="s">
        <v>334</v>
      </c>
      <c r="D6110" s="1" t="s">
        <v>229</v>
      </c>
      <c r="E6110" s="1"/>
    </row>
    <row r="6111" spans="1:5" ht="16">
      <c r="A6111" s="1" t="s">
        <v>5703</v>
      </c>
      <c r="B6111" s="1" t="s">
        <v>5757</v>
      </c>
      <c r="C6111" s="1" t="s">
        <v>334</v>
      </c>
      <c r="D6111" s="1" t="s">
        <v>229</v>
      </c>
      <c r="E6111" s="1"/>
    </row>
    <row r="6112" spans="1:5" ht="16">
      <c r="A6112" s="1" t="s">
        <v>5703</v>
      </c>
      <c r="B6112" s="1" t="s">
        <v>5758</v>
      </c>
      <c r="C6112" s="1" t="s">
        <v>334</v>
      </c>
      <c r="D6112" s="1" t="s">
        <v>229</v>
      </c>
      <c r="E6112" s="1"/>
    </row>
    <row r="6113" spans="1:5" ht="16">
      <c r="A6113" s="1" t="s">
        <v>5703</v>
      </c>
      <c r="B6113" s="1" t="s">
        <v>5759</v>
      </c>
      <c r="C6113" s="1" t="s">
        <v>334</v>
      </c>
      <c r="D6113" s="1" t="s">
        <v>229</v>
      </c>
      <c r="E6113" s="1"/>
    </row>
    <row r="6114" spans="1:5" ht="16">
      <c r="A6114" s="1" t="s">
        <v>5703</v>
      </c>
      <c r="B6114" s="1" t="s">
        <v>5760</v>
      </c>
      <c r="C6114" s="1" t="s">
        <v>319</v>
      </c>
      <c r="D6114" s="1" t="s">
        <v>229</v>
      </c>
      <c r="E6114" s="1"/>
    </row>
    <row r="6115" spans="1:5" ht="16">
      <c r="A6115" s="1" t="s">
        <v>5703</v>
      </c>
      <c r="B6115" s="1" t="s">
        <v>5761</v>
      </c>
      <c r="C6115" s="1" t="s">
        <v>234</v>
      </c>
      <c r="D6115" s="1" t="s">
        <v>229</v>
      </c>
      <c r="E6115" s="1"/>
    </row>
    <row r="6116" spans="1:5" ht="16">
      <c r="A6116" s="1" t="s">
        <v>5703</v>
      </c>
      <c r="B6116" s="1" t="s">
        <v>5762</v>
      </c>
      <c r="C6116" s="1" t="s">
        <v>319</v>
      </c>
      <c r="D6116" s="1" t="s">
        <v>229</v>
      </c>
      <c r="E6116" s="1"/>
    </row>
    <row r="6117" spans="1:5" ht="16">
      <c r="A6117" s="1" t="s">
        <v>5703</v>
      </c>
      <c r="B6117" s="1" t="s">
        <v>5763</v>
      </c>
      <c r="C6117" s="1" t="s">
        <v>319</v>
      </c>
      <c r="D6117" s="1" t="s">
        <v>229</v>
      </c>
      <c r="E6117" s="1"/>
    </row>
    <row r="6118" spans="1:5" ht="16">
      <c r="A6118" s="1" t="s">
        <v>5703</v>
      </c>
      <c r="B6118" s="1" t="s">
        <v>5764</v>
      </c>
      <c r="C6118" s="1" t="s">
        <v>234</v>
      </c>
      <c r="D6118" s="1" t="s">
        <v>229</v>
      </c>
      <c r="E6118" s="1"/>
    </row>
    <row r="6119" spans="1:5" ht="16">
      <c r="A6119" s="1" t="s">
        <v>5703</v>
      </c>
      <c r="B6119" s="1" t="s">
        <v>5765</v>
      </c>
      <c r="C6119" s="1" t="s">
        <v>319</v>
      </c>
      <c r="D6119" s="1" t="s">
        <v>229</v>
      </c>
      <c r="E6119" s="1"/>
    </row>
    <row r="6120" spans="1:5" ht="16">
      <c r="A6120" s="1" t="s">
        <v>5703</v>
      </c>
      <c r="B6120" s="1" t="s">
        <v>5766</v>
      </c>
      <c r="C6120" s="1" t="s">
        <v>319</v>
      </c>
      <c r="D6120" s="1" t="s">
        <v>229</v>
      </c>
      <c r="E6120" s="1"/>
    </row>
    <row r="6121" spans="1:5" ht="16">
      <c r="A6121" s="1" t="s">
        <v>5703</v>
      </c>
      <c r="B6121" s="1" t="s">
        <v>5767</v>
      </c>
      <c r="C6121" s="1" t="s">
        <v>334</v>
      </c>
      <c r="D6121" s="1" t="s">
        <v>229</v>
      </c>
      <c r="E6121" s="1"/>
    </row>
    <row r="6122" spans="1:5" ht="16">
      <c r="A6122" s="1" t="s">
        <v>5703</v>
      </c>
      <c r="B6122" s="1" t="s">
        <v>5768</v>
      </c>
      <c r="C6122" s="1" t="s">
        <v>334</v>
      </c>
      <c r="D6122" s="1" t="s">
        <v>229</v>
      </c>
      <c r="E6122" s="1"/>
    </row>
    <row r="6123" spans="1:5" ht="16">
      <c r="A6123" s="1" t="s">
        <v>5703</v>
      </c>
      <c r="B6123" s="1" t="s">
        <v>5769</v>
      </c>
      <c r="C6123" s="1" t="s">
        <v>228</v>
      </c>
      <c r="D6123" s="1" t="s">
        <v>229</v>
      </c>
      <c r="E6123" s="1"/>
    </row>
    <row r="6124" spans="1:5" ht="16">
      <c r="A6124" s="1" t="s">
        <v>5703</v>
      </c>
      <c r="B6124" s="1" t="s">
        <v>5770</v>
      </c>
      <c r="C6124" s="1" t="s">
        <v>265</v>
      </c>
      <c r="D6124" s="1" t="s">
        <v>229</v>
      </c>
      <c r="E6124" s="1"/>
    </row>
    <row r="6125" spans="1:5" ht="16">
      <c r="A6125" s="1" t="s">
        <v>5703</v>
      </c>
      <c r="B6125" s="1" t="s">
        <v>5771</v>
      </c>
      <c r="C6125" s="1" t="s">
        <v>332</v>
      </c>
      <c r="D6125" s="1" t="s">
        <v>229</v>
      </c>
      <c r="E6125" s="1"/>
    </row>
    <row r="6126" spans="1:5" ht="16">
      <c r="A6126" s="1" t="s">
        <v>5703</v>
      </c>
      <c r="B6126" s="1" t="s">
        <v>5772</v>
      </c>
      <c r="C6126" s="1" t="s">
        <v>228</v>
      </c>
      <c r="D6126" s="1" t="s">
        <v>229</v>
      </c>
      <c r="E6126" s="1"/>
    </row>
    <row r="6127" spans="1:5" ht="16">
      <c r="A6127" s="1" t="s">
        <v>5703</v>
      </c>
      <c r="B6127" s="1" t="s">
        <v>5773</v>
      </c>
      <c r="C6127" s="1" t="s">
        <v>234</v>
      </c>
      <c r="D6127" s="1" t="s">
        <v>229</v>
      </c>
      <c r="E6127" s="1"/>
    </row>
    <row r="6128" spans="1:5" ht="16">
      <c r="A6128" s="1" t="s">
        <v>5703</v>
      </c>
      <c r="B6128" s="1" t="s">
        <v>5774</v>
      </c>
      <c r="C6128" s="1" t="s">
        <v>334</v>
      </c>
      <c r="D6128" s="1" t="s">
        <v>229</v>
      </c>
      <c r="E6128" s="1"/>
    </row>
    <row r="6129" spans="1:5" ht="16">
      <c r="A6129" s="1" t="s">
        <v>5703</v>
      </c>
      <c r="B6129" s="1" t="s">
        <v>5775</v>
      </c>
      <c r="C6129" s="1" t="s">
        <v>334</v>
      </c>
      <c r="D6129" s="1" t="s">
        <v>229</v>
      </c>
      <c r="E6129" s="1"/>
    </row>
    <row r="6130" spans="1:5" ht="16">
      <c r="A6130" s="1" t="s">
        <v>5703</v>
      </c>
      <c r="B6130" s="1" t="s">
        <v>5776</v>
      </c>
      <c r="C6130" s="1" t="s">
        <v>334</v>
      </c>
      <c r="D6130" s="1" t="s">
        <v>229</v>
      </c>
      <c r="E6130" s="1"/>
    </row>
    <row r="6131" spans="1:5" ht="16">
      <c r="A6131" s="1" t="s">
        <v>5703</v>
      </c>
      <c r="B6131" s="1" t="s">
        <v>5777</v>
      </c>
      <c r="C6131" s="1" t="s">
        <v>228</v>
      </c>
      <c r="D6131" s="1" t="s">
        <v>229</v>
      </c>
      <c r="E6131" s="1"/>
    </row>
    <row r="6132" spans="1:5" ht="16">
      <c r="A6132" s="1" t="s">
        <v>5703</v>
      </c>
      <c r="B6132" s="1" t="s">
        <v>5778</v>
      </c>
      <c r="C6132" s="1" t="s">
        <v>332</v>
      </c>
      <c r="D6132" s="1" t="s">
        <v>229</v>
      </c>
      <c r="E6132" s="1"/>
    </row>
    <row r="6133" spans="1:5" ht="16">
      <c r="A6133" s="1" t="s">
        <v>5703</v>
      </c>
      <c r="B6133" s="1" t="s">
        <v>5779</v>
      </c>
      <c r="C6133" s="1" t="s">
        <v>234</v>
      </c>
      <c r="D6133" s="1" t="s">
        <v>229</v>
      </c>
      <c r="E6133" s="1"/>
    </row>
    <row r="6134" spans="1:5" ht="16">
      <c r="A6134" s="1" t="s">
        <v>5703</v>
      </c>
      <c r="B6134" s="1" t="s">
        <v>5780</v>
      </c>
      <c r="C6134" s="1" t="s">
        <v>334</v>
      </c>
      <c r="D6134" s="1" t="s">
        <v>229</v>
      </c>
      <c r="E6134" s="1"/>
    </row>
    <row r="6135" spans="1:5" ht="16">
      <c r="A6135" s="1" t="s">
        <v>5703</v>
      </c>
      <c r="B6135" s="1" t="s">
        <v>5781</v>
      </c>
      <c r="C6135" s="1" t="s">
        <v>334</v>
      </c>
      <c r="D6135" s="1" t="s">
        <v>229</v>
      </c>
      <c r="E6135" s="1"/>
    </row>
    <row r="6136" spans="1:5" ht="16">
      <c r="A6136" s="1" t="s">
        <v>5703</v>
      </c>
      <c r="B6136" s="1" t="s">
        <v>5782</v>
      </c>
      <c r="C6136" s="1" t="s">
        <v>334</v>
      </c>
      <c r="D6136" s="1" t="s">
        <v>229</v>
      </c>
      <c r="E6136" s="1"/>
    </row>
    <row r="6137" spans="1:5" ht="16">
      <c r="A6137" s="1" t="s">
        <v>5703</v>
      </c>
      <c r="B6137" s="1" t="s">
        <v>5783</v>
      </c>
      <c r="C6137" s="1" t="s">
        <v>334</v>
      </c>
      <c r="D6137" s="1" t="s">
        <v>229</v>
      </c>
      <c r="E6137" s="1"/>
    </row>
    <row r="6138" spans="1:5" ht="16">
      <c r="A6138" s="1" t="s">
        <v>5703</v>
      </c>
      <c r="B6138" s="1" t="s">
        <v>5784</v>
      </c>
      <c r="C6138" s="1" t="s">
        <v>334</v>
      </c>
      <c r="D6138" s="1" t="s">
        <v>229</v>
      </c>
      <c r="E6138" s="1"/>
    </row>
    <row r="6139" spans="1:5" ht="16">
      <c r="A6139" s="1" t="s">
        <v>5703</v>
      </c>
      <c r="B6139" s="1" t="s">
        <v>5785</v>
      </c>
      <c r="C6139" s="1" t="s">
        <v>334</v>
      </c>
      <c r="D6139" s="1" t="s">
        <v>229</v>
      </c>
      <c r="E6139" s="1"/>
    </row>
    <row r="6140" spans="1:5" ht="16">
      <c r="A6140" s="1" t="s">
        <v>5703</v>
      </c>
      <c r="B6140" s="1" t="s">
        <v>5786</v>
      </c>
      <c r="C6140" s="1" t="s">
        <v>334</v>
      </c>
      <c r="D6140" s="1" t="s">
        <v>229</v>
      </c>
      <c r="E6140" s="1"/>
    </row>
    <row r="6141" spans="1:5" ht="16">
      <c r="A6141" s="1" t="s">
        <v>5703</v>
      </c>
      <c r="B6141" s="1" t="s">
        <v>5787</v>
      </c>
      <c r="C6141" s="1" t="s">
        <v>334</v>
      </c>
      <c r="D6141" s="1" t="s">
        <v>229</v>
      </c>
      <c r="E6141" s="1"/>
    </row>
    <row r="6142" spans="1:5" ht="16">
      <c r="A6142" s="1" t="s">
        <v>5703</v>
      </c>
      <c r="B6142" s="1" t="s">
        <v>5788</v>
      </c>
      <c r="C6142" s="1" t="s">
        <v>334</v>
      </c>
      <c r="D6142" s="1" t="s">
        <v>229</v>
      </c>
      <c r="E6142" s="1"/>
    </row>
    <row r="6143" spans="1:5" ht="16">
      <c r="A6143" s="1" t="s">
        <v>5703</v>
      </c>
      <c r="B6143" s="1" t="s">
        <v>5789</v>
      </c>
      <c r="C6143" s="1" t="s">
        <v>334</v>
      </c>
      <c r="D6143" s="1" t="s">
        <v>229</v>
      </c>
      <c r="E6143" s="1"/>
    </row>
    <row r="6144" spans="1:5" ht="16">
      <c r="A6144" s="1" t="s">
        <v>5703</v>
      </c>
      <c r="B6144" s="1" t="s">
        <v>5773</v>
      </c>
      <c r="C6144" s="1" t="s">
        <v>234</v>
      </c>
      <c r="D6144" s="1" t="s">
        <v>229</v>
      </c>
      <c r="E6144" s="1"/>
    </row>
    <row r="6145" spans="1:5" ht="16">
      <c r="A6145" s="1" t="s">
        <v>5703</v>
      </c>
      <c r="B6145" s="1" t="s">
        <v>5773</v>
      </c>
      <c r="C6145" s="1" t="s">
        <v>234</v>
      </c>
      <c r="D6145" s="1" t="s">
        <v>229</v>
      </c>
      <c r="E6145" s="1"/>
    </row>
    <row r="6146" spans="1:5" ht="16">
      <c r="A6146" s="1" t="s">
        <v>5703</v>
      </c>
      <c r="B6146" s="1" t="s">
        <v>5773</v>
      </c>
      <c r="C6146" s="1" t="s">
        <v>234</v>
      </c>
      <c r="D6146" s="1" t="s">
        <v>229</v>
      </c>
      <c r="E6146" s="1"/>
    </row>
    <row r="6147" spans="1:5" ht="16">
      <c r="A6147" s="1" t="s">
        <v>5703</v>
      </c>
      <c r="B6147" s="1" t="s">
        <v>5773</v>
      </c>
      <c r="C6147" s="1" t="s">
        <v>234</v>
      </c>
      <c r="D6147" s="1" t="s">
        <v>229</v>
      </c>
      <c r="E6147" s="1"/>
    </row>
    <row r="6148" spans="1:5" ht="16">
      <c r="A6148" s="1" t="s">
        <v>5703</v>
      </c>
      <c r="B6148" s="1" t="s">
        <v>5790</v>
      </c>
      <c r="C6148" s="1" t="s">
        <v>334</v>
      </c>
      <c r="D6148" s="1" t="s">
        <v>229</v>
      </c>
      <c r="E6148" s="1"/>
    </row>
    <row r="6149" spans="1:5" ht="16">
      <c r="A6149" s="1" t="s">
        <v>5703</v>
      </c>
      <c r="B6149" s="1" t="s">
        <v>5791</v>
      </c>
      <c r="C6149" s="1" t="s">
        <v>334</v>
      </c>
      <c r="D6149" s="1" t="s">
        <v>229</v>
      </c>
      <c r="E6149" s="1"/>
    </row>
    <row r="6150" spans="1:5" ht="16">
      <c r="A6150" s="1" t="s">
        <v>5703</v>
      </c>
      <c r="B6150" s="1" t="s">
        <v>5775</v>
      </c>
      <c r="C6150" s="1" t="s">
        <v>334</v>
      </c>
      <c r="D6150" s="1" t="s">
        <v>229</v>
      </c>
      <c r="E6150" s="1"/>
    </row>
    <row r="6151" spans="1:5" ht="16">
      <c r="A6151" s="1" t="s">
        <v>5703</v>
      </c>
      <c r="B6151" s="1" t="s">
        <v>5775</v>
      </c>
      <c r="C6151" s="1" t="s">
        <v>334</v>
      </c>
      <c r="D6151" s="1" t="s">
        <v>229</v>
      </c>
      <c r="E6151" s="1"/>
    </row>
    <row r="6152" spans="1:5" ht="16">
      <c r="A6152" s="1" t="s">
        <v>5703</v>
      </c>
      <c r="B6152" s="1" t="s">
        <v>5792</v>
      </c>
      <c r="C6152" s="1" t="s">
        <v>334</v>
      </c>
      <c r="D6152" s="1" t="s">
        <v>229</v>
      </c>
      <c r="E6152" s="1"/>
    </row>
    <row r="6153" spans="1:5" ht="16">
      <c r="A6153" s="1" t="s">
        <v>5703</v>
      </c>
      <c r="B6153" s="1" t="s">
        <v>5793</v>
      </c>
      <c r="C6153" s="1" t="s">
        <v>334</v>
      </c>
      <c r="D6153" s="1" t="s">
        <v>229</v>
      </c>
      <c r="E6153" s="1"/>
    </row>
    <row r="6154" spans="1:5" ht="16">
      <c r="A6154" s="1" t="s">
        <v>5703</v>
      </c>
      <c r="B6154" s="1" t="s">
        <v>5794</v>
      </c>
      <c r="C6154" s="1" t="s">
        <v>334</v>
      </c>
      <c r="D6154" s="1" t="s">
        <v>229</v>
      </c>
      <c r="E6154" s="1"/>
    </row>
    <row r="6155" spans="1:5" ht="16">
      <c r="A6155" s="1" t="s">
        <v>5703</v>
      </c>
      <c r="B6155" s="1" t="s">
        <v>5795</v>
      </c>
      <c r="C6155" s="1" t="s">
        <v>334</v>
      </c>
      <c r="D6155" s="1" t="s">
        <v>229</v>
      </c>
      <c r="E6155" s="1"/>
    </row>
    <row r="6156" spans="1:5" ht="16">
      <c r="A6156" s="1" t="s">
        <v>5703</v>
      </c>
      <c r="B6156" s="1" t="s">
        <v>5796</v>
      </c>
      <c r="C6156" s="1" t="s">
        <v>334</v>
      </c>
      <c r="D6156" s="1" t="s">
        <v>229</v>
      </c>
      <c r="E6156" s="1"/>
    </row>
    <row r="6157" spans="1:5" ht="16">
      <c r="A6157" s="1" t="s">
        <v>5703</v>
      </c>
      <c r="B6157" s="1" t="s">
        <v>5797</v>
      </c>
      <c r="C6157" s="1" t="s">
        <v>334</v>
      </c>
      <c r="D6157" s="1" t="s">
        <v>229</v>
      </c>
      <c r="E6157" s="1"/>
    </row>
    <row r="6158" spans="1:5" ht="16">
      <c r="A6158" s="1" t="s">
        <v>5703</v>
      </c>
      <c r="B6158" s="1" t="s">
        <v>5798</v>
      </c>
      <c r="C6158" s="1" t="s">
        <v>334</v>
      </c>
      <c r="D6158" s="1" t="s">
        <v>229</v>
      </c>
      <c r="E6158" s="1"/>
    </row>
    <row r="6159" spans="1:5" ht="16">
      <c r="A6159" s="1" t="s">
        <v>5703</v>
      </c>
      <c r="B6159" s="1" t="s">
        <v>5794</v>
      </c>
      <c r="C6159" s="1" t="s">
        <v>334</v>
      </c>
      <c r="D6159" s="1" t="s">
        <v>229</v>
      </c>
      <c r="E6159" s="1"/>
    </row>
    <row r="6160" spans="1:5" ht="16">
      <c r="A6160" s="1" t="s">
        <v>5703</v>
      </c>
      <c r="B6160" s="1" t="s">
        <v>5799</v>
      </c>
      <c r="C6160" s="1" t="s">
        <v>334</v>
      </c>
      <c r="D6160" s="1" t="s">
        <v>229</v>
      </c>
      <c r="E6160" s="1"/>
    </row>
    <row r="6161" spans="1:5" ht="16">
      <c r="A6161" s="1" t="s">
        <v>5703</v>
      </c>
      <c r="B6161" s="1" t="s">
        <v>5800</v>
      </c>
      <c r="C6161" s="1" t="s">
        <v>334</v>
      </c>
      <c r="D6161" s="1" t="s">
        <v>229</v>
      </c>
      <c r="E6161" s="1"/>
    </row>
    <row r="6162" spans="1:5" ht="16">
      <c r="A6162" s="1" t="s">
        <v>5703</v>
      </c>
      <c r="B6162" s="1" t="s">
        <v>5801</v>
      </c>
      <c r="C6162" s="1" t="s">
        <v>334</v>
      </c>
      <c r="D6162" s="1" t="s">
        <v>229</v>
      </c>
      <c r="E6162" s="1"/>
    </row>
    <row r="6163" spans="1:5" ht="16">
      <c r="A6163" s="1" t="s">
        <v>5703</v>
      </c>
      <c r="B6163" s="1" t="s">
        <v>5743</v>
      </c>
      <c r="C6163" s="1" t="s">
        <v>334</v>
      </c>
      <c r="D6163" s="1" t="s">
        <v>229</v>
      </c>
      <c r="E6163" s="1"/>
    </row>
    <row r="6164" spans="1:5" ht="16">
      <c r="A6164" s="1" t="s">
        <v>5703</v>
      </c>
      <c r="B6164" s="1" t="s">
        <v>5802</v>
      </c>
      <c r="C6164" s="1" t="s">
        <v>334</v>
      </c>
      <c r="D6164" s="1" t="s">
        <v>229</v>
      </c>
      <c r="E6164" s="1"/>
    </row>
    <row r="6165" spans="1:5" ht="16">
      <c r="A6165" s="1" t="s">
        <v>5703</v>
      </c>
      <c r="B6165" s="1" t="s">
        <v>5803</v>
      </c>
      <c r="C6165" s="1" t="s">
        <v>334</v>
      </c>
      <c r="D6165" s="1" t="s">
        <v>229</v>
      </c>
      <c r="E6165" s="1"/>
    </row>
    <row r="6166" spans="1:5" ht="16">
      <c r="A6166" s="1" t="s">
        <v>5703</v>
      </c>
      <c r="B6166" s="1" t="s">
        <v>5804</v>
      </c>
      <c r="C6166" s="1" t="s">
        <v>334</v>
      </c>
      <c r="D6166" s="1" t="s">
        <v>229</v>
      </c>
      <c r="E6166" s="1"/>
    </row>
    <row r="6167" spans="1:5" ht="16">
      <c r="A6167" s="1" t="s">
        <v>5703</v>
      </c>
      <c r="B6167" s="1" t="s">
        <v>5805</v>
      </c>
      <c r="C6167" s="1" t="s">
        <v>334</v>
      </c>
      <c r="D6167" s="1" t="s">
        <v>229</v>
      </c>
      <c r="E6167" s="1"/>
    </row>
    <row r="6168" spans="1:5" ht="16">
      <c r="A6168" s="1" t="s">
        <v>5703</v>
      </c>
      <c r="B6168" s="1" t="s">
        <v>5806</v>
      </c>
      <c r="C6168" s="1" t="s">
        <v>334</v>
      </c>
      <c r="D6168" s="1" t="s">
        <v>229</v>
      </c>
      <c r="E6168" s="1"/>
    </row>
    <row r="6169" spans="1:5" ht="16">
      <c r="A6169" s="1" t="s">
        <v>5703</v>
      </c>
      <c r="B6169" s="1" t="s">
        <v>5807</v>
      </c>
      <c r="C6169" s="1" t="s">
        <v>334</v>
      </c>
      <c r="D6169" s="1" t="s">
        <v>229</v>
      </c>
      <c r="E6169" s="1"/>
    </row>
    <row r="6170" spans="1:5" ht="16">
      <c r="A6170" s="1" t="s">
        <v>5703</v>
      </c>
      <c r="B6170" s="1" t="s">
        <v>5808</v>
      </c>
      <c r="C6170" s="1" t="s">
        <v>334</v>
      </c>
      <c r="D6170" s="1" t="s">
        <v>229</v>
      </c>
      <c r="E6170" s="1"/>
    </row>
    <row r="6171" spans="1:5" ht="16">
      <c r="A6171" s="1" t="s">
        <v>5703</v>
      </c>
      <c r="B6171" s="1" t="s">
        <v>5809</v>
      </c>
      <c r="C6171" s="1" t="s">
        <v>334</v>
      </c>
      <c r="D6171" s="1" t="s">
        <v>229</v>
      </c>
      <c r="E6171" s="1"/>
    </row>
    <row r="6172" spans="1:5" ht="16">
      <c r="A6172" s="1" t="s">
        <v>5703</v>
      </c>
      <c r="B6172" s="1" t="s">
        <v>5810</v>
      </c>
      <c r="C6172" s="1" t="s">
        <v>332</v>
      </c>
      <c r="D6172" s="1" t="s">
        <v>229</v>
      </c>
      <c r="E6172" s="1"/>
    </row>
    <row r="6173" spans="1:5" ht="16">
      <c r="A6173" s="1" t="s">
        <v>5703</v>
      </c>
      <c r="B6173" s="1" t="s">
        <v>5811</v>
      </c>
      <c r="C6173" s="1" t="s">
        <v>265</v>
      </c>
      <c r="D6173" s="1" t="s">
        <v>229</v>
      </c>
      <c r="E6173" s="1"/>
    </row>
    <row r="6174" spans="1:5" ht="16">
      <c r="A6174" s="1" t="s">
        <v>5703</v>
      </c>
      <c r="B6174" s="1" t="s">
        <v>5812</v>
      </c>
      <c r="C6174" s="1" t="s">
        <v>334</v>
      </c>
      <c r="D6174" s="1" t="s">
        <v>229</v>
      </c>
      <c r="E6174" s="1"/>
    </row>
    <row r="6175" spans="1:5" ht="16">
      <c r="A6175" s="1" t="s">
        <v>5703</v>
      </c>
      <c r="B6175" s="1" t="s">
        <v>5813</v>
      </c>
      <c r="C6175" s="1" t="s">
        <v>334</v>
      </c>
      <c r="D6175" s="1" t="s">
        <v>229</v>
      </c>
      <c r="E6175" s="1"/>
    </row>
    <row r="6176" spans="1:5" ht="16">
      <c r="A6176" s="1" t="s">
        <v>5703</v>
      </c>
      <c r="B6176" s="1" t="s">
        <v>5814</v>
      </c>
      <c r="C6176" s="1" t="s">
        <v>334</v>
      </c>
      <c r="D6176" s="1" t="s">
        <v>229</v>
      </c>
      <c r="E6176" s="1"/>
    </row>
    <row r="6177" spans="1:5" ht="16">
      <c r="A6177" s="1" t="s">
        <v>5703</v>
      </c>
      <c r="B6177" s="1" t="s">
        <v>5815</v>
      </c>
      <c r="C6177" s="1" t="s">
        <v>265</v>
      </c>
      <c r="D6177" s="1" t="s">
        <v>229</v>
      </c>
      <c r="E6177" s="1"/>
    </row>
    <row r="6178" spans="1:5" ht="16">
      <c r="A6178" s="1" t="s">
        <v>5703</v>
      </c>
      <c r="B6178" s="1" t="s">
        <v>5811</v>
      </c>
      <c r="C6178" s="1" t="s">
        <v>265</v>
      </c>
      <c r="D6178" s="1" t="s">
        <v>229</v>
      </c>
      <c r="E6178" s="1"/>
    </row>
    <row r="6179" spans="1:5" ht="16">
      <c r="A6179" s="1" t="s">
        <v>5703</v>
      </c>
      <c r="B6179" s="1" t="s">
        <v>5816</v>
      </c>
      <c r="C6179" s="1" t="s">
        <v>334</v>
      </c>
      <c r="D6179" s="1" t="s">
        <v>229</v>
      </c>
      <c r="E6179" s="1"/>
    </row>
    <row r="6180" spans="1:5" ht="16">
      <c r="A6180" s="1" t="s">
        <v>5703</v>
      </c>
      <c r="B6180" s="1" t="s">
        <v>5817</v>
      </c>
      <c r="C6180" s="1" t="s">
        <v>263</v>
      </c>
      <c r="D6180" s="1" t="s">
        <v>229</v>
      </c>
      <c r="E6180" s="1"/>
    </row>
    <row r="6181" spans="1:5" ht="16">
      <c r="A6181" s="1" t="s">
        <v>5703</v>
      </c>
      <c r="B6181" s="1" t="s">
        <v>5818</v>
      </c>
      <c r="C6181" s="1" t="s">
        <v>265</v>
      </c>
      <c r="D6181" s="1" t="s">
        <v>229</v>
      </c>
      <c r="E6181" s="1"/>
    </row>
    <row r="6182" spans="1:5" ht="16">
      <c r="A6182" s="1" t="s">
        <v>5703</v>
      </c>
      <c r="B6182" s="1" t="s">
        <v>5819</v>
      </c>
      <c r="C6182" s="1" t="s">
        <v>265</v>
      </c>
      <c r="D6182" s="1" t="s">
        <v>229</v>
      </c>
      <c r="E6182" s="1"/>
    </row>
    <row r="6183" spans="1:5" ht="16">
      <c r="A6183" s="1" t="s">
        <v>5703</v>
      </c>
      <c r="B6183" s="1" t="s">
        <v>5820</v>
      </c>
      <c r="C6183" s="1" t="s">
        <v>334</v>
      </c>
      <c r="D6183" s="1" t="s">
        <v>229</v>
      </c>
      <c r="E6183" s="1"/>
    </row>
    <row r="6184" spans="1:5" ht="16">
      <c r="A6184" s="1" t="s">
        <v>5703</v>
      </c>
      <c r="B6184" s="1" t="s">
        <v>5821</v>
      </c>
      <c r="C6184" s="1" t="s">
        <v>334</v>
      </c>
      <c r="D6184" s="1" t="s">
        <v>229</v>
      </c>
      <c r="E6184" s="1"/>
    </row>
    <row r="6185" spans="1:5" ht="16">
      <c r="A6185" s="1" t="s">
        <v>5703</v>
      </c>
      <c r="B6185" s="1" t="s">
        <v>5822</v>
      </c>
      <c r="C6185" s="1" t="s">
        <v>334</v>
      </c>
      <c r="D6185" s="1" t="s">
        <v>229</v>
      </c>
      <c r="E6185" s="1"/>
    </row>
    <row r="6186" spans="1:5" ht="16">
      <c r="A6186" s="1" t="s">
        <v>5703</v>
      </c>
      <c r="B6186" s="1" t="s">
        <v>5823</v>
      </c>
      <c r="C6186" s="1" t="s">
        <v>334</v>
      </c>
      <c r="D6186" s="1" t="s">
        <v>229</v>
      </c>
      <c r="E6186" s="1"/>
    </row>
    <row r="6187" spans="1:5" ht="16">
      <c r="A6187" s="1" t="s">
        <v>5703</v>
      </c>
      <c r="B6187" s="1" t="s">
        <v>5824</v>
      </c>
      <c r="C6187" s="1" t="s">
        <v>334</v>
      </c>
      <c r="D6187" s="1" t="s">
        <v>229</v>
      </c>
      <c r="E6187" s="1"/>
    </row>
    <row r="6188" spans="1:5" ht="16">
      <c r="A6188" s="1" t="s">
        <v>5703</v>
      </c>
      <c r="B6188" s="1" t="s">
        <v>5825</v>
      </c>
      <c r="C6188" s="1" t="s">
        <v>334</v>
      </c>
      <c r="D6188" s="1" t="s">
        <v>229</v>
      </c>
      <c r="E6188" s="1"/>
    </row>
    <row r="6189" spans="1:5" ht="16">
      <c r="A6189" s="1" t="s">
        <v>5703</v>
      </c>
      <c r="B6189" s="1" t="s">
        <v>5826</v>
      </c>
      <c r="C6189" s="1" t="s">
        <v>332</v>
      </c>
      <c r="D6189" s="1" t="s">
        <v>229</v>
      </c>
      <c r="E6189" s="1"/>
    </row>
    <row r="6190" spans="1:5" ht="16">
      <c r="A6190" s="1" t="s">
        <v>5827</v>
      </c>
      <c r="B6190" s="1" t="s">
        <v>5828</v>
      </c>
      <c r="C6190" s="1" t="s">
        <v>332</v>
      </c>
      <c r="D6190" s="1" t="s">
        <v>229</v>
      </c>
      <c r="E6190" s="1"/>
    </row>
    <row r="6191" spans="1:5" ht="16">
      <c r="A6191" s="1" t="s">
        <v>5829</v>
      </c>
      <c r="B6191" s="1" t="s">
        <v>5830</v>
      </c>
      <c r="C6191" s="1" t="s">
        <v>234</v>
      </c>
      <c r="D6191" s="1" t="s">
        <v>229</v>
      </c>
      <c r="E6191" s="1"/>
    </row>
    <row r="6192" spans="1:5" ht="16">
      <c r="A6192" s="1" t="s">
        <v>5831</v>
      </c>
      <c r="B6192" s="1" t="s">
        <v>5832</v>
      </c>
      <c r="C6192" s="1" t="s">
        <v>332</v>
      </c>
      <c r="D6192" s="1" t="s">
        <v>229</v>
      </c>
      <c r="E6192" s="1"/>
    </row>
    <row r="6193" spans="1:5" ht="16">
      <c r="A6193" s="1" t="s">
        <v>5831</v>
      </c>
      <c r="B6193" s="1" t="s">
        <v>5833</v>
      </c>
      <c r="C6193" s="1" t="s">
        <v>332</v>
      </c>
      <c r="D6193" s="1" t="s">
        <v>229</v>
      </c>
      <c r="E6193" s="1"/>
    </row>
    <row r="6194" spans="1:5" ht="16">
      <c r="A6194" s="1" t="s">
        <v>5831</v>
      </c>
      <c r="B6194" s="1" t="s">
        <v>5834</v>
      </c>
      <c r="C6194" s="1" t="s">
        <v>332</v>
      </c>
      <c r="D6194" s="1" t="s">
        <v>229</v>
      </c>
      <c r="E6194" s="1"/>
    </row>
    <row r="6195" spans="1:5" ht="16">
      <c r="A6195" s="1" t="s">
        <v>5831</v>
      </c>
      <c r="B6195" s="1" t="s">
        <v>5835</v>
      </c>
      <c r="C6195" s="1" t="s">
        <v>332</v>
      </c>
      <c r="D6195" s="1" t="s">
        <v>229</v>
      </c>
      <c r="E6195" s="1"/>
    </row>
    <row r="6196" spans="1:5" ht="16">
      <c r="A6196" s="1" t="s">
        <v>5831</v>
      </c>
      <c r="B6196" s="1" t="s">
        <v>5836</v>
      </c>
      <c r="C6196" s="1" t="s">
        <v>332</v>
      </c>
      <c r="D6196" s="1" t="s">
        <v>229</v>
      </c>
      <c r="E6196" s="1"/>
    </row>
    <row r="6197" spans="1:5" ht="16">
      <c r="A6197" s="1" t="s">
        <v>5831</v>
      </c>
      <c r="B6197" s="1" t="s">
        <v>5837</v>
      </c>
      <c r="C6197" s="1" t="s">
        <v>332</v>
      </c>
      <c r="D6197" s="1" t="s">
        <v>229</v>
      </c>
      <c r="E6197" s="1"/>
    </row>
    <row r="6198" spans="1:5" ht="16">
      <c r="A6198" s="1" t="s">
        <v>5831</v>
      </c>
      <c r="B6198" s="1" t="s">
        <v>5838</v>
      </c>
      <c r="C6198" s="1" t="s">
        <v>332</v>
      </c>
      <c r="D6198" s="1" t="s">
        <v>229</v>
      </c>
      <c r="E6198" s="1"/>
    </row>
    <row r="6199" spans="1:5" ht="16">
      <c r="A6199" s="1" t="s">
        <v>5831</v>
      </c>
      <c r="B6199" s="1" t="s">
        <v>5839</v>
      </c>
      <c r="C6199" s="1" t="s">
        <v>332</v>
      </c>
      <c r="D6199" s="1" t="s">
        <v>229</v>
      </c>
      <c r="E6199" s="1"/>
    </row>
    <row r="6200" spans="1:5" ht="16">
      <c r="A6200" s="1" t="s">
        <v>5831</v>
      </c>
      <c r="B6200" s="1" t="s">
        <v>5840</v>
      </c>
      <c r="C6200" s="1" t="s">
        <v>332</v>
      </c>
      <c r="D6200" s="1" t="s">
        <v>229</v>
      </c>
      <c r="E6200" s="1"/>
    </row>
    <row r="6201" spans="1:5" ht="16">
      <c r="A6201" s="1" t="s">
        <v>5831</v>
      </c>
      <c r="B6201" s="1" t="s">
        <v>5841</v>
      </c>
      <c r="C6201" s="1" t="s">
        <v>332</v>
      </c>
      <c r="D6201" s="1" t="s">
        <v>229</v>
      </c>
      <c r="E6201" s="1"/>
    </row>
    <row r="6202" spans="1:5" ht="16">
      <c r="A6202" s="1" t="s">
        <v>5831</v>
      </c>
      <c r="B6202" s="1" t="s">
        <v>5842</v>
      </c>
      <c r="C6202" s="1" t="s">
        <v>332</v>
      </c>
      <c r="D6202" s="1" t="s">
        <v>229</v>
      </c>
      <c r="E6202" s="1"/>
    </row>
    <row r="6203" spans="1:5" ht="16">
      <c r="A6203" s="1" t="s">
        <v>5831</v>
      </c>
      <c r="B6203" s="1" t="s">
        <v>5843</v>
      </c>
      <c r="C6203" s="1" t="s">
        <v>332</v>
      </c>
      <c r="D6203" s="1" t="s">
        <v>229</v>
      </c>
      <c r="E6203" s="1"/>
    </row>
    <row r="6204" spans="1:5" ht="16">
      <c r="A6204" s="1" t="s">
        <v>5831</v>
      </c>
      <c r="B6204" s="1" t="s">
        <v>5844</v>
      </c>
      <c r="C6204" s="1" t="s">
        <v>332</v>
      </c>
      <c r="D6204" s="1" t="s">
        <v>229</v>
      </c>
      <c r="E6204" s="1"/>
    </row>
    <row r="6205" spans="1:5" ht="16">
      <c r="A6205" s="1" t="s">
        <v>5831</v>
      </c>
      <c r="B6205" s="1" t="s">
        <v>5845</v>
      </c>
      <c r="C6205" s="1" t="s">
        <v>332</v>
      </c>
      <c r="D6205" s="1" t="s">
        <v>229</v>
      </c>
      <c r="E6205" s="1"/>
    </row>
    <row r="6206" spans="1:5" ht="16">
      <c r="A6206" s="1" t="s">
        <v>5831</v>
      </c>
      <c r="B6206" s="1" t="s">
        <v>5846</v>
      </c>
      <c r="C6206" s="1" t="s">
        <v>332</v>
      </c>
      <c r="D6206" s="1" t="s">
        <v>229</v>
      </c>
      <c r="E6206" s="1"/>
    </row>
    <row r="6207" spans="1:5" ht="16">
      <c r="A6207" s="1" t="s">
        <v>5831</v>
      </c>
      <c r="B6207" s="1" t="s">
        <v>5847</v>
      </c>
      <c r="C6207" s="1" t="s">
        <v>332</v>
      </c>
      <c r="D6207" s="1" t="s">
        <v>229</v>
      </c>
      <c r="E6207" s="1"/>
    </row>
    <row r="6208" spans="1:5" ht="16">
      <c r="A6208" s="1" t="s">
        <v>5831</v>
      </c>
      <c r="B6208" s="1" t="s">
        <v>5848</v>
      </c>
      <c r="C6208" s="1" t="s">
        <v>332</v>
      </c>
      <c r="D6208" s="1" t="s">
        <v>229</v>
      </c>
      <c r="E6208" s="1"/>
    </row>
    <row r="6209" spans="1:5" ht="16">
      <c r="A6209" s="1" t="s">
        <v>5831</v>
      </c>
      <c r="B6209" s="1" t="s">
        <v>5849</v>
      </c>
      <c r="C6209" s="1" t="s">
        <v>332</v>
      </c>
      <c r="D6209" s="1" t="s">
        <v>229</v>
      </c>
      <c r="E6209" s="1"/>
    </row>
    <row r="6210" spans="1:5" ht="16">
      <c r="A6210" s="1" t="s">
        <v>5831</v>
      </c>
      <c r="B6210" s="1" t="s">
        <v>5850</v>
      </c>
      <c r="C6210" s="1" t="s">
        <v>332</v>
      </c>
      <c r="D6210" s="1" t="s">
        <v>229</v>
      </c>
      <c r="E6210" s="1"/>
    </row>
    <row r="6211" spans="1:5" ht="16">
      <c r="A6211" s="1" t="s">
        <v>5831</v>
      </c>
      <c r="B6211" s="1" t="s">
        <v>5851</v>
      </c>
      <c r="C6211" s="1" t="s">
        <v>332</v>
      </c>
      <c r="D6211" s="1" t="s">
        <v>229</v>
      </c>
      <c r="E6211" s="1"/>
    </row>
    <row r="6212" spans="1:5" ht="16">
      <c r="A6212" s="1" t="s">
        <v>5831</v>
      </c>
      <c r="B6212" s="1" t="s">
        <v>5852</v>
      </c>
      <c r="C6212" s="1" t="s">
        <v>332</v>
      </c>
      <c r="D6212" s="1" t="s">
        <v>229</v>
      </c>
      <c r="E6212" s="1"/>
    </row>
    <row r="6213" spans="1:5" ht="16">
      <c r="A6213" s="1" t="s">
        <v>5831</v>
      </c>
      <c r="B6213" s="1" t="s">
        <v>5853</v>
      </c>
      <c r="C6213" s="1" t="s">
        <v>332</v>
      </c>
      <c r="D6213" s="1" t="s">
        <v>229</v>
      </c>
      <c r="E6213" s="1"/>
    </row>
    <row r="6214" spans="1:5" ht="16">
      <c r="A6214" s="1" t="s">
        <v>5831</v>
      </c>
      <c r="B6214" s="1" t="s">
        <v>5854</v>
      </c>
      <c r="C6214" s="1" t="s">
        <v>332</v>
      </c>
      <c r="D6214" s="1" t="s">
        <v>229</v>
      </c>
      <c r="E6214" s="1"/>
    </row>
    <row r="6215" spans="1:5" ht="16">
      <c r="A6215" s="1" t="s">
        <v>5831</v>
      </c>
      <c r="B6215" s="1" t="s">
        <v>5855</v>
      </c>
      <c r="C6215" s="1" t="s">
        <v>332</v>
      </c>
      <c r="D6215" s="1" t="s">
        <v>229</v>
      </c>
      <c r="E6215" s="1"/>
    </row>
    <row r="6216" spans="1:5" ht="16">
      <c r="A6216" s="1" t="s">
        <v>5831</v>
      </c>
      <c r="B6216" s="1" t="s">
        <v>5856</v>
      </c>
      <c r="C6216" s="1" t="s">
        <v>332</v>
      </c>
      <c r="D6216" s="1" t="s">
        <v>229</v>
      </c>
      <c r="E6216" s="1"/>
    </row>
    <row r="6217" spans="1:5" ht="16">
      <c r="A6217" s="1" t="s">
        <v>5831</v>
      </c>
      <c r="B6217" s="1" t="s">
        <v>5857</v>
      </c>
      <c r="C6217" s="1" t="s">
        <v>332</v>
      </c>
      <c r="D6217" s="1" t="s">
        <v>229</v>
      </c>
      <c r="E6217" s="1"/>
    </row>
    <row r="6218" spans="1:5" ht="16">
      <c r="A6218" s="1" t="s">
        <v>5831</v>
      </c>
      <c r="B6218" s="1" t="s">
        <v>5858</v>
      </c>
      <c r="C6218" s="1" t="s">
        <v>332</v>
      </c>
      <c r="D6218" s="1" t="s">
        <v>229</v>
      </c>
      <c r="E6218" s="1"/>
    </row>
    <row r="6219" spans="1:5" ht="16">
      <c r="A6219" s="1" t="s">
        <v>5831</v>
      </c>
      <c r="B6219" s="1" t="s">
        <v>5859</v>
      </c>
      <c r="C6219" s="1" t="s">
        <v>332</v>
      </c>
      <c r="D6219" s="1" t="s">
        <v>229</v>
      </c>
      <c r="E6219" s="1"/>
    </row>
    <row r="6220" spans="1:5" ht="16">
      <c r="A6220" s="1" t="s">
        <v>5831</v>
      </c>
      <c r="B6220" s="1" t="s">
        <v>5860</v>
      </c>
      <c r="C6220" s="1" t="s">
        <v>332</v>
      </c>
      <c r="D6220" s="1" t="s">
        <v>229</v>
      </c>
      <c r="E6220" s="1"/>
    </row>
    <row r="6221" spans="1:5" ht="16">
      <c r="A6221" s="1" t="s">
        <v>5831</v>
      </c>
      <c r="B6221" s="1" t="s">
        <v>5861</v>
      </c>
      <c r="C6221" s="1" t="s">
        <v>332</v>
      </c>
      <c r="D6221" s="1" t="s">
        <v>229</v>
      </c>
      <c r="E6221" s="1"/>
    </row>
    <row r="6222" spans="1:5" ht="16">
      <c r="A6222" s="1" t="s">
        <v>5831</v>
      </c>
      <c r="B6222" s="1" t="s">
        <v>5862</v>
      </c>
      <c r="C6222" s="1" t="s">
        <v>332</v>
      </c>
      <c r="D6222" s="1" t="s">
        <v>229</v>
      </c>
      <c r="E6222" s="1"/>
    </row>
    <row r="6223" spans="1:5" ht="16">
      <c r="A6223" s="1" t="s">
        <v>5831</v>
      </c>
      <c r="B6223" s="1" t="s">
        <v>5863</v>
      </c>
      <c r="C6223" s="1" t="s">
        <v>332</v>
      </c>
      <c r="D6223" s="1" t="s">
        <v>229</v>
      </c>
      <c r="E6223" s="1"/>
    </row>
    <row r="6224" spans="1:5" ht="16">
      <c r="A6224" s="1" t="s">
        <v>5831</v>
      </c>
      <c r="B6224" s="1" t="s">
        <v>5864</v>
      </c>
      <c r="C6224" s="1" t="s">
        <v>332</v>
      </c>
      <c r="D6224" s="1" t="s">
        <v>229</v>
      </c>
      <c r="E6224" s="1"/>
    </row>
    <row r="6225" spans="1:5" ht="16">
      <c r="A6225" s="1" t="s">
        <v>5831</v>
      </c>
      <c r="B6225" s="1" t="s">
        <v>5865</v>
      </c>
      <c r="C6225" s="1" t="s">
        <v>332</v>
      </c>
      <c r="D6225" s="1" t="s">
        <v>229</v>
      </c>
      <c r="E6225" s="1"/>
    </row>
    <row r="6226" spans="1:5" ht="16">
      <c r="A6226" s="1" t="s">
        <v>5831</v>
      </c>
      <c r="B6226" s="1" t="s">
        <v>5866</v>
      </c>
      <c r="C6226" s="1" t="s">
        <v>332</v>
      </c>
      <c r="D6226" s="1" t="s">
        <v>229</v>
      </c>
      <c r="E6226" s="1"/>
    </row>
    <row r="6227" spans="1:5" ht="16">
      <c r="A6227" s="1" t="s">
        <v>5831</v>
      </c>
      <c r="B6227" s="1" t="s">
        <v>5867</v>
      </c>
      <c r="C6227" s="1" t="s">
        <v>332</v>
      </c>
      <c r="D6227" s="1" t="s">
        <v>229</v>
      </c>
      <c r="E6227" s="1"/>
    </row>
    <row r="6228" spans="1:5" ht="16">
      <c r="A6228" s="1" t="s">
        <v>5831</v>
      </c>
      <c r="B6228" s="1" t="s">
        <v>5868</v>
      </c>
      <c r="C6228" s="1" t="s">
        <v>332</v>
      </c>
      <c r="D6228" s="1" t="s">
        <v>229</v>
      </c>
      <c r="E6228" s="1"/>
    </row>
    <row r="6229" spans="1:5" ht="16">
      <c r="A6229" s="1" t="s">
        <v>5831</v>
      </c>
      <c r="B6229" s="1" t="s">
        <v>5869</v>
      </c>
      <c r="C6229" s="1" t="s">
        <v>332</v>
      </c>
      <c r="D6229" s="1" t="s">
        <v>229</v>
      </c>
      <c r="E6229" s="1"/>
    </row>
    <row r="6230" spans="1:5" ht="16">
      <c r="A6230" s="1" t="s">
        <v>5831</v>
      </c>
      <c r="B6230" s="1" t="s">
        <v>5870</v>
      </c>
      <c r="C6230" s="1" t="s">
        <v>332</v>
      </c>
      <c r="D6230" s="1" t="s">
        <v>229</v>
      </c>
      <c r="E6230" s="1"/>
    </row>
    <row r="6231" spans="1:5" ht="16">
      <c r="A6231" s="1" t="s">
        <v>5831</v>
      </c>
      <c r="B6231" s="1" t="s">
        <v>5871</v>
      </c>
      <c r="C6231" s="1" t="s">
        <v>332</v>
      </c>
      <c r="D6231" s="1" t="s">
        <v>229</v>
      </c>
      <c r="E6231" s="1"/>
    </row>
    <row r="6232" spans="1:5" ht="16">
      <c r="A6232" s="1" t="s">
        <v>5831</v>
      </c>
      <c r="B6232" s="1" t="s">
        <v>5872</v>
      </c>
      <c r="C6232" s="1" t="s">
        <v>332</v>
      </c>
      <c r="D6232" s="1" t="s">
        <v>229</v>
      </c>
      <c r="E6232" s="1"/>
    </row>
    <row r="6233" spans="1:5" ht="16">
      <c r="A6233" s="1" t="s">
        <v>5831</v>
      </c>
      <c r="B6233" s="1" t="s">
        <v>5873</v>
      </c>
      <c r="C6233" s="1" t="s">
        <v>332</v>
      </c>
      <c r="D6233" s="1" t="s">
        <v>229</v>
      </c>
      <c r="E6233" s="1"/>
    </row>
    <row r="6234" spans="1:5" ht="16">
      <c r="A6234" s="1" t="s">
        <v>5831</v>
      </c>
      <c r="B6234" s="1" t="s">
        <v>5874</v>
      </c>
      <c r="C6234" s="1" t="s">
        <v>332</v>
      </c>
      <c r="D6234" s="1" t="s">
        <v>229</v>
      </c>
      <c r="E6234" s="1"/>
    </row>
    <row r="6235" spans="1:5" ht="16">
      <c r="A6235" s="1" t="s">
        <v>5831</v>
      </c>
      <c r="B6235" s="1" t="s">
        <v>5875</v>
      </c>
      <c r="C6235" s="1" t="s">
        <v>332</v>
      </c>
      <c r="D6235" s="1" t="s">
        <v>229</v>
      </c>
      <c r="E6235" s="1"/>
    </row>
    <row r="6236" spans="1:5" ht="16">
      <c r="A6236" s="1" t="s">
        <v>5831</v>
      </c>
      <c r="B6236" s="1" t="s">
        <v>5876</v>
      </c>
      <c r="C6236" s="1" t="s">
        <v>332</v>
      </c>
      <c r="D6236" s="1" t="s">
        <v>229</v>
      </c>
      <c r="E6236" s="1"/>
    </row>
    <row r="6237" spans="1:5" ht="16">
      <c r="A6237" s="1" t="s">
        <v>5831</v>
      </c>
      <c r="B6237" s="1" t="s">
        <v>5877</v>
      </c>
      <c r="C6237" s="1" t="s">
        <v>332</v>
      </c>
      <c r="D6237" s="1" t="s">
        <v>229</v>
      </c>
      <c r="E6237" s="1"/>
    </row>
    <row r="6238" spans="1:5" ht="16">
      <c r="A6238" s="1" t="s">
        <v>5831</v>
      </c>
      <c r="B6238" s="1" t="s">
        <v>5878</v>
      </c>
      <c r="C6238" s="1" t="s">
        <v>332</v>
      </c>
      <c r="D6238" s="1" t="s">
        <v>229</v>
      </c>
      <c r="E6238" s="1"/>
    </row>
    <row r="6239" spans="1:5" ht="16">
      <c r="A6239" s="1" t="s">
        <v>5879</v>
      </c>
      <c r="B6239" s="1" t="s">
        <v>5880</v>
      </c>
      <c r="C6239" s="1" t="s">
        <v>334</v>
      </c>
      <c r="D6239" s="1" t="s">
        <v>229</v>
      </c>
      <c r="E6239" s="1"/>
    </row>
    <row r="6240" spans="1:5" ht="16">
      <c r="A6240" s="1" t="s">
        <v>5879</v>
      </c>
      <c r="B6240" s="1" t="s">
        <v>5881</v>
      </c>
      <c r="C6240" s="1" t="s">
        <v>334</v>
      </c>
      <c r="D6240" s="1" t="s">
        <v>229</v>
      </c>
      <c r="E6240" s="1"/>
    </row>
    <row r="6241" spans="1:5" ht="16">
      <c r="A6241" s="1" t="s">
        <v>5879</v>
      </c>
      <c r="B6241" s="1" t="s">
        <v>5882</v>
      </c>
      <c r="C6241" s="1" t="s">
        <v>334</v>
      </c>
      <c r="D6241" s="1" t="s">
        <v>229</v>
      </c>
      <c r="E6241" s="1"/>
    </row>
    <row r="6242" spans="1:5" ht="16">
      <c r="A6242" s="1" t="s">
        <v>5879</v>
      </c>
      <c r="B6242" s="1" t="s">
        <v>5883</v>
      </c>
      <c r="C6242" s="1" t="s">
        <v>334</v>
      </c>
      <c r="D6242" s="1" t="s">
        <v>229</v>
      </c>
      <c r="E6242" s="1"/>
    </row>
    <row r="6243" spans="1:5" ht="16">
      <c r="A6243" s="1" t="s">
        <v>5879</v>
      </c>
      <c r="B6243" s="1" t="s">
        <v>5884</v>
      </c>
      <c r="C6243" s="1" t="s">
        <v>332</v>
      </c>
      <c r="D6243" s="1" t="s">
        <v>229</v>
      </c>
      <c r="E6243" s="1"/>
    </row>
    <row r="6244" spans="1:5" ht="16">
      <c r="A6244" s="1" t="s">
        <v>5885</v>
      </c>
      <c r="B6244" s="1" t="s">
        <v>5886</v>
      </c>
      <c r="C6244" s="1" t="s">
        <v>332</v>
      </c>
      <c r="D6244" s="1" t="s">
        <v>229</v>
      </c>
      <c r="E6244" s="1"/>
    </row>
    <row r="6245" spans="1:5" ht="16">
      <c r="A6245" s="1" t="s">
        <v>5885</v>
      </c>
      <c r="B6245" s="1" t="s">
        <v>5887</v>
      </c>
      <c r="C6245" s="1" t="s">
        <v>332</v>
      </c>
      <c r="D6245" s="1" t="s">
        <v>229</v>
      </c>
      <c r="E6245" s="1"/>
    </row>
    <row r="6246" spans="1:5" ht="16">
      <c r="A6246" s="1" t="s">
        <v>5885</v>
      </c>
      <c r="B6246" s="1" t="s">
        <v>5888</v>
      </c>
      <c r="C6246" s="1" t="s">
        <v>332</v>
      </c>
      <c r="D6246" s="1" t="s">
        <v>229</v>
      </c>
      <c r="E6246" s="1"/>
    </row>
    <row r="6247" spans="1:5" ht="16">
      <c r="A6247" s="1" t="s">
        <v>5885</v>
      </c>
      <c r="B6247" s="1" t="s">
        <v>5889</v>
      </c>
      <c r="C6247" s="1" t="s">
        <v>332</v>
      </c>
      <c r="D6247" s="1" t="s">
        <v>229</v>
      </c>
      <c r="E6247" s="1"/>
    </row>
    <row r="6248" spans="1:5" ht="16">
      <c r="A6248" s="1" t="s">
        <v>5885</v>
      </c>
      <c r="B6248" s="1" t="s">
        <v>5890</v>
      </c>
      <c r="C6248" s="1" t="s">
        <v>332</v>
      </c>
      <c r="D6248" s="1" t="s">
        <v>229</v>
      </c>
      <c r="E6248" s="1"/>
    </row>
    <row r="6249" spans="1:5" ht="16">
      <c r="A6249" s="1" t="s">
        <v>5885</v>
      </c>
      <c r="B6249" s="1" t="s">
        <v>5891</v>
      </c>
      <c r="C6249" s="1" t="s">
        <v>332</v>
      </c>
      <c r="D6249" s="1" t="s">
        <v>229</v>
      </c>
      <c r="E6249" s="1"/>
    </row>
    <row r="6250" spans="1:5" ht="16">
      <c r="A6250" s="1" t="s">
        <v>5885</v>
      </c>
      <c r="B6250" s="1" t="s">
        <v>5892</v>
      </c>
      <c r="C6250" s="1" t="s">
        <v>332</v>
      </c>
      <c r="D6250" s="1" t="s">
        <v>229</v>
      </c>
      <c r="E6250" s="1"/>
    </row>
    <row r="6251" spans="1:5" ht="16">
      <c r="A6251" s="1" t="s">
        <v>219</v>
      </c>
      <c r="B6251" s="1" t="s">
        <v>5893</v>
      </c>
      <c r="C6251" s="1" t="s">
        <v>334</v>
      </c>
      <c r="D6251" s="1" t="s">
        <v>229</v>
      </c>
      <c r="E6251" s="1"/>
    </row>
    <row r="6252" spans="1:5" ht="16">
      <c r="A6252" s="1" t="s">
        <v>219</v>
      </c>
      <c r="B6252" s="1" t="s">
        <v>5894</v>
      </c>
      <c r="C6252" s="1" t="s">
        <v>334</v>
      </c>
      <c r="D6252" s="1" t="s">
        <v>229</v>
      </c>
      <c r="E6252" s="1"/>
    </row>
    <row r="6253" spans="1:5" ht="16">
      <c r="A6253" s="1" t="s">
        <v>219</v>
      </c>
      <c r="B6253" s="1" t="s">
        <v>5895</v>
      </c>
      <c r="C6253" s="1" t="s">
        <v>334</v>
      </c>
      <c r="D6253" s="1" t="s">
        <v>229</v>
      </c>
      <c r="E6253" s="1"/>
    </row>
    <row r="6254" spans="1:5" ht="16">
      <c r="A6254" s="1" t="s">
        <v>219</v>
      </c>
      <c r="B6254" s="1" t="s">
        <v>5896</v>
      </c>
      <c r="C6254" s="1" t="s">
        <v>334</v>
      </c>
      <c r="D6254" s="1" t="s">
        <v>229</v>
      </c>
      <c r="E6254" s="1"/>
    </row>
    <row r="6255" spans="1:5" ht="16">
      <c r="A6255" s="1" t="s">
        <v>219</v>
      </c>
      <c r="B6255" s="1" t="s">
        <v>5897</v>
      </c>
      <c r="C6255" s="1" t="s">
        <v>334</v>
      </c>
      <c r="D6255" s="1" t="s">
        <v>355</v>
      </c>
      <c r="E6255" s="1"/>
    </row>
    <row r="6256" spans="1:5" ht="16">
      <c r="A6256" s="1" t="s">
        <v>219</v>
      </c>
      <c r="B6256" s="1" t="s">
        <v>5898</v>
      </c>
      <c r="C6256" s="1" t="s">
        <v>334</v>
      </c>
      <c r="D6256" s="1" t="s">
        <v>229</v>
      </c>
      <c r="E6256" s="1"/>
    </row>
    <row r="6257" spans="1:5" ht="16">
      <c r="A6257" s="1" t="s">
        <v>219</v>
      </c>
      <c r="B6257" s="1" t="s">
        <v>5899</v>
      </c>
      <c r="C6257" s="1" t="s">
        <v>334</v>
      </c>
      <c r="D6257" s="1" t="s">
        <v>229</v>
      </c>
      <c r="E6257" s="1"/>
    </row>
    <row r="6258" spans="1:5" ht="16">
      <c r="A6258" s="1" t="s">
        <v>219</v>
      </c>
      <c r="B6258" s="1" t="s">
        <v>5900</v>
      </c>
      <c r="C6258" s="1" t="s">
        <v>334</v>
      </c>
      <c r="D6258" s="1" t="s">
        <v>229</v>
      </c>
      <c r="E6258" s="1"/>
    </row>
    <row r="6259" spans="1:5" ht="16">
      <c r="A6259" s="1" t="s">
        <v>219</v>
      </c>
      <c r="B6259" s="1" t="s">
        <v>5901</v>
      </c>
      <c r="C6259" s="1" t="s">
        <v>334</v>
      </c>
      <c r="D6259" s="1" t="s">
        <v>229</v>
      </c>
      <c r="E6259" s="1"/>
    </row>
    <row r="6260" spans="1:5" ht="16">
      <c r="A6260" s="1" t="s">
        <v>219</v>
      </c>
      <c r="B6260" s="1" t="s">
        <v>5902</v>
      </c>
      <c r="C6260" s="1" t="s">
        <v>332</v>
      </c>
      <c r="D6260" s="1" t="s">
        <v>229</v>
      </c>
      <c r="E6260" s="1"/>
    </row>
    <row r="6261" spans="1:5" ht="16">
      <c r="A6261" s="1" t="s">
        <v>219</v>
      </c>
      <c r="B6261" s="1" t="s">
        <v>5903</v>
      </c>
      <c r="C6261" s="1" t="s">
        <v>332</v>
      </c>
      <c r="D6261" s="1" t="s">
        <v>229</v>
      </c>
      <c r="E6261" s="1"/>
    </row>
    <row r="6262" spans="1:5" ht="16">
      <c r="A6262" s="1" t="s">
        <v>219</v>
      </c>
      <c r="B6262" s="1" t="s">
        <v>5904</v>
      </c>
      <c r="C6262" s="1" t="s">
        <v>307</v>
      </c>
      <c r="D6262" s="1" t="s">
        <v>229</v>
      </c>
      <c r="E6262" s="1"/>
    </row>
    <row r="6263" spans="1:5" ht="16">
      <c r="A6263" s="1" t="s">
        <v>219</v>
      </c>
      <c r="B6263" s="1" t="s">
        <v>5905</v>
      </c>
      <c r="C6263" s="1" t="s">
        <v>307</v>
      </c>
      <c r="D6263" s="1" t="s">
        <v>229</v>
      </c>
      <c r="E6263" s="1"/>
    </row>
    <row r="6264" spans="1:5" ht="16">
      <c r="A6264" s="1" t="s">
        <v>219</v>
      </c>
      <c r="B6264" s="1" t="s">
        <v>5906</v>
      </c>
      <c r="C6264" s="1" t="s">
        <v>307</v>
      </c>
      <c r="D6264" s="1" t="s">
        <v>229</v>
      </c>
      <c r="E6264" s="1"/>
    </row>
    <row r="6265" spans="1:5" ht="16">
      <c r="A6265" s="1" t="s">
        <v>219</v>
      </c>
      <c r="B6265" s="1" t="s">
        <v>5907</v>
      </c>
      <c r="C6265" s="1" t="s">
        <v>307</v>
      </c>
      <c r="D6265" s="1" t="s">
        <v>229</v>
      </c>
      <c r="E6265" s="1"/>
    </row>
    <row r="6266" spans="1:5" ht="16">
      <c r="A6266" s="1" t="s">
        <v>219</v>
      </c>
      <c r="B6266" s="1" t="s">
        <v>5908</v>
      </c>
      <c r="C6266" s="1" t="s">
        <v>307</v>
      </c>
      <c r="D6266" s="1" t="s">
        <v>229</v>
      </c>
      <c r="E6266" s="1"/>
    </row>
    <row r="6267" spans="1:5" ht="16">
      <c r="A6267" s="1" t="s">
        <v>219</v>
      </c>
      <c r="B6267" s="1" t="s">
        <v>5909</v>
      </c>
      <c r="C6267" s="1" t="s">
        <v>307</v>
      </c>
      <c r="D6267" s="1" t="s">
        <v>229</v>
      </c>
      <c r="E6267" s="1"/>
    </row>
    <row r="6268" spans="1:5" ht="16">
      <c r="A6268" s="1" t="s">
        <v>219</v>
      </c>
      <c r="B6268" s="1" t="s">
        <v>5910</v>
      </c>
      <c r="C6268" s="1" t="s">
        <v>307</v>
      </c>
      <c r="D6268" s="1" t="s">
        <v>229</v>
      </c>
      <c r="E6268" s="1"/>
    </row>
    <row r="6269" spans="1:5" ht="16">
      <c r="A6269" s="1" t="s">
        <v>219</v>
      </c>
      <c r="B6269" s="1" t="s">
        <v>5911</v>
      </c>
      <c r="C6269" s="1" t="s">
        <v>307</v>
      </c>
      <c r="D6269" s="1" t="s">
        <v>229</v>
      </c>
      <c r="E6269" s="1"/>
    </row>
    <row r="6270" spans="1:5" ht="16">
      <c r="A6270" s="1" t="s">
        <v>219</v>
      </c>
      <c r="B6270" s="1" t="s">
        <v>5912</v>
      </c>
      <c r="C6270" s="1" t="s">
        <v>228</v>
      </c>
      <c r="D6270" s="1" t="s">
        <v>229</v>
      </c>
      <c r="E6270" s="1"/>
    </row>
    <row r="6271" spans="1:5" ht="16">
      <c r="A6271" s="1" t="s">
        <v>219</v>
      </c>
      <c r="B6271" s="1" t="s">
        <v>5913</v>
      </c>
      <c r="C6271" s="1" t="s">
        <v>334</v>
      </c>
      <c r="D6271" s="1" t="s">
        <v>229</v>
      </c>
      <c r="E6271" s="1"/>
    </row>
    <row r="6272" spans="1:5" ht="16">
      <c r="A6272" s="1" t="s">
        <v>219</v>
      </c>
      <c r="B6272" s="1" t="s">
        <v>5914</v>
      </c>
      <c r="C6272" s="1" t="s">
        <v>307</v>
      </c>
      <c r="D6272" s="1" t="s">
        <v>229</v>
      </c>
      <c r="E6272" s="1"/>
    </row>
    <row r="6273" spans="1:5" ht="16">
      <c r="A6273" s="1" t="s">
        <v>219</v>
      </c>
      <c r="B6273" s="1" t="s">
        <v>5915</v>
      </c>
      <c r="C6273" s="1" t="s">
        <v>307</v>
      </c>
      <c r="D6273" s="1" t="s">
        <v>229</v>
      </c>
      <c r="E6273" s="1"/>
    </row>
    <row r="6274" spans="1:5" ht="16">
      <c r="A6274" s="1" t="s">
        <v>219</v>
      </c>
      <c r="B6274" s="1" t="s">
        <v>5916</v>
      </c>
      <c r="C6274" s="1" t="s">
        <v>307</v>
      </c>
      <c r="D6274" s="1" t="s">
        <v>229</v>
      </c>
      <c r="E6274" s="1"/>
    </row>
    <row r="6275" spans="1:5" ht="16">
      <c r="A6275" s="1" t="s">
        <v>219</v>
      </c>
      <c r="B6275" s="1" t="s">
        <v>5917</v>
      </c>
      <c r="C6275" s="1" t="s">
        <v>307</v>
      </c>
      <c r="D6275" s="1" t="s">
        <v>229</v>
      </c>
      <c r="E6275" s="1"/>
    </row>
    <row r="6276" spans="1:5" ht="16">
      <c r="A6276" s="1" t="s">
        <v>219</v>
      </c>
      <c r="B6276" s="1" t="s">
        <v>5918</v>
      </c>
      <c r="C6276" s="1" t="s">
        <v>307</v>
      </c>
      <c r="D6276" s="1" t="s">
        <v>229</v>
      </c>
      <c r="E6276" s="1"/>
    </row>
    <row r="6277" spans="1:5" ht="16">
      <c r="A6277" s="1" t="s">
        <v>219</v>
      </c>
      <c r="B6277" s="1" t="s">
        <v>5919</v>
      </c>
      <c r="C6277" s="1" t="s">
        <v>307</v>
      </c>
      <c r="D6277" s="1" t="s">
        <v>229</v>
      </c>
      <c r="E6277" s="1"/>
    </row>
    <row r="6278" spans="1:5" ht="16">
      <c r="A6278" s="1" t="s">
        <v>219</v>
      </c>
      <c r="B6278" s="1" t="s">
        <v>5920</v>
      </c>
      <c r="C6278" s="1" t="s">
        <v>307</v>
      </c>
      <c r="D6278" s="1" t="s">
        <v>229</v>
      </c>
      <c r="E6278" s="1"/>
    </row>
    <row r="6279" spans="1:5" ht="16">
      <c r="A6279" s="1" t="s">
        <v>219</v>
      </c>
      <c r="B6279" s="1" t="s">
        <v>5921</v>
      </c>
      <c r="C6279" s="1" t="s">
        <v>307</v>
      </c>
      <c r="D6279" s="1" t="s">
        <v>229</v>
      </c>
      <c r="E6279" s="1"/>
    </row>
    <row r="6280" spans="1:5" ht="16">
      <c r="A6280" s="1" t="s">
        <v>219</v>
      </c>
      <c r="B6280" s="1" t="s">
        <v>5922</v>
      </c>
      <c r="C6280" s="1" t="s">
        <v>332</v>
      </c>
      <c r="D6280" s="1" t="s">
        <v>229</v>
      </c>
      <c r="E6280" s="1"/>
    </row>
    <row r="6281" spans="1:5" ht="16">
      <c r="A6281" s="1" t="s">
        <v>219</v>
      </c>
      <c r="B6281" s="1" t="s">
        <v>5923</v>
      </c>
      <c r="C6281" s="1" t="s">
        <v>332</v>
      </c>
      <c r="D6281" s="1" t="s">
        <v>229</v>
      </c>
      <c r="E6281" s="1"/>
    </row>
    <row r="6282" spans="1:5" ht="16">
      <c r="A6282" s="1" t="s">
        <v>219</v>
      </c>
      <c r="B6282" s="1" t="s">
        <v>5924</v>
      </c>
      <c r="C6282" s="1" t="s">
        <v>332</v>
      </c>
      <c r="D6282" s="1" t="s">
        <v>229</v>
      </c>
      <c r="E6282" s="1"/>
    </row>
    <row r="6283" spans="1:5" ht="16">
      <c r="A6283" s="1" t="s">
        <v>219</v>
      </c>
      <c r="B6283" s="1" t="s">
        <v>5925</v>
      </c>
      <c r="C6283" s="1" t="s">
        <v>332</v>
      </c>
      <c r="D6283" s="1" t="s">
        <v>229</v>
      </c>
      <c r="E6283" s="1"/>
    </row>
    <row r="6284" spans="1:5" ht="16">
      <c r="A6284" s="1" t="s">
        <v>219</v>
      </c>
      <c r="B6284" s="1" t="s">
        <v>5926</v>
      </c>
      <c r="C6284" s="1" t="s">
        <v>334</v>
      </c>
      <c r="D6284" s="1" t="s">
        <v>229</v>
      </c>
      <c r="E6284" s="1"/>
    </row>
    <row r="6285" spans="1:5" ht="16">
      <c r="A6285" s="1" t="s">
        <v>219</v>
      </c>
      <c r="B6285" s="1" t="s">
        <v>5927</v>
      </c>
      <c r="C6285" s="1" t="s">
        <v>307</v>
      </c>
      <c r="D6285" s="1" t="s">
        <v>229</v>
      </c>
      <c r="E6285" s="1"/>
    </row>
    <row r="6286" spans="1:5" ht="16">
      <c r="A6286" s="1" t="s">
        <v>219</v>
      </c>
      <c r="B6286" s="1" t="s">
        <v>5928</v>
      </c>
      <c r="C6286" s="1" t="s">
        <v>265</v>
      </c>
      <c r="D6286" s="1" t="s">
        <v>229</v>
      </c>
      <c r="E6286" s="1"/>
    </row>
    <row r="6287" spans="1:5" ht="16">
      <c r="A6287" s="1" t="s">
        <v>219</v>
      </c>
      <c r="B6287" s="1" t="s">
        <v>5929</v>
      </c>
      <c r="C6287" s="1" t="s">
        <v>265</v>
      </c>
      <c r="D6287" s="1" t="s">
        <v>229</v>
      </c>
      <c r="E6287" s="1"/>
    </row>
    <row r="6288" spans="1:5" ht="16">
      <c r="A6288" s="1" t="s">
        <v>219</v>
      </c>
      <c r="B6288" s="1" t="s">
        <v>5930</v>
      </c>
      <c r="C6288" s="1" t="s">
        <v>265</v>
      </c>
      <c r="D6288" s="1" t="s">
        <v>229</v>
      </c>
      <c r="E6288" s="1"/>
    </row>
    <row r="6289" spans="1:5" ht="16">
      <c r="A6289" s="1" t="s">
        <v>219</v>
      </c>
      <c r="B6289" s="1" t="s">
        <v>5931</v>
      </c>
      <c r="C6289" s="1" t="s">
        <v>334</v>
      </c>
      <c r="D6289" s="1" t="s">
        <v>229</v>
      </c>
      <c r="E6289" s="1"/>
    </row>
    <row r="6290" spans="1:5" ht="16">
      <c r="A6290" s="1" t="s">
        <v>219</v>
      </c>
      <c r="B6290" s="1" t="s">
        <v>5932</v>
      </c>
      <c r="C6290" s="1" t="s">
        <v>334</v>
      </c>
      <c r="D6290" s="1" t="s">
        <v>229</v>
      </c>
      <c r="E6290" s="1"/>
    </row>
    <row r="6291" spans="1:5" ht="16">
      <c r="A6291" s="1" t="s">
        <v>219</v>
      </c>
      <c r="B6291" s="1" t="s">
        <v>5933</v>
      </c>
      <c r="C6291" s="1" t="s">
        <v>334</v>
      </c>
      <c r="D6291" s="1" t="s">
        <v>229</v>
      </c>
      <c r="E6291" s="1"/>
    </row>
    <row r="6292" spans="1:5" ht="16">
      <c r="A6292" s="1" t="s">
        <v>219</v>
      </c>
      <c r="B6292" s="1" t="s">
        <v>5934</v>
      </c>
      <c r="C6292" s="1" t="s">
        <v>265</v>
      </c>
      <c r="D6292" s="1" t="s">
        <v>229</v>
      </c>
      <c r="E6292" s="1"/>
    </row>
    <row r="6293" spans="1:5" ht="16">
      <c r="A6293" s="1" t="s">
        <v>219</v>
      </c>
      <c r="B6293" s="1" t="s">
        <v>5935</v>
      </c>
      <c r="C6293" s="1" t="s">
        <v>265</v>
      </c>
      <c r="D6293" s="1" t="s">
        <v>229</v>
      </c>
      <c r="E6293" s="1"/>
    </row>
    <row r="6294" spans="1:5" ht="16">
      <c r="A6294" s="1" t="s">
        <v>219</v>
      </c>
      <c r="B6294" s="1" t="s">
        <v>5936</v>
      </c>
      <c r="C6294" s="1" t="s">
        <v>307</v>
      </c>
      <c r="D6294" s="1" t="s">
        <v>229</v>
      </c>
      <c r="E6294" s="1"/>
    </row>
    <row r="6295" spans="1:5" ht="16">
      <c r="A6295" s="1" t="s">
        <v>219</v>
      </c>
      <c r="B6295" s="1" t="s">
        <v>5937</v>
      </c>
      <c r="C6295" s="1" t="s">
        <v>307</v>
      </c>
      <c r="D6295" s="1" t="s">
        <v>229</v>
      </c>
      <c r="E6295" s="1"/>
    </row>
    <row r="6296" spans="1:5" ht="16">
      <c r="A6296" s="1" t="s">
        <v>219</v>
      </c>
      <c r="B6296" s="1" t="s">
        <v>5938</v>
      </c>
      <c r="C6296" s="1" t="s">
        <v>307</v>
      </c>
      <c r="D6296" s="1" t="s">
        <v>229</v>
      </c>
      <c r="E6296" s="1"/>
    </row>
    <row r="6297" spans="1:5" ht="16">
      <c r="A6297" s="1" t="s">
        <v>219</v>
      </c>
      <c r="B6297" s="1" t="s">
        <v>5939</v>
      </c>
      <c r="C6297" s="1" t="s">
        <v>307</v>
      </c>
      <c r="D6297" s="1" t="s">
        <v>229</v>
      </c>
      <c r="E6297" s="1"/>
    </row>
    <row r="6298" spans="1:5" ht="16">
      <c r="A6298" s="1" t="s">
        <v>219</v>
      </c>
      <c r="B6298" s="1" t="s">
        <v>5940</v>
      </c>
      <c r="C6298" s="1" t="s">
        <v>307</v>
      </c>
      <c r="D6298" s="1" t="s">
        <v>229</v>
      </c>
      <c r="E6298" s="1"/>
    </row>
    <row r="6299" spans="1:5" ht="16">
      <c r="A6299" s="1" t="s">
        <v>219</v>
      </c>
      <c r="B6299" s="1" t="s">
        <v>5934</v>
      </c>
      <c r="C6299" s="1" t="s">
        <v>307</v>
      </c>
      <c r="D6299" s="1" t="s">
        <v>229</v>
      </c>
      <c r="E6299" s="1"/>
    </row>
    <row r="6300" spans="1:5" ht="16">
      <c r="A6300" s="1" t="s">
        <v>219</v>
      </c>
      <c r="B6300" s="1" t="s">
        <v>5928</v>
      </c>
      <c r="C6300" s="1" t="s">
        <v>307</v>
      </c>
      <c r="D6300" s="1" t="s">
        <v>229</v>
      </c>
      <c r="E6300" s="1"/>
    </row>
    <row r="6301" spans="1:5" ht="16">
      <c r="A6301" s="1" t="s">
        <v>219</v>
      </c>
      <c r="B6301" s="1" t="s">
        <v>5929</v>
      </c>
      <c r="C6301" s="1" t="s">
        <v>307</v>
      </c>
      <c r="D6301" s="1" t="s">
        <v>229</v>
      </c>
      <c r="E6301" s="1"/>
    </row>
    <row r="6302" spans="1:5" ht="16">
      <c r="A6302" s="1" t="s">
        <v>219</v>
      </c>
      <c r="B6302" s="1" t="s">
        <v>5935</v>
      </c>
      <c r="C6302" s="1" t="s">
        <v>307</v>
      </c>
      <c r="D6302" s="1" t="s">
        <v>229</v>
      </c>
      <c r="E6302" s="1"/>
    </row>
    <row r="6303" spans="1:5" ht="16">
      <c r="A6303" s="1" t="s">
        <v>219</v>
      </c>
      <c r="B6303" s="1" t="s">
        <v>5930</v>
      </c>
      <c r="C6303" s="1" t="s">
        <v>307</v>
      </c>
      <c r="D6303" s="1" t="s">
        <v>229</v>
      </c>
      <c r="E6303" s="1"/>
    </row>
    <row r="6304" spans="1:5" ht="16">
      <c r="A6304" s="1" t="s">
        <v>219</v>
      </c>
      <c r="B6304" s="1" t="s">
        <v>5941</v>
      </c>
      <c r="C6304" s="1" t="s">
        <v>334</v>
      </c>
      <c r="D6304" s="1" t="s">
        <v>355</v>
      </c>
      <c r="E6304" s="1"/>
    </row>
    <row r="6305" spans="1:5" ht="16">
      <c r="A6305" s="1" t="s">
        <v>5942</v>
      </c>
      <c r="B6305" s="1" t="s">
        <v>5943</v>
      </c>
      <c r="C6305" s="1" t="s">
        <v>332</v>
      </c>
      <c r="D6305" s="1" t="s">
        <v>229</v>
      </c>
      <c r="E6305" s="1"/>
    </row>
    <row r="6306" spans="1:5" ht="16">
      <c r="A6306" s="1" t="s">
        <v>5942</v>
      </c>
      <c r="B6306" s="1" t="s">
        <v>5944</v>
      </c>
      <c r="C6306" s="1" t="s">
        <v>332</v>
      </c>
      <c r="D6306" s="1" t="s">
        <v>229</v>
      </c>
      <c r="E6306" s="1"/>
    </row>
    <row r="6307" spans="1:5" ht="16">
      <c r="A6307" s="1" t="s">
        <v>5942</v>
      </c>
      <c r="B6307" s="1" t="s">
        <v>5945</v>
      </c>
      <c r="C6307" s="1" t="s">
        <v>332</v>
      </c>
      <c r="D6307" s="1" t="s">
        <v>229</v>
      </c>
      <c r="E6307" s="1"/>
    </row>
    <row r="6308" spans="1:5" ht="16">
      <c r="A6308" s="1" t="s">
        <v>5942</v>
      </c>
      <c r="B6308" s="1" t="s">
        <v>5946</v>
      </c>
      <c r="C6308" s="1" t="s">
        <v>332</v>
      </c>
      <c r="D6308" s="1" t="s">
        <v>229</v>
      </c>
      <c r="E6308" s="1"/>
    </row>
    <row r="6309" spans="1:5" ht="16">
      <c r="A6309" s="1" t="s">
        <v>5942</v>
      </c>
      <c r="B6309" s="1" t="s">
        <v>5947</v>
      </c>
      <c r="C6309" s="1" t="s">
        <v>332</v>
      </c>
      <c r="D6309" s="1" t="s">
        <v>229</v>
      </c>
      <c r="E6309" s="1"/>
    </row>
    <row r="6310" spans="1:5" ht="16">
      <c r="A6310" s="1" t="s">
        <v>5942</v>
      </c>
      <c r="B6310" s="1" t="s">
        <v>5948</v>
      </c>
      <c r="C6310" s="1" t="s">
        <v>332</v>
      </c>
      <c r="D6310" s="1" t="s">
        <v>229</v>
      </c>
      <c r="E6310" s="1"/>
    </row>
    <row r="6311" spans="1:5" ht="16">
      <c r="A6311" s="1" t="s">
        <v>5949</v>
      </c>
      <c r="B6311" s="1" t="s">
        <v>5950</v>
      </c>
      <c r="C6311" s="1" t="s">
        <v>334</v>
      </c>
      <c r="D6311" s="1" t="s">
        <v>229</v>
      </c>
      <c r="E6311" s="1"/>
    </row>
    <row r="6312" spans="1:5" ht="16">
      <c r="A6312" s="1" t="s">
        <v>5949</v>
      </c>
      <c r="B6312" s="1" t="s">
        <v>5951</v>
      </c>
      <c r="C6312" s="1" t="s">
        <v>334</v>
      </c>
      <c r="D6312" s="1" t="s">
        <v>229</v>
      </c>
      <c r="E6312" s="1"/>
    </row>
    <row r="6313" spans="1:5" ht="16">
      <c r="A6313" s="1" t="s">
        <v>5949</v>
      </c>
      <c r="B6313" s="1" t="s">
        <v>5952</v>
      </c>
      <c r="C6313" s="1" t="s">
        <v>234</v>
      </c>
      <c r="D6313" s="1" t="s">
        <v>229</v>
      </c>
      <c r="E6313" s="1"/>
    </row>
    <row r="6314" spans="1:5" ht="16">
      <c r="A6314" s="1" t="s">
        <v>5949</v>
      </c>
      <c r="B6314" s="1" t="s">
        <v>5953</v>
      </c>
      <c r="C6314" s="1" t="s">
        <v>234</v>
      </c>
      <c r="D6314" s="1" t="s">
        <v>229</v>
      </c>
      <c r="E6314" s="1"/>
    </row>
    <row r="6315" spans="1:5" ht="16">
      <c r="A6315" s="1" t="s">
        <v>5949</v>
      </c>
      <c r="B6315" s="1" t="s">
        <v>5954</v>
      </c>
      <c r="C6315" s="1" t="s">
        <v>234</v>
      </c>
      <c r="D6315" s="1" t="s">
        <v>229</v>
      </c>
      <c r="E6315" s="1"/>
    </row>
    <row r="6316" spans="1:5" ht="16">
      <c r="A6316" s="1" t="s">
        <v>5949</v>
      </c>
      <c r="B6316" s="1" t="s">
        <v>5955</v>
      </c>
      <c r="C6316" s="1" t="s">
        <v>234</v>
      </c>
      <c r="D6316" s="1" t="s">
        <v>229</v>
      </c>
      <c r="E6316" s="1"/>
    </row>
    <row r="6317" spans="1:5" ht="16">
      <c r="A6317" s="1" t="s">
        <v>5949</v>
      </c>
      <c r="B6317" s="1" t="s">
        <v>5956</v>
      </c>
      <c r="C6317" s="1" t="s">
        <v>234</v>
      </c>
      <c r="D6317" s="1" t="s">
        <v>229</v>
      </c>
      <c r="E6317" s="1"/>
    </row>
    <row r="6318" spans="1:5" ht="16">
      <c r="A6318" s="1" t="s">
        <v>5949</v>
      </c>
      <c r="B6318" s="1" t="s">
        <v>5957</v>
      </c>
      <c r="C6318" s="1" t="s">
        <v>234</v>
      </c>
      <c r="D6318" s="1" t="s">
        <v>229</v>
      </c>
      <c r="E6318" s="1"/>
    </row>
    <row r="6319" spans="1:5" ht="16">
      <c r="A6319" s="1" t="s">
        <v>5949</v>
      </c>
      <c r="B6319" s="1" t="s">
        <v>5958</v>
      </c>
      <c r="C6319" s="1" t="s">
        <v>234</v>
      </c>
      <c r="D6319" s="1" t="s">
        <v>229</v>
      </c>
      <c r="E6319" s="1"/>
    </row>
    <row r="6320" spans="1:5" ht="16">
      <c r="A6320" s="1" t="s">
        <v>5949</v>
      </c>
      <c r="B6320" s="1" t="s">
        <v>5959</v>
      </c>
      <c r="C6320" s="1" t="s">
        <v>234</v>
      </c>
      <c r="D6320" s="1" t="s">
        <v>229</v>
      </c>
      <c r="E6320" s="1"/>
    </row>
    <row r="6321" spans="1:5" ht="16">
      <c r="A6321" s="1" t="s">
        <v>5949</v>
      </c>
      <c r="B6321" s="1" t="s">
        <v>5960</v>
      </c>
      <c r="C6321" s="1" t="s">
        <v>234</v>
      </c>
      <c r="D6321" s="1" t="s">
        <v>229</v>
      </c>
      <c r="E6321" s="1"/>
    </row>
    <row r="6322" spans="1:5" ht="16">
      <c r="A6322" s="1" t="s">
        <v>5949</v>
      </c>
      <c r="B6322" s="1" t="s">
        <v>5961</v>
      </c>
      <c r="C6322" s="1" t="s">
        <v>234</v>
      </c>
      <c r="D6322" s="1" t="s">
        <v>229</v>
      </c>
      <c r="E6322" s="1"/>
    </row>
    <row r="6323" spans="1:5" ht="16">
      <c r="A6323" s="1" t="s">
        <v>5949</v>
      </c>
      <c r="B6323" s="1" t="s">
        <v>5962</v>
      </c>
      <c r="C6323" s="1" t="s">
        <v>234</v>
      </c>
      <c r="D6323" s="1" t="s">
        <v>229</v>
      </c>
      <c r="E6323" s="1"/>
    </row>
    <row r="6324" spans="1:5" ht="16">
      <c r="A6324" s="1" t="s">
        <v>5949</v>
      </c>
      <c r="B6324" s="1" t="s">
        <v>5963</v>
      </c>
      <c r="C6324" s="1" t="s">
        <v>234</v>
      </c>
      <c r="D6324" s="1" t="s">
        <v>229</v>
      </c>
      <c r="E6324" s="1"/>
    </row>
    <row r="6325" spans="1:5" ht="16">
      <c r="A6325" s="1" t="s">
        <v>5949</v>
      </c>
      <c r="B6325" s="1" t="s">
        <v>5964</v>
      </c>
      <c r="C6325" s="1" t="s">
        <v>263</v>
      </c>
      <c r="D6325" s="1" t="s">
        <v>229</v>
      </c>
      <c r="E6325" s="1"/>
    </row>
    <row r="6326" spans="1:5" ht="16">
      <c r="A6326" s="1" t="s">
        <v>5949</v>
      </c>
      <c r="B6326" s="1" t="s">
        <v>5965</v>
      </c>
      <c r="C6326" s="1" t="s">
        <v>263</v>
      </c>
      <c r="D6326" s="1" t="s">
        <v>229</v>
      </c>
      <c r="E6326" s="1"/>
    </row>
    <row r="6327" spans="1:5" ht="16">
      <c r="A6327" s="1" t="s">
        <v>5949</v>
      </c>
      <c r="B6327" s="1" t="s">
        <v>5966</v>
      </c>
      <c r="C6327" s="1" t="s">
        <v>263</v>
      </c>
      <c r="D6327" s="1" t="s">
        <v>229</v>
      </c>
      <c r="E6327" s="1"/>
    </row>
    <row r="6328" spans="1:5" ht="16">
      <c r="A6328" s="1" t="s">
        <v>5949</v>
      </c>
      <c r="B6328" s="1" t="s">
        <v>5967</v>
      </c>
      <c r="C6328" s="1" t="s">
        <v>263</v>
      </c>
      <c r="D6328" s="1" t="s">
        <v>229</v>
      </c>
      <c r="E6328" s="1"/>
    </row>
    <row r="6329" spans="1:5" ht="16">
      <c r="A6329" s="1" t="s">
        <v>5949</v>
      </c>
      <c r="B6329" s="1" t="s">
        <v>5968</v>
      </c>
      <c r="C6329" s="1" t="s">
        <v>263</v>
      </c>
      <c r="D6329" s="1" t="s">
        <v>229</v>
      </c>
      <c r="E6329" s="1"/>
    </row>
    <row r="6330" spans="1:5" ht="16">
      <c r="A6330" s="1" t="s">
        <v>5949</v>
      </c>
      <c r="B6330" s="1" t="s">
        <v>5969</v>
      </c>
      <c r="C6330" s="1" t="s">
        <v>263</v>
      </c>
      <c r="D6330" s="1" t="s">
        <v>229</v>
      </c>
      <c r="E6330" s="1"/>
    </row>
    <row r="6331" spans="1:5" ht="16">
      <c r="A6331" s="1" t="s">
        <v>5949</v>
      </c>
      <c r="B6331" s="1" t="s">
        <v>5970</v>
      </c>
      <c r="C6331" s="1" t="s">
        <v>334</v>
      </c>
      <c r="D6331" s="1" t="s">
        <v>229</v>
      </c>
      <c r="E6331" s="1"/>
    </row>
    <row r="6332" spans="1:5" ht="16">
      <c r="A6332" s="1" t="s">
        <v>5949</v>
      </c>
      <c r="B6332" s="1" t="s">
        <v>5971</v>
      </c>
      <c r="C6332" s="1" t="s">
        <v>334</v>
      </c>
      <c r="D6332" s="1" t="s">
        <v>229</v>
      </c>
      <c r="E6332" s="1"/>
    </row>
    <row r="6333" spans="1:5" ht="16">
      <c r="A6333" s="1" t="s">
        <v>5949</v>
      </c>
      <c r="B6333" s="1" t="s">
        <v>5972</v>
      </c>
      <c r="C6333" s="1" t="s">
        <v>234</v>
      </c>
      <c r="D6333" s="1" t="s">
        <v>229</v>
      </c>
      <c r="E6333" s="1"/>
    </row>
    <row r="6334" spans="1:5" ht="16">
      <c r="A6334" s="1" t="s">
        <v>5949</v>
      </c>
      <c r="B6334" s="1" t="s">
        <v>5973</v>
      </c>
      <c r="C6334" s="1" t="s">
        <v>234</v>
      </c>
      <c r="D6334" s="1" t="s">
        <v>229</v>
      </c>
      <c r="E6334" s="1"/>
    </row>
    <row r="6335" spans="1:5" ht="16">
      <c r="A6335" s="1" t="s">
        <v>5949</v>
      </c>
      <c r="B6335" s="1" t="s">
        <v>5974</v>
      </c>
      <c r="C6335" s="1" t="s">
        <v>234</v>
      </c>
      <c r="D6335" s="1" t="s">
        <v>229</v>
      </c>
      <c r="E6335" s="1"/>
    </row>
  </sheetData>
  <mergeCells count="22">
    <mergeCell ref="A812:B812"/>
    <mergeCell ref="A815:B815"/>
    <mergeCell ref="A818:B818"/>
    <mergeCell ref="A821:B821"/>
    <mergeCell ref="A824:B824"/>
    <mergeCell ref="A704:B704"/>
    <mergeCell ref="A774:B774"/>
    <mergeCell ref="A803:B803"/>
    <mergeCell ref="A806:B806"/>
    <mergeCell ref="A809:B809"/>
    <mergeCell ref="A777:B777"/>
    <mergeCell ref="A780:B780"/>
    <mergeCell ref="A783:B783"/>
    <mergeCell ref="A786:B786"/>
    <mergeCell ref="A789:B789"/>
    <mergeCell ref="A792:B792"/>
    <mergeCell ref="A800:B800"/>
    <mergeCell ref="A689:B689"/>
    <mergeCell ref="A692:B692"/>
    <mergeCell ref="A695:B695"/>
    <mergeCell ref="A698:B698"/>
    <mergeCell ref="A701:B70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6"/>
  <sheetViews>
    <sheetView topLeftCell="A14" workbookViewId="0">
      <selection sqref="A1:XFD1048576"/>
    </sheetView>
  </sheetViews>
  <sheetFormatPr baseColWidth="10" defaultRowHeight="13"/>
  <cols>
    <col min="1" max="1" width="43.83203125" bestFit="1" customWidth="1"/>
    <col min="2" max="2" width="10" bestFit="1" customWidth="1"/>
    <col min="3" max="3" width="7.6640625" bestFit="1" customWidth="1"/>
    <col min="4" max="4" width="6.33203125" bestFit="1" customWidth="1"/>
    <col min="5" max="5" width="5.5" bestFit="1" customWidth="1"/>
    <col min="6" max="6" width="9" bestFit="1" customWidth="1"/>
    <col min="7" max="7" width="8.83203125" bestFit="1" customWidth="1"/>
    <col min="8" max="8" width="39.6640625" bestFit="1" customWidth="1"/>
    <col min="9" max="9" width="8.5" bestFit="1" customWidth="1"/>
    <col min="10" max="10" width="86.83203125" bestFit="1" customWidth="1"/>
    <col min="11" max="11" width="176.6640625" bestFit="1" customWidth="1"/>
    <col min="12" max="12" width="22.83203125" bestFit="1" customWidth="1"/>
    <col min="13" max="13" width="255.83203125" bestFit="1" customWidth="1"/>
    <col min="14" max="14" width="240.1640625" bestFit="1" customWidth="1"/>
    <col min="15" max="15" width="165.33203125" bestFit="1" customWidth="1"/>
  </cols>
  <sheetData>
    <row r="1" spans="1:15">
      <c r="A1" t="s">
        <v>5975</v>
      </c>
      <c r="B1" t="s">
        <v>10581</v>
      </c>
      <c r="C1" t="s">
        <v>5976</v>
      </c>
      <c r="D1" t="s">
        <v>5977</v>
      </c>
      <c r="E1" t="s">
        <v>5978</v>
      </c>
      <c r="F1" t="s">
        <v>5979</v>
      </c>
      <c r="G1" t="s">
        <v>5980</v>
      </c>
      <c r="H1" t="s">
        <v>5981</v>
      </c>
      <c r="I1" t="s">
        <v>5982</v>
      </c>
      <c r="J1" t="s">
        <v>10599</v>
      </c>
      <c r="K1" t="s">
        <v>10600</v>
      </c>
      <c r="L1" t="s">
        <v>10601</v>
      </c>
      <c r="M1" t="s">
        <v>10602</v>
      </c>
      <c r="N1" t="s">
        <v>10156</v>
      </c>
      <c r="O1" t="s">
        <v>8181</v>
      </c>
    </row>
    <row r="2" spans="1:15">
      <c r="A2" t="s">
        <v>6003</v>
      </c>
      <c r="B2" t="s">
        <v>10014</v>
      </c>
      <c r="C2" t="s">
        <v>6000</v>
      </c>
      <c r="D2">
        <v>3</v>
      </c>
      <c r="E2">
        <v>18</v>
      </c>
      <c r="F2">
        <v>96</v>
      </c>
      <c r="G2">
        <v>1536</v>
      </c>
      <c r="H2" t="s">
        <v>6004</v>
      </c>
      <c r="I2" t="s">
        <v>5993</v>
      </c>
      <c r="J2" t="s">
        <v>10603</v>
      </c>
      <c r="K2" t="s">
        <v>10604</v>
      </c>
      <c r="L2" t="s">
        <v>10605</v>
      </c>
      <c r="M2" t="s">
        <v>10606</v>
      </c>
      <c r="N2" t="s">
        <v>10607</v>
      </c>
    </row>
    <row r="3" spans="1:15">
      <c r="A3" t="s">
        <v>6003</v>
      </c>
      <c r="B3" t="s">
        <v>10014</v>
      </c>
      <c r="C3" t="s">
        <v>5997</v>
      </c>
      <c r="D3">
        <v>3</v>
      </c>
      <c r="E3">
        <v>48</v>
      </c>
      <c r="F3">
        <v>144</v>
      </c>
      <c r="G3">
        <v>4200</v>
      </c>
      <c r="H3" t="s">
        <v>6004</v>
      </c>
      <c r="I3" t="s">
        <v>5993</v>
      </c>
      <c r="J3" t="s">
        <v>10603</v>
      </c>
      <c r="K3" t="s">
        <v>10604</v>
      </c>
      <c r="L3" t="s">
        <v>10605</v>
      </c>
      <c r="M3" t="s">
        <v>10606</v>
      </c>
      <c r="N3" t="s">
        <v>10607</v>
      </c>
    </row>
    <row r="4" spans="1:15">
      <c r="A4" t="s">
        <v>6003</v>
      </c>
      <c r="B4" t="s">
        <v>10014</v>
      </c>
      <c r="C4" t="s">
        <v>6001</v>
      </c>
      <c r="D4">
        <v>3</v>
      </c>
      <c r="E4">
        <v>48</v>
      </c>
      <c r="F4">
        <v>192</v>
      </c>
      <c r="G4">
        <v>5250</v>
      </c>
      <c r="H4" t="s">
        <v>6004</v>
      </c>
      <c r="I4" t="s">
        <v>5993</v>
      </c>
      <c r="J4" t="s">
        <v>10603</v>
      </c>
      <c r="K4" t="s">
        <v>10604</v>
      </c>
      <c r="L4" t="s">
        <v>10605</v>
      </c>
      <c r="M4" t="s">
        <v>10606</v>
      </c>
      <c r="N4" t="s">
        <v>10607</v>
      </c>
    </row>
    <row r="5" spans="1:15">
      <c r="A5" t="s">
        <v>6012</v>
      </c>
      <c r="B5" t="s">
        <v>10014</v>
      </c>
      <c r="C5" t="s">
        <v>6000</v>
      </c>
      <c r="D5">
        <v>3</v>
      </c>
      <c r="E5">
        <v>18</v>
      </c>
      <c r="F5">
        <v>96</v>
      </c>
      <c r="G5">
        <v>1536</v>
      </c>
      <c r="H5" t="s">
        <v>6013</v>
      </c>
      <c r="I5" t="s">
        <v>5993</v>
      </c>
      <c r="J5" t="s">
        <v>10603</v>
      </c>
      <c r="K5" t="s">
        <v>9440</v>
      </c>
      <c r="L5" t="s">
        <v>10605</v>
      </c>
      <c r="M5" t="s">
        <v>10606</v>
      </c>
      <c r="N5" t="s">
        <v>10607</v>
      </c>
    </row>
    <row r="6" spans="1:15">
      <c r="A6" t="s">
        <v>6012</v>
      </c>
      <c r="B6" t="s">
        <v>10014</v>
      </c>
      <c r="C6" t="s">
        <v>5997</v>
      </c>
      <c r="D6">
        <v>3</v>
      </c>
      <c r="E6">
        <v>48</v>
      </c>
      <c r="F6">
        <v>144</v>
      </c>
      <c r="G6">
        <v>4200</v>
      </c>
      <c r="H6" t="s">
        <v>6013</v>
      </c>
      <c r="I6" t="s">
        <v>5993</v>
      </c>
      <c r="J6" t="s">
        <v>10603</v>
      </c>
      <c r="K6" t="s">
        <v>9440</v>
      </c>
      <c r="L6" t="s">
        <v>10605</v>
      </c>
      <c r="M6" t="s">
        <v>10606</v>
      </c>
      <c r="N6" t="s">
        <v>10607</v>
      </c>
    </row>
    <row r="7" spans="1:15">
      <c r="A7" t="s">
        <v>6012</v>
      </c>
      <c r="B7" t="s">
        <v>10014</v>
      </c>
      <c r="C7" t="s">
        <v>6001</v>
      </c>
      <c r="D7">
        <v>3</v>
      </c>
      <c r="E7">
        <v>48</v>
      </c>
      <c r="F7">
        <v>192</v>
      </c>
      <c r="G7">
        <v>5250</v>
      </c>
      <c r="H7" t="s">
        <v>6013</v>
      </c>
      <c r="I7" t="s">
        <v>5993</v>
      </c>
      <c r="J7" t="s">
        <v>10603</v>
      </c>
      <c r="K7" t="s">
        <v>9440</v>
      </c>
      <c r="L7" t="s">
        <v>10605</v>
      </c>
      <c r="M7" t="s">
        <v>10606</v>
      </c>
      <c r="N7" t="s">
        <v>10607</v>
      </c>
    </row>
    <row r="8" spans="1:15">
      <c r="A8" t="s">
        <v>6007</v>
      </c>
      <c r="B8" t="s">
        <v>10014</v>
      </c>
      <c r="C8" t="s">
        <v>5984</v>
      </c>
      <c r="D8">
        <v>3</v>
      </c>
      <c r="E8">
        <v>10</v>
      </c>
      <c r="F8">
        <v>30</v>
      </c>
      <c r="G8">
        <v>710</v>
      </c>
      <c r="H8" t="s">
        <v>6008</v>
      </c>
      <c r="I8" t="s">
        <v>5993</v>
      </c>
      <c r="J8" t="s">
        <v>10603</v>
      </c>
      <c r="L8" t="s">
        <v>10605</v>
      </c>
      <c r="M8" t="s">
        <v>10606</v>
      </c>
      <c r="N8" t="s">
        <v>10607</v>
      </c>
    </row>
    <row r="9" spans="1:15">
      <c r="A9" t="s">
        <v>6005</v>
      </c>
      <c r="B9" t="s">
        <v>10014</v>
      </c>
      <c r="C9" t="s">
        <v>5995</v>
      </c>
      <c r="D9">
        <v>9</v>
      </c>
      <c r="E9">
        <v>122</v>
      </c>
      <c r="F9">
        <v>444</v>
      </c>
      <c r="G9">
        <v>4806</v>
      </c>
      <c r="H9" t="s">
        <v>6006</v>
      </c>
      <c r="I9" t="s">
        <v>5993</v>
      </c>
      <c r="J9" t="s">
        <v>10608</v>
      </c>
      <c r="L9" t="s">
        <v>10609</v>
      </c>
      <c r="M9" t="s">
        <v>10610</v>
      </c>
      <c r="N9" t="s">
        <v>10607</v>
      </c>
    </row>
    <row r="10" spans="1:15">
      <c r="A10" t="s">
        <v>6005</v>
      </c>
      <c r="B10" t="s">
        <v>10014</v>
      </c>
      <c r="C10" t="s">
        <v>5997</v>
      </c>
      <c r="D10">
        <v>12</v>
      </c>
      <c r="E10">
        <v>170</v>
      </c>
      <c r="F10">
        <v>636</v>
      </c>
      <c r="G10">
        <v>5830</v>
      </c>
      <c r="H10" t="s">
        <v>6006</v>
      </c>
      <c r="I10" t="s">
        <v>5993</v>
      </c>
      <c r="J10" t="s">
        <v>10608</v>
      </c>
      <c r="L10" t="s">
        <v>10609</v>
      </c>
      <c r="M10" t="s">
        <v>10610</v>
      </c>
      <c r="N10" t="s">
        <v>10607</v>
      </c>
    </row>
    <row r="11" spans="1:15">
      <c r="A11" t="s">
        <v>6005</v>
      </c>
      <c r="B11" t="s">
        <v>10014</v>
      </c>
      <c r="C11" t="s">
        <v>6001</v>
      </c>
      <c r="D11">
        <v>14</v>
      </c>
      <c r="E11">
        <v>202</v>
      </c>
      <c r="F11">
        <v>764</v>
      </c>
      <c r="G11">
        <v>7366</v>
      </c>
      <c r="H11" t="s">
        <v>6006</v>
      </c>
      <c r="I11" t="s">
        <v>5993</v>
      </c>
      <c r="J11" t="s">
        <v>10608</v>
      </c>
      <c r="L11" t="s">
        <v>10609</v>
      </c>
      <c r="M11" t="s">
        <v>10610</v>
      </c>
      <c r="N11" t="s">
        <v>10607</v>
      </c>
    </row>
    <row r="12" spans="1:15">
      <c r="A12" t="s">
        <v>6014</v>
      </c>
      <c r="B12" t="s">
        <v>10014</v>
      </c>
      <c r="C12" t="s">
        <v>5995</v>
      </c>
      <c r="D12">
        <v>9</v>
      </c>
      <c r="E12">
        <v>122</v>
      </c>
      <c r="F12">
        <v>444</v>
      </c>
      <c r="G12">
        <v>4806</v>
      </c>
      <c r="H12" t="s">
        <v>6015</v>
      </c>
      <c r="I12" t="s">
        <v>5993</v>
      </c>
      <c r="J12" t="s">
        <v>10608</v>
      </c>
      <c r="L12" t="s">
        <v>10609</v>
      </c>
      <c r="M12" t="s">
        <v>10610</v>
      </c>
      <c r="N12" t="s">
        <v>10607</v>
      </c>
    </row>
    <row r="13" spans="1:15">
      <c r="A13" t="s">
        <v>6014</v>
      </c>
      <c r="B13" t="s">
        <v>10014</v>
      </c>
      <c r="C13" t="s">
        <v>5997</v>
      </c>
      <c r="D13">
        <v>12</v>
      </c>
      <c r="E13">
        <v>170</v>
      </c>
      <c r="F13">
        <v>636</v>
      </c>
      <c r="G13">
        <v>5830</v>
      </c>
      <c r="H13" t="s">
        <v>6015</v>
      </c>
      <c r="I13" t="s">
        <v>5993</v>
      </c>
      <c r="J13" t="s">
        <v>10608</v>
      </c>
      <c r="L13" t="s">
        <v>10609</v>
      </c>
      <c r="M13" t="s">
        <v>10610</v>
      </c>
      <c r="N13" t="s">
        <v>10607</v>
      </c>
    </row>
    <row r="14" spans="1:15">
      <c r="A14" t="s">
        <v>6014</v>
      </c>
      <c r="B14" t="s">
        <v>10014</v>
      </c>
      <c r="C14" t="s">
        <v>6001</v>
      </c>
      <c r="D14">
        <v>14</v>
      </c>
      <c r="E14">
        <v>202</v>
      </c>
      <c r="F14">
        <v>764</v>
      </c>
      <c r="G14">
        <v>7366</v>
      </c>
      <c r="H14" t="s">
        <v>6015</v>
      </c>
      <c r="I14" t="s">
        <v>5993</v>
      </c>
      <c r="J14" t="s">
        <v>10608</v>
      </c>
      <c r="L14" t="s">
        <v>10609</v>
      </c>
      <c r="M14" t="s">
        <v>10610</v>
      </c>
      <c r="N14" t="s">
        <v>10607</v>
      </c>
    </row>
    <row r="15" spans="1:15">
      <c r="A15" t="s">
        <v>5990</v>
      </c>
      <c r="B15" t="s">
        <v>10014</v>
      </c>
      <c r="C15" t="s">
        <v>5984</v>
      </c>
      <c r="D15">
        <v>1</v>
      </c>
      <c r="E15">
        <v>4</v>
      </c>
      <c r="F15">
        <v>16</v>
      </c>
      <c r="G15">
        <v>264</v>
      </c>
      <c r="H15" t="s">
        <v>5991</v>
      </c>
      <c r="I15" t="s">
        <v>5986</v>
      </c>
      <c r="J15" t="s">
        <v>10611</v>
      </c>
      <c r="K15" t="s">
        <v>9385</v>
      </c>
      <c r="L15" t="s">
        <v>10612</v>
      </c>
      <c r="M15" t="s">
        <v>10613</v>
      </c>
      <c r="N15" t="s">
        <v>10614</v>
      </c>
    </row>
    <row r="16" spans="1:15">
      <c r="A16" t="s">
        <v>5990</v>
      </c>
      <c r="B16" t="s">
        <v>6024</v>
      </c>
      <c r="C16" t="s">
        <v>6000</v>
      </c>
      <c r="D16">
        <v>1</v>
      </c>
      <c r="E16">
        <v>4</v>
      </c>
      <c r="F16">
        <v>16</v>
      </c>
      <c r="G16">
        <v>264</v>
      </c>
      <c r="H16" t="s">
        <v>5991</v>
      </c>
      <c r="I16" t="s">
        <v>5993</v>
      </c>
      <c r="J16" t="s">
        <v>10615</v>
      </c>
      <c r="K16" t="s">
        <v>9385</v>
      </c>
      <c r="L16" t="s">
        <v>10612</v>
      </c>
      <c r="M16" t="s">
        <v>10616</v>
      </c>
      <c r="N16" t="s">
        <v>10614</v>
      </c>
      <c r="O16" t="s">
        <v>10582</v>
      </c>
    </row>
    <row r="17" spans="1:15">
      <c r="A17" t="s">
        <v>6019</v>
      </c>
      <c r="B17" t="s">
        <v>10014</v>
      </c>
      <c r="C17" t="s">
        <v>5995</v>
      </c>
      <c r="D17">
        <v>3</v>
      </c>
      <c r="E17">
        <v>72</v>
      </c>
      <c r="F17">
        <v>288</v>
      </c>
      <c r="G17">
        <v>1002</v>
      </c>
      <c r="H17" t="s">
        <v>5991</v>
      </c>
      <c r="I17" t="s">
        <v>5993</v>
      </c>
      <c r="J17" t="s">
        <v>10617</v>
      </c>
      <c r="K17" t="s">
        <v>10618</v>
      </c>
      <c r="L17" t="s">
        <v>10619</v>
      </c>
      <c r="M17" t="s">
        <v>10620</v>
      </c>
      <c r="N17" t="s">
        <v>10621</v>
      </c>
    </row>
    <row r="18" spans="1:15">
      <c r="A18" t="s">
        <v>6019</v>
      </c>
      <c r="B18" t="s">
        <v>10014</v>
      </c>
      <c r="C18" t="s">
        <v>5997</v>
      </c>
      <c r="D18">
        <v>3</v>
      </c>
      <c r="E18">
        <v>96</v>
      </c>
      <c r="F18">
        <v>384</v>
      </c>
      <c r="G18">
        <v>1290</v>
      </c>
      <c r="H18" t="s">
        <v>5991</v>
      </c>
      <c r="I18" t="s">
        <v>5993</v>
      </c>
      <c r="J18" t="s">
        <v>10617</v>
      </c>
      <c r="K18" t="s">
        <v>10618</v>
      </c>
      <c r="L18" t="s">
        <v>10619</v>
      </c>
      <c r="M18" t="s">
        <v>10620</v>
      </c>
      <c r="N18" t="s">
        <v>10621</v>
      </c>
    </row>
    <row r="19" spans="1:15">
      <c r="A19" t="s">
        <v>6019</v>
      </c>
      <c r="B19" t="s">
        <v>6024</v>
      </c>
      <c r="C19" t="s">
        <v>6000</v>
      </c>
      <c r="D19">
        <v>1</v>
      </c>
      <c r="E19">
        <v>24</v>
      </c>
      <c r="F19">
        <v>96</v>
      </c>
      <c r="G19">
        <v>717</v>
      </c>
      <c r="H19" t="s">
        <v>5991</v>
      </c>
      <c r="I19" t="s">
        <v>5993</v>
      </c>
      <c r="J19" t="s">
        <v>10622</v>
      </c>
      <c r="K19" t="s">
        <v>10623</v>
      </c>
      <c r="L19" t="s">
        <v>10624</v>
      </c>
      <c r="M19" t="s">
        <v>10625</v>
      </c>
      <c r="N19" t="s">
        <v>10626</v>
      </c>
      <c r="O19" t="s">
        <v>10583</v>
      </c>
    </row>
    <row r="20" spans="1:15">
      <c r="A20" t="s">
        <v>6018</v>
      </c>
      <c r="B20" t="s">
        <v>10014</v>
      </c>
      <c r="C20" t="s">
        <v>5995</v>
      </c>
      <c r="D20">
        <v>3</v>
      </c>
      <c r="E20">
        <v>48</v>
      </c>
      <c r="F20">
        <v>144</v>
      </c>
      <c r="G20">
        <v>822</v>
      </c>
      <c r="H20" t="s">
        <v>5991</v>
      </c>
      <c r="I20" t="s">
        <v>5986</v>
      </c>
      <c r="J20" t="s">
        <v>10627</v>
      </c>
      <c r="K20" t="s">
        <v>10628</v>
      </c>
      <c r="L20" t="s">
        <v>10629</v>
      </c>
      <c r="M20" t="s">
        <v>10630</v>
      </c>
      <c r="N20" t="s">
        <v>10614</v>
      </c>
    </row>
    <row r="21" spans="1:15">
      <c r="A21" t="s">
        <v>6018</v>
      </c>
      <c r="B21" t="s">
        <v>10014</v>
      </c>
      <c r="C21" t="s">
        <v>5997</v>
      </c>
      <c r="D21">
        <v>3</v>
      </c>
      <c r="E21">
        <v>72</v>
      </c>
      <c r="F21">
        <v>384</v>
      </c>
      <c r="G21">
        <v>822</v>
      </c>
      <c r="H21" t="s">
        <v>5991</v>
      </c>
      <c r="I21" t="s">
        <v>5993</v>
      </c>
      <c r="J21" t="s">
        <v>10627</v>
      </c>
      <c r="K21" t="s">
        <v>10628</v>
      </c>
      <c r="L21" t="s">
        <v>10629</v>
      </c>
      <c r="M21" t="s">
        <v>10630</v>
      </c>
      <c r="N21" t="s">
        <v>10614</v>
      </c>
      <c r="O21" t="s">
        <v>10584</v>
      </c>
    </row>
    <row r="22" spans="1:15">
      <c r="A22" t="s">
        <v>6018</v>
      </c>
      <c r="B22" t="s">
        <v>6024</v>
      </c>
      <c r="C22" t="s">
        <v>6000</v>
      </c>
      <c r="D22">
        <v>1</v>
      </c>
      <c r="E22">
        <v>4</v>
      </c>
      <c r="F22">
        <v>16</v>
      </c>
      <c r="G22">
        <v>274</v>
      </c>
      <c r="H22" t="s">
        <v>5991</v>
      </c>
      <c r="I22" t="s">
        <v>5993</v>
      </c>
      <c r="J22" t="s">
        <v>10631</v>
      </c>
      <c r="K22" t="s">
        <v>10632</v>
      </c>
      <c r="L22" t="s">
        <v>10629</v>
      </c>
      <c r="M22" t="s">
        <v>10633</v>
      </c>
      <c r="N22" t="s">
        <v>10634</v>
      </c>
      <c r="O22" t="s">
        <v>10585</v>
      </c>
    </row>
    <row r="23" spans="1:15">
      <c r="A23" t="s">
        <v>5999</v>
      </c>
      <c r="B23" t="s">
        <v>10014</v>
      </c>
      <c r="C23" t="s">
        <v>6000</v>
      </c>
      <c r="D23">
        <v>2</v>
      </c>
      <c r="E23">
        <v>4</v>
      </c>
      <c r="F23">
        <v>8</v>
      </c>
      <c r="G23">
        <v>400</v>
      </c>
      <c r="H23" t="s">
        <v>5996</v>
      </c>
      <c r="I23" t="s">
        <v>5993</v>
      </c>
      <c r="J23" t="s">
        <v>10635</v>
      </c>
      <c r="L23" t="s">
        <v>10636</v>
      </c>
      <c r="M23" t="s">
        <v>10637</v>
      </c>
      <c r="N23" t="s">
        <v>10607</v>
      </c>
    </row>
    <row r="24" spans="1:15">
      <c r="A24" t="s">
        <v>5999</v>
      </c>
      <c r="B24" t="s">
        <v>10014</v>
      </c>
      <c r="C24" t="s">
        <v>5995</v>
      </c>
      <c r="D24">
        <v>2</v>
      </c>
      <c r="E24">
        <v>8</v>
      </c>
      <c r="F24">
        <v>16</v>
      </c>
      <c r="G24">
        <v>400</v>
      </c>
      <c r="H24" t="s">
        <v>5996</v>
      </c>
      <c r="I24" t="s">
        <v>5993</v>
      </c>
      <c r="J24" t="s">
        <v>10635</v>
      </c>
      <c r="L24" t="s">
        <v>10636</v>
      </c>
      <c r="M24" t="s">
        <v>10637</v>
      </c>
      <c r="N24" t="s">
        <v>10607</v>
      </c>
    </row>
    <row r="25" spans="1:15">
      <c r="A25" t="s">
        <v>5999</v>
      </c>
      <c r="B25" t="s">
        <v>10014</v>
      </c>
      <c r="C25" t="s">
        <v>5997</v>
      </c>
      <c r="D25">
        <v>2</v>
      </c>
      <c r="E25">
        <v>16</v>
      </c>
      <c r="F25">
        <v>64</v>
      </c>
      <c r="G25">
        <v>400</v>
      </c>
      <c r="H25" t="s">
        <v>5996</v>
      </c>
      <c r="I25" t="s">
        <v>5993</v>
      </c>
      <c r="J25" t="s">
        <v>10635</v>
      </c>
      <c r="L25" t="s">
        <v>10636</v>
      </c>
      <c r="M25" t="s">
        <v>10637</v>
      </c>
      <c r="N25" t="s">
        <v>10607</v>
      </c>
    </row>
    <row r="26" spans="1:15">
      <c r="A26" t="s">
        <v>5999</v>
      </c>
      <c r="B26" t="s">
        <v>10014</v>
      </c>
      <c r="C26" t="s">
        <v>6001</v>
      </c>
      <c r="D26">
        <v>2</v>
      </c>
      <c r="E26">
        <v>32</v>
      </c>
      <c r="F26">
        <v>128</v>
      </c>
      <c r="G26">
        <v>400</v>
      </c>
      <c r="H26" t="s">
        <v>5996</v>
      </c>
      <c r="I26" t="s">
        <v>5993</v>
      </c>
      <c r="J26" t="s">
        <v>10635</v>
      </c>
      <c r="L26" t="s">
        <v>10636</v>
      </c>
      <c r="M26" t="s">
        <v>10637</v>
      </c>
      <c r="N26" t="s">
        <v>10607</v>
      </c>
    </row>
    <row r="27" spans="1:15">
      <c r="A27" t="s">
        <v>5998</v>
      </c>
      <c r="B27" t="s">
        <v>10014</v>
      </c>
      <c r="C27" t="s">
        <v>5995</v>
      </c>
      <c r="D27">
        <v>3</v>
      </c>
      <c r="E27">
        <v>18</v>
      </c>
      <c r="F27">
        <v>72</v>
      </c>
      <c r="G27">
        <v>900</v>
      </c>
      <c r="H27" t="s">
        <v>5996</v>
      </c>
      <c r="I27" t="s">
        <v>5986</v>
      </c>
      <c r="J27" t="s">
        <v>10638</v>
      </c>
      <c r="K27" t="s">
        <v>10639</v>
      </c>
      <c r="L27" t="s">
        <v>10640</v>
      </c>
      <c r="M27" t="s">
        <v>10641</v>
      </c>
      <c r="N27" t="s">
        <v>10607</v>
      </c>
    </row>
    <row r="28" spans="1:15">
      <c r="A28" t="s">
        <v>5998</v>
      </c>
      <c r="B28" t="s">
        <v>10014</v>
      </c>
      <c r="C28" t="s">
        <v>5997</v>
      </c>
      <c r="D28">
        <v>3</v>
      </c>
      <c r="E28">
        <v>36</v>
      </c>
      <c r="F28">
        <v>144</v>
      </c>
      <c r="G28">
        <v>900</v>
      </c>
      <c r="H28" t="s">
        <v>5996</v>
      </c>
      <c r="I28" t="s">
        <v>5993</v>
      </c>
      <c r="J28" t="s">
        <v>10638</v>
      </c>
      <c r="K28" t="s">
        <v>10639</v>
      </c>
      <c r="L28" t="s">
        <v>10640</v>
      </c>
      <c r="M28" t="s">
        <v>10641</v>
      </c>
      <c r="N28" t="s">
        <v>10607</v>
      </c>
      <c r="O28" t="s">
        <v>10584</v>
      </c>
    </row>
    <row r="29" spans="1:15">
      <c r="A29" t="s">
        <v>5998</v>
      </c>
      <c r="B29" t="s">
        <v>6024</v>
      </c>
      <c r="C29" t="s">
        <v>6000</v>
      </c>
      <c r="D29">
        <v>1</v>
      </c>
      <c r="E29">
        <v>6</v>
      </c>
      <c r="F29">
        <v>24</v>
      </c>
      <c r="G29">
        <v>300</v>
      </c>
      <c r="H29" t="s">
        <v>5996</v>
      </c>
      <c r="I29" t="s">
        <v>5993</v>
      </c>
      <c r="J29" t="s">
        <v>10642</v>
      </c>
      <c r="K29" t="s">
        <v>10643</v>
      </c>
      <c r="L29" t="s">
        <v>10644</v>
      </c>
      <c r="M29" t="s">
        <v>10645</v>
      </c>
      <c r="N29" t="s">
        <v>10607</v>
      </c>
      <c r="O29" t="s">
        <v>10586</v>
      </c>
    </row>
    <row r="30" spans="1:15">
      <c r="A30" t="s">
        <v>6002</v>
      </c>
      <c r="B30" t="s">
        <v>10014</v>
      </c>
      <c r="C30" t="s">
        <v>6000</v>
      </c>
      <c r="D30">
        <v>2</v>
      </c>
      <c r="E30">
        <v>4</v>
      </c>
      <c r="F30">
        <v>8</v>
      </c>
      <c r="G30">
        <v>400</v>
      </c>
      <c r="H30" t="s">
        <v>5996</v>
      </c>
      <c r="I30" t="s">
        <v>5993</v>
      </c>
      <c r="J30" t="s">
        <v>10635</v>
      </c>
      <c r="L30" t="s">
        <v>10636</v>
      </c>
      <c r="M30" t="s">
        <v>10637</v>
      </c>
      <c r="N30" t="s">
        <v>10607</v>
      </c>
    </row>
    <row r="31" spans="1:15">
      <c r="A31" t="s">
        <v>6002</v>
      </c>
      <c r="B31" t="s">
        <v>10014</v>
      </c>
      <c r="C31" t="s">
        <v>5995</v>
      </c>
      <c r="D31">
        <v>2</v>
      </c>
      <c r="E31">
        <v>8</v>
      </c>
      <c r="F31">
        <v>16</v>
      </c>
      <c r="G31">
        <v>400</v>
      </c>
      <c r="H31" t="s">
        <v>5996</v>
      </c>
      <c r="I31" t="s">
        <v>5993</v>
      </c>
      <c r="J31" t="s">
        <v>10635</v>
      </c>
      <c r="L31" t="s">
        <v>10636</v>
      </c>
      <c r="M31" t="s">
        <v>10637</v>
      </c>
      <c r="N31" t="s">
        <v>10607</v>
      </c>
    </row>
    <row r="32" spans="1:15">
      <c r="A32" t="s">
        <v>6002</v>
      </c>
      <c r="B32" t="s">
        <v>10014</v>
      </c>
      <c r="C32" t="s">
        <v>5997</v>
      </c>
      <c r="D32">
        <v>2</v>
      </c>
      <c r="E32">
        <v>16</v>
      </c>
      <c r="F32">
        <v>64</v>
      </c>
      <c r="G32">
        <v>400</v>
      </c>
      <c r="H32" t="s">
        <v>5996</v>
      </c>
      <c r="I32" t="s">
        <v>5993</v>
      </c>
      <c r="J32" t="s">
        <v>10635</v>
      </c>
      <c r="L32" t="s">
        <v>10636</v>
      </c>
      <c r="M32" t="s">
        <v>10637</v>
      </c>
      <c r="N32" t="s">
        <v>10607</v>
      </c>
    </row>
    <row r="33" spans="1:15">
      <c r="A33" t="s">
        <v>6002</v>
      </c>
      <c r="B33" t="s">
        <v>10014</v>
      </c>
      <c r="C33" t="s">
        <v>6001</v>
      </c>
      <c r="D33">
        <v>2</v>
      </c>
      <c r="E33">
        <v>32</v>
      </c>
      <c r="F33">
        <v>128</v>
      </c>
      <c r="G33">
        <v>400</v>
      </c>
      <c r="H33" t="s">
        <v>5996</v>
      </c>
      <c r="I33" t="s">
        <v>5993</v>
      </c>
      <c r="J33" t="s">
        <v>10635</v>
      </c>
      <c r="L33" t="s">
        <v>10636</v>
      </c>
      <c r="M33" t="s">
        <v>10637</v>
      </c>
      <c r="N33" t="s">
        <v>10607</v>
      </c>
    </row>
    <row r="34" spans="1:15">
      <c r="A34" t="s">
        <v>5994</v>
      </c>
      <c r="B34" t="s">
        <v>10014</v>
      </c>
      <c r="C34" t="s">
        <v>5995</v>
      </c>
      <c r="D34">
        <v>1</v>
      </c>
      <c r="E34">
        <v>8</v>
      </c>
      <c r="F34">
        <v>30</v>
      </c>
      <c r="G34">
        <v>1658</v>
      </c>
      <c r="H34" t="s">
        <v>5996</v>
      </c>
      <c r="I34" t="s">
        <v>5986</v>
      </c>
      <c r="J34" t="s">
        <v>10646</v>
      </c>
      <c r="K34" t="s">
        <v>10647</v>
      </c>
      <c r="L34" t="s">
        <v>10648</v>
      </c>
      <c r="M34" t="s">
        <v>10649</v>
      </c>
      <c r="N34" t="s">
        <v>10607</v>
      </c>
    </row>
    <row r="35" spans="1:15">
      <c r="A35" t="s">
        <v>5994</v>
      </c>
      <c r="B35" t="s">
        <v>10014</v>
      </c>
      <c r="C35" t="s">
        <v>5997</v>
      </c>
      <c r="D35">
        <v>1</v>
      </c>
      <c r="E35">
        <v>16</v>
      </c>
      <c r="F35">
        <v>39</v>
      </c>
      <c r="G35">
        <v>3088</v>
      </c>
      <c r="H35" t="s">
        <v>5996</v>
      </c>
      <c r="I35" t="s">
        <v>5993</v>
      </c>
      <c r="J35" t="s">
        <v>10646</v>
      </c>
      <c r="K35" t="s">
        <v>10647</v>
      </c>
      <c r="L35" t="s">
        <v>10648</v>
      </c>
      <c r="M35" t="s">
        <v>10649</v>
      </c>
      <c r="N35" t="s">
        <v>10607</v>
      </c>
      <c r="O35" t="s">
        <v>10584</v>
      </c>
    </row>
    <row r="36" spans="1:15">
      <c r="A36" t="s">
        <v>5994</v>
      </c>
      <c r="B36" t="s">
        <v>6024</v>
      </c>
      <c r="C36" t="s">
        <v>6000</v>
      </c>
      <c r="D36">
        <v>1</v>
      </c>
      <c r="E36">
        <v>4</v>
      </c>
      <c r="F36">
        <v>8</v>
      </c>
      <c r="G36">
        <v>1519</v>
      </c>
      <c r="H36" t="s">
        <v>5996</v>
      </c>
      <c r="I36" t="s">
        <v>5993</v>
      </c>
      <c r="J36" t="s">
        <v>10650</v>
      </c>
      <c r="K36" t="s">
        <v>10647</v>
      </c>
      <c r="L36" t="s">
        <v>10651</v>
      </c>
      <c r="M36" t="s">
        <v>10652</v>
      </c>
      <c r="N36" t="s">
        <v>10607</v>
      </c>
      <c r="O36" t="s">
        <v>10587</v>
      </c>
    </row>
    <row r="37" spans="1:15">
      <c r="A37" t="s">
        <v>5989</v>
      </c>
      <c r="B37" t="s">
        <v>10014</v>
      </c>
      <c r="C37" t="s">
        <v>5984</v>
      </c>
      <c r="D37">
        <v>3</v>
      </c>
      <c r="E37">
        <v>24</v>
      </c>
      <c r="F37">
        <v>48</v>
      </c>
      <c r="G37">
        <v>150</v>
      </c>
      <c r="H37" t="s">
        <v>5985</v>
      </c>
      <c r="I37" t="s">
        <v>5986</v>
      </c>
      <c r="J37" t="s">
        <v>10653</v>
      </c>
      <c r="K37" t="s">
        <v>9105</v>
      </c>
      <c r="L37" t="s">
        <v>10654</v>
      </c>
      <c r="M37" t="s">
        <v>10655</v>
      </c>
      <c r="N37" t="s">
        <v>10656</v>
      </c>
    </row>
    <row r="38" spans="1:15">
      <c r="A38" t="s">
        <v>5989</v>
      </c>
      <c r="B38" t="s">
        <v>6024</v>
      </c>
      <c r="C38" t="s">
        <v>6000</v>
      </c>
      <c r="D38">
        <v>1</v>
      </c>
      <c r="E38">
        <v>24</v>
      </c>
      <c r="F38">
        <v>48</v>
      </c>
      <c r="G38">
        <v>150</v>
      </c>
      <c r="H38" t="s">
        <v>5985</v>
      </c>
      <c r="I38" t="s">
        <v>5993</v>
      </c>
      <c r="J38" t="s">
        <v>10657</v>
      </c>
      <c r="K38" t="s">
        <v>9105</v>
      </c>
      <c r="L38" t="s">
        <v>10654</v>
      </c>
      <c r="M38" t="s">
        <v>10658</v>
      </c>
      <c r="N38" t="s">
        <v>10656</v>
      </c>
      <c r="O38" t="s">
        <v>10588</v>
      </c>
    </row>
    <row r="39" spans="1:15">
      <c r="A39" t="s">
        <v>5988</v>
      </c>
      <c r="B39" t="s">
        <v>10014</v>
      </c>
      <c r="C39" t="s">
        <v>5984</v>
      </c>
      <c r="D39">
        <v>1</v>
      </c>
      <c r="E39">
        <v>2</v>
      </c>
      <c r="F39">
        <v>4</v>
      </c>
      <c r="G39">
        <v>12</v>
      </c>
      <c r="H39" t="s">
        <v>5985</v>
      </c>
      <c r="I39" t="s">
        <v>5986</v>
      </c>
      <c r="J39" t="s">
        <v>10659</v>
      </c>
      <c r="K39" t="s">
        <v>10660</v>
      </c>
      <c r="L39" t="s">
        <v>10661</v>
      </c>
      <c r="M39" t="s">
        <v>10662</v>
      </c>
      <c r="N39" t="s">
        <v>10607</v>
      </c>
    </row>
    <row r="40" spans="1:15">
      <c r="A40" t="s">
        <v>5988</v>
      </c>
      <c r="B40" t="s">
        <v>6024</v>
      </c>
      <c r="C40" t="s">
        <v>6000</v>
      </c>
      <c r="D40">
        <v>1</v>
      </c>
      <c r="E40">
        <v>2</v>
      </c>
      <c r="F40">
        <v>4</v>
      </c>
      <c r="G40">
        <v>12</v>
      </c>
      <c r="H40" t="s">
        <v>5985</v>
      </c>
      <c r="I40" t="s">
        <v>5993</v>
      </c>
      <c r="J40" t="s">
        <v>10659</v>
      </c>
      <c r="K40" t="s">
        <v>10660</v>
      </c>
      <c r="L40" t="s">
        <v>10661</v>
      </c>
      <c r="M40" t="s">
        <v>10662</v>
      </c>
      <c r="N40" t="s">
        <v>10607</v>
      </c>
      <c r="O40" t="s">
        <v>10589</v>
      </c>
    </row>
    <row r="41" spans="1:15">
      <c r="A41" t="s">
        <v>6020</v>
      </c>
      <c r="B41" t="s">
        <v>10014</v>
      </c>
      <c r="C41" t="s">
        <v>5995</v>
      </c>
      <c r="D41">
        <v>3</v>
      </c>
      <c r="E41">
        <v>72</v>
      </c>
      <c r="F41">
        <v>144</v>
      </c>
      <c r="G41">
        <v>1725</v>
      </c>
      <c r="H41" t="s">
        <v>5985</v>
      </c>
      <c r="I41" t="s">
        <v>5993</v>
      </c>
      <c r="J41" t="s">
        <v>10663</v>
      </c>
      <c r="L41" t="s">
        <v>10654</v>
      </c>
      <c r="M41" t="s">
        <v>10664</v>
      </c>
      <c r="N41" t="s">
        <v>10656</v>
      </c>
    </row>
    <row r="42" spans="1:15">
      <c r="A42" t="s">
        <v>6020</v>
      </c>
      <c r="B42" t="s">
        <v>10014</v>
      </c>
      <c r="C42" t="s">
        <v>5997</v>
      </c>
      <c r="D42">
        <v>6</v>
      </c>
      <c r="E42">
        <v>144</v>
      </c>
      <c r="F42">
        <v>288</v>
      </c>
      <c r="G42">
        <v>1725</v>
      </c>
      <c r="H42" t="s">
        <v>5985</v>
      </c>
      <c r="I42" t="s">
        <v>5993</v>
      </c>
      <c r="J42" t="s">
        <v>10663</v>
      </c>
      <c r="L42" t="s">
        <v>10654</v>
      </c>
      <c r="M42" t="s">
        <v>10664</v>
      </c>
      <c r="N42" t="s">
        <v>10656</v>
      </c>
    </row>
    <row r="43" spans="1:15">
      <c r="A43" t="s">
        <v>5992</v>
      </c>
      <c r="B43" t="s">
        <v>10014</v>
      </c>
      <c r="C43" t="s">
        <v>5984</v>
      </c>
      <c r="D43">
        <v>1</v>
      </c>
      <c r="E43">
        <v>2</v>
      </c>
      <c r="F43">
        <v>8</v>
      </c>
      <c r="G43">
        <v>500</v>
      </c>
      <c r="H43" t="s">
        <v>5985</v>
      </c>
      <c r="I43" t="s">
        <v>5993</v>
      </c>
      <c r="J43" t="s">
        <v>10663</v>
      </c>
      <c r="L43" t="s">
        <v>10654</v>
      </c>
      <c r="M43" t="s">
        <v>10664</v>
      </c>
      <c r="N43" t="s">
        <v>10656</v>
      </c>
      <c r="O43" t="s">
        <v>10590</v>
      </c>
    </row>
    <row r="44" spans="1:15">
      <c r="A44" t="s">
        <v>5987</v>
      </c>
      <c r="B44" t="s">
        <v>10014</v>
      </c>
      <c r="C44" t="s">
        <v>5984</v>
      </c>
      <c r="D44">
        <v>1</v>
      </c>
      <c r="E44">
        <v>8</v>
      </c>
      <c r="F44">
        <v>24</v>
      </c>
      <c r="G44">
        <v>800</v>
      </c>
      <c r="H44" t="s">
        <v>5985</v>
      </c>
      <c r="I44" t="s">
        <v>5986</v>
      </c>
      <c r="J44" t="s">
        <v>10665</v>
      </c>
      <c r="L44" t="s">
        <v>10636</v>
      </c>
      <c r="M44" t="s">
        <v>10666</v>
      </c>
      <c r="N44" t="s">
        <v>10607</v>
      </c>
    </row>
    <row r="45" spans="1:15">
      <c r="A45" t="s">
        <v>5987</v>
      </c>
      <c r="B45" t="s">
        <v>6024</v>
      </c>
      <c r="C45" t="s">
        <v>6000</v>
      </c>
      <c r="D45">
        <v>1</v>
      </c>
      <c r="E45">
        <v>8</v>
      </c>
      <c r="F45">
        <v>24</v>
      </c>
      <c r="G45">
        <v>800</v>
      </c>
      <c r="H45" t="s">
        <v>5985</v>
      </c>
      <c r="I45" t="s">
        <v>5993</v>
      </c>
      <c r="J45" t="s">
        <v>10667</v>
      </c>
      <c r="L45" t="s">
        <v>10636</v>
      </c>
      <c r="M45" t="s">
        <v>10668</v>
      </c>
      <c r="N45" t="s">
        <v>10607</v>
      </c>
      <c r="O45" t="s">
        <v>10591</v>
      </c>
    </row>
    <row r="46" spans="1:15">
      <c r="A46" t="s">
        <v>6023</v>
      </c>
      <c r="B46" t="s">
        <v>10014</v>
      </c>
      <c r="C46" t="s">
        <v>5995</v>
      </c>
      <c r="D46">
        <v>2</v>
      </c>
      <c r="E46">
        <v>48</v>
      </c>
      <c r="F46">
        <v>96</v>
      </c>
      <c r="G46">
        <v>205</v>
      </c>
      <c r="H46" t="s">
        <v>5985</v>
      </c>
      <c r="I46" t="s">
        <v>5993</v>
      </c>
      <c r="J46" t="s">
        <v>10663</v>
      </c>
      <c r="L46" t="s">
        <v>10654</v>
      </c>
      <c r="M46" t="s">
        <v>10664</v>
      </c>
      <c r="N46" t="s">
        <v>10656</v>
      </c>
      <c r="O46" t="s">
        <v>10592</v>
      </c>
    </row>
    <row r="47" spans="1:15">
      <c r="A47" t="s">
        <v>6023</v>
      </c>
      <c r="B47" t="s">
        <v>6024</v>
      </c>
      <c r="C47" t="s">
        <v>6000</v>
      </c>
      <c r="D47">
        <v>2</v>
      </c>
      <c r="E47">
        <v>24</v>
      </c>
      <c r="F47">
        <v>48</v>
      </c>
      <c r="G47">
        <v>205</v>
      </c>
      <c r="H47" t="s">
        <v>5985</v>
      </c>
      <c r="I47" t="s">
        <v>5993</v>
      </c>
      <c r="J47" t="s">
        <v>10669</v>
      </c>
      <c r="L47" t="s">
        <v>10654</v>
      </c>
      <c r="M47" t="s">
        <v>10670</v>
      </c>
      <c r="N47" t="s">
        <v>10656</v>
      </c>
      <c r="O47" t="s">
        <v>10593</v>
      </c>
    </row>
    <row r="48" spans="1:15">
      <c r="A48" t="s">
        <v>5983</v>
      </c>
      <c r="B48" t="s">
        <v>10014</v>
      </c>
      <c r="C48" t="s">
        <v>5984</v>
      </c>
      <c r="D48">
        <v>1</v>
      </c>
      <c r="E48">
        <v>4</v>
      </c>
      <c r="F48">
        <v>16</v>
      </c>
      <c r="G48">
        <v>914</v>
      </c>
      <c r="H48" t="s">
        <v>5985</v>
      </c>
      <c r="I48" t="s">
        <v>5986</v>
      </c>
      <c r="J48" t="s">
        <v>10671</v>
      </c>
      <c r="K48" t="s">
        <v>10672</v>
      </c>
      <c r="L48" t="s">
        <v>10673</v>
      </c>
      <c r="M48" t="s">
        <v>10674</v>
      </c>
      <c r="N48" t="s">
        <v>10607</v>
      </c>
    </row>
    <row r="49" spans="1:15">
      <c r="A49" t="s">
        <v>5983</v>
      </c>
      <c r="B49" t="s">
        <v>6024</v>
      </c>
      <c r="C49" t="s">
        <v>6000</v>
      </c>
      <c r="D49">
        <v>1</v>
      </c>
      <c r="E49">
        <v>4</v>
      </c>
      <c r="F49">
        <v>16</v>
      </c>
      <c r="G49">
        <v>914</v>
      </c>
      <c r="H49" t="s">
        <v>5985</v>
      </c>
      <c r="I49" t="s">
        <v>5993</v>
      </c>
      <c r="J49" t="s">
        <v>10671</v>
      </c>
      <c r="K49" t="s">
        <v>10672</v>
      </c>
      <c r="L49" t="s">
        <v>10673</v>
      </c>
      <c r="M49" t="s">
        <v>10674</v>
      </c>
      <c r="N49" t="s">
        <v>10607</v>
      </c>
      <c r="O49" t="s">
        <v>10594</v>
      </c>
    </row>
    <row r="50" spans="1:15">
      <c r="A50" t="s">
        <v>6021</v>
      </c>
      <c r="B50" t="s">
        <v>10014</v>
      </c>
      <c r="C50" t="s">
        <v>5995</v>
      </c>
      <c r="D50">
        <v>1</v>
      </c>
      <c r="E50">
        <v>8</v>
      </c>
      <c r="F50">
        <v>32</v>
      </c>
      <c r="G50">
        <v>1024</v>
      </c>
      <c r="H50" t="s">
        <v>5985</v>
      </c>
      <c r="I50" t="s">
        <v>5993</v>
      </c>
      <c r="J50" t="s">
        <v>10635</v>
      </c>
      <c r="L50" t="s">
        <v>10636</v>
      </c>
      <c r="M50" t="s">
        <v>10637</v>
      </c>
      <c r="N50" t="s">
        <v>10607</v>
      </c>
    </row>
    <row r="51" spans="1:15">
      <c r="A51" t="s">
        <v>6021</v>
      </c>
      <c r="B51" t="s">
        <v>10014</v>
      </c>
      <c r="C51" t="s">
        <v>5997</v>
      </c>
      <c r="D51">
        <v>3</v>
      </c>
      <c r="E51">
        <v>36</v>
      </c>
      <c r="F51">
        <v>144</v>
      </c>
      <c r="G51">
        <v>3072</v>
      </c>
      <c r="H51" t="s">
        <v>5985</v>
      </c>
      <c r="I51" t="s">
        <v>5993</v>
      </c>
      <c r="J51" t="s">
        <v>10635</v>
      </c>
      <c r="L51" t="s">
        <v>10636</v>
      </c>
      <c r="M51" t="s">
        <v>10637</v>
      </c>
      <c r="N51" t="s">
        <v>10607</v>
      </c>
    </row>
    <row r="52" spans="1:15">
      <c r="A52" t="s">
        <v>6021</v>
      </c>
      <c r="B52" t="s">
        <v>6024</v>
      </c>
      <c r="C52" t="s">
        <v>6000</v>
      </c>
      <c r="D52">
        <v>1</v>
      </c>
      <c r="E52">
        <v>4</v>
      </c>
      <c r="F52">
        <v>16</v>
      </c>
      <c r="G52">
        <v>1024</v>
      </c>
      <c r="H52" t="s">
        <v>5985</v>
      </c>
      <c r="I52" t="s">
        <v>5993</v>
      </c>
      <c r="J52" t="s">
        <v>10675</v>
      </c>
      <c r="L52" t="s">
        <v>10636</v>
      </c>
      <c r="M52" t="s">
        <v>10676</v>
      </c>
      <c r="N52" t="s">
        <v>10607</v>
      </c>
      <c r="O52" t="s">
        <v>10595</v>
      </c>
    </row>
    <row r="53" spans="1:15">
      <c r="A53" t="s">
        <v>6022</v>
      </c>
      <c r="B53" t="s">
        <v>10014</v>
      </c>
      <c r="C53" t="s">
        <v>5984</v>
      </c>
      <c r="D53">
        <v>1</v>
      </c>
      <c r="E53">
        <v>4</v>
      </c>
      <c r="F53">
        <v>12</v>
      </c>
      <c r="G53">
        <v>250</v>
      </c>
      <c r="H53" t="s">
        <v>5985</v>
      </c>
      <c r="I53" t="s">
        <v>5993</v>
      </c>
      <c r="J53" t="s">
        <v>10635</v>
      </c>
      <c r="L53" t="s">
        <v>10636</v>
      </c>
      <c r="M53" t="s">
        <v>10637</v>
      </c>
      <c r="N53" t="s">
        <v>10607</v>
      </c>
    </row>
    <row r="54" spans="1:15">
      <c r="A54" t="s">
        <v>6022</v>
      </c>
      <c r="B54" t="s">
        <v>6024</v>
      </c>
      <c r="C54" t="s">
        <v>6000</v>
      </c>
      <c r="D54">
        <v>1</v>
      </c>
      <c r="E54">
        <v>2</v>
      </c>
      <c r="F54">
        <v>4</v>
      </c>
      <c r="G54">
        <v>250</v>
      </c>
      <c r="H54" t="s">
        <v>5985</v>
      </c>
      <c r="I54" t="s">
        <v>5993</v>
      </c>
      <c r="J54" t="s">
        <v>10675</v>
      </c>
      <c r="L54" t="s">
        <v>10636</v>
      </c>
      <c r="M54" t="s">
        <v>10676</v>
      </c>
      <c r="N54" t="s">
        <v>10607</v>
      </c>
      <c r="O54" t="s">
        <v>10596</v>
      </c>
    </row>
    <row r="55" spans="1:15">
      <c r="A55" t="s">
        <v>6016</v>
      </c>
      <c r="B55" t="s">
        <v>10014</v>
      </c>
      <c r="C55" t="s">
        <v>5995</v>
      </c>
      <c r="D55">
        <v>3</v>
      </c>
      <c r="E55">
        <v>12</v>
      </c>
      <c r="F55">
        <v>30</v>
      </c>
      <c r="G55">
        <v>300</v>
      </c>
      <c r="H55" t="s">
        <v>5985</v>
      </c>
      <c r="I55" t="s">
        <v>5986</v>
      </c>
      <c r="J55" t="s">
        <v>10677</v>
      </c>
      <c r="K55" t="s">
        <v>10678</v>
      </c>
      <c r="L55" t="s">
        <v>10654</v>
      </c>
      <c r="M55" t="s">
        <v>10679</v>
      </c>
      <c r="N55" t="s">
        <v>10680</v>
      </c>
    </row>
    <row r="56" spans="1:15">
      <c r="A56" t="s">
        <v>6016</v>
      </c>
      <c r="B56" t="s">
        <v>10014</v>
      </c>
      <c r="C56" t="s">
        <v>5997</v>
      </c>
      <c r="D56">
        <v>3</v>
      </c>
      <c r="E56">
        <v>24</v>
      </c>
      <c r="F56">
        <v>42</v>
      </c>
      <c r="G56">
        <v>300</v>
      </c>
      <c r="H56" t="s">
        <v>5985</v>
      </c>
      <c r="I56" t="s">
        <v>5993</v>
      </c>
      <c r="J56" t="s">
        <v>10677</v>
      </c>
      <c r="K56" t="s">
        <v>10678</v>
      </c>
      <c r="L56" t="s">
        <v>10654</v>
      </c>
      <c r="M56" t="s">
        <v>10679</v>
      </c>
      <c r="N56" t="s">
        <v>10680</v>
      </c>
      <c r="O56" t="s">
        <v>10584</v>
      </c>
    </row>
    <row r="57" spans="1:15">
      <c r="A57" t="s">
        <v>6016</v>
      </c>
      <c r="B57" t="s">
        <v>6024</v>
      </c>
      <c r="C57" t="s">
        <v>6000</v>
      </c>
      <c r="D57">
        <v>1</v>
      </c>
      <c r="E57">
        <v>4</v>
      </c>
      <c r="F57">
        <v>10</v>
      </c>
      <c r="G57">
        <v>100</v>
      </c>
      <c r="H57" t="s">
        <v>5985</v>
      </c>
      <c r="I57" t="s">
        <v>5993</v>
      </c>
      <c r="J57" t="s">
        <v>10681</v>
      </c>
      <c r="K57" t="s">
        <v>10678</v>
      </c>
      <c r="L57" t="s">
        <v>10654</v>
      </c>
      <c r="M57" t="s">
        <v>10682</v>
      </c>
      <c r="N57" t="s">
        <v>10683</v>
      </c>
      <c r="O57" t="s">
        <v>10597</v>
      </c>
    </row>
    <row r="58" spans="1:15">
      <c r="A58" t="s">
        <v>6017</v>
      </c>
      <c r="B58" t="s">
        <v>10014</v>
      </c>
      <c r="C58" t="s">
        <v>5995</v>
      </c>
      <c r="D58">
        <v>3</v>
      </c>
      <c r="E58">
        <v>72</v>
      </c>
      <c r="F58">
        <v>144</v>
      </c>
      <c r="G58">
        <v>3300</v>
      </c>
      <c r="H58" t="s">
        <v>5985</v>
      </c>
      <c r="I58" t="s">
        <v>5986</v>
      </c>
      <c r="J58" t="s">
        <v>10677</v>
      </c>
      <c r="K58" t="s">
        <v>10678</v>
      </c>
      <c r="L58" t="s">
        <v>10654</v>
      </c>
      <c r="M58" t="s">
        <v>10679</v>
      </c>
      <c r="N58" t="s">
        <v>10680</v>
      </c>
    </row>
    <row r="59" spans="1:15">
      <c r="A59" t="s">
        <v>6017</v>
      </c>
      <c r="B59" t="s">
        <v>10014</v>
      </c>
      <c r="C59" t="s">
        <v>5997</v>
      </c>
      <c r="D59">
        <v>4</v>
      </c>
      <c r="E59">
        <v>96</v>
      </c>
      <c r="F59">
        <v>192</v>
      </c>
      <c r="G59">
        <v>4102</v>
      </c>
      <c r="H59" t="s">
        <v>5985</v>
      </c>
      <c r="I59" t="s">
        <v>5993</v>
      </c>
      <c r="J59" t="s">
        <v>10677</v>
      </c>
      <c r="K59" t="s">
        <v>10678</v>
      </c>
      <c r="L59" t="s">
        <v>10654</v>
      </c>
      <c r="M59" t="s">
        <v>10679</v>
      </c>
      <c r="N59" t="s">
        <v>10680</v>
      </c>
      <c r="O59" t="s">
        <v>10584</v>
      </c>
    </row>
    <row r="60" spans="1:15">
      <c r="A60" t="s">
        <v>6017</v>
      </c>
      <c r="B60" t="s">
        <v>6024</v>
      </c>
      <c r="C60" t="s">
        <v>6000</v>
      </c>
      <c r="D60">
        <v>3</v>
      </c>
      <c r="E60">
        <v>36</v>
      </c>
      <c r="F60">
        <v>72</v>
      </c>
      <c r="G60">
        <v>2900</v>
      </c>
      <c r="H60" t="s">
        <v>5985</v>
      </c>
      <c r="I60" t="s">
        <v>5993</v>
      </c>
      <c r="J60" t="s">
        <v>10681</v>
      </c>
      <c r="K60" t="s">
        <v>10678</v>
      </c>
      <c r="L60" t="s">
        <v>10654</v>
      </c>
      <c r="M60" t="s">
        <v>10682</v>
      </c>
      <c r="N60" t="s">
        <v>10683</v>
      </c>
      <c r="O60" t="s">
        <v>10598</v>
      </c>
    </row>
    <row r="61" spans="1:15">
      <c r="A61" t="s">
        <v>6011</v>
      </c>
      <c r="B61" t="s">
        <v>10014</v>
      </c>
      <c r="C61" t="s">
        <v>6000</v>
      </c>
      <c r="D61">
        <v>3</v>
      </c>
      <c r="E61">
        <v>4</v>
      </c>
      <c r="F61">
        <v>16</v>
      </c>
      <c r="G61">
        <v>300</v>
      </c>
      <c r="H61" t="s">
        <v>6010</v>
      </c>
      <c r="I61" t="s">
        <v>5993</v>
      </c>
      <c r="J61" t="s">
        <v>10638</v>
      </c>
      <c r="K61" t="s">
        <v>10684</v>
      </c>
      <c r="L61" t="s">
        <v>10640</v>
      </c>
      <c r="M61" t="s">
        <v>10641</v>
      </c>
      <c r="N61" t="s">
        <v>10607</v>
      </c>
    </row>
    <row r="62" spans="1:15">
      <c r="A62" t="s">
        <v>6011</v>
      </c>
      <c r="B62" t="s">
        <v>10014</v>
      </c>
      <c r="C62" t="s">
        <v>5995</v>
      </c>
      <c r="D62">
        <v>3</v>
      </c>
      <c r="E62">
        <v>6</v>
      </c>
      <c r="F62">
        <v>24</v>
      </c>
      <c r="G62">
        <v>300</v>
      </c>
      <c r="H62" t="s">
        <v>6010</v>
      </c>
      <c r="I62" t="s">
        <v>5993</v>
      </c>
      <c r="J62" t="s">
        <v>10638</v>
      </c>
      <c r="K62" t="s">
        <v>10684</v>
      </c>
      <c r="L62" t="s">
        <v>10640</v>
      </c>
      <c r="M62" t="s">
        <v>10641</v>
      </c>
      <c r="N62" t="s">
        <v>10607</v>
      </c>
    </row>
    <row r="63" spans="1:15">
      <c r="A63" t="s">
        <v>6011</v>
      </c>
      <c r="B63" t="s">
        <v>10014</v>
      </c>
      <c r="C63" t="s">
        <v>5997</v>
      </c>
      <c r="D63">
        <v>3</v>
      </c>
      <c r="E63">
        <v>12</v>
      </c>
      <c r="F63">
        <v>48</v>
      </c>
      <c r="G63">
        <v>300</v>
      </c>
      <c r="H63" t="s">
        <v>6010</v>
      </c>
      <c r="I63" t="s">
        <v>5993</v>
      </c>
      <c r="J63" t="s">
        <v>10638</v>
      </c>
      <c r="K63" t="s">
        <v>10684</v>
      </c>
      <c r="L63" t="s">
        <v>10640</v>
      </c>
      <c r="M63" t="s">
        <v>10641</v>
      </c>
      <c r="N63" t="s">
        <v>10607</v>
      </c>
    </row>
    <row r="64" spans="1:15">
      <c r="A64" t="s">
        <v>6011</v>
      </c>
      <c r="B64" t="s">
        <v>10014</v>
      </c>
      <c r="C64" t="s">
        <v>6001</v>
      </c>
      <c r="D64">
        <v>3</v>
      </c>
      <c r="E64">
        <v>24</v>
      </c>
      <c r="F64">
        <v>96</v>
      </c>
      <c r="G64">
        <v>400</v>
      </c>
      <c r="H64" t="s">
        <v>6010</v>
      </c>
      <c r="I64" t="s">
        <v>5993</v>
      </c>
      <c r="J64" t="s">
        <v>10638</v>
      </c>
      <c r="K64" t="s">
        <v>10684</v>
      </c>
      <c r="L64" t="s">
        <v>10640</v>
      </c>
      <c r="M64" t="s">
        <v>10641</v>
      </c>
      <c r="N64" t="s">
        <v>10607</v>
      </c>
    </row>
    <row r="65" spans="1:14">
      <c r="A65" t="s">
        <v>6009</v>
      </c>
      <c r="B65" t="s">
        <v>10014</v>
      </c>
      <c r="C65" t="s">
        <v>5995</v>
      </c>
      <c r="D65">
        <v>1</v>
      </c>
      <c r="E65">
        <v>8</v>
      </c>
      <c r="F65">
        <v>30</v>
      </c>
      <c r="G65">
        <v>1658</v>
      </c>
      <c r="H65" t="s">
        <v>6010</v>
      </c>
      <c r="I65" t="s">
        <v>5993</v>
      </c>
      <c r="J65" t="s">
        <v>10646</v>
      </c>
      <c r="K65" t="s">
        <v>10685</v>
      </c>
      <c r="L65" t="s">
        <v>10648</v>
      </c>
      <c r="M65" t="s">
        <v>10649</v>
      </c>
      <c r="N65" t="s">
        <v>10607</v>
      </c>
    </row>
    <row r="66" spans="1:14">
      <c r="A66" t="s">
        <v>6009</v>
      </c>
      <c r="B66" t="s">
        <v>10014</v>
      </c>
      <c r="C66" t="s">
        <v>5997</v>
      </c>
      <c r="D66">
        <v>1</v>
      </c>
      <c r="E66">
        <v>16</v>
      </c>
      <c r="F66">
        <v>39</v>
      </c>
      <c r="G66">
        <v>3088</v>
      </c>
      <c r="H66" t="s">
        <v>6010</v>
      </c>
      <c r="I66" t="s">
        <v>5993</v>
      </c>
      <c r="J66" t="s">
        <v>10646</v>
      </c>
      <c r="K66" t="s">
        <v>10685</v>
      </c>
      <c r="L66" t="s">
        <v>10648</v>
      </c>
      <c r="M66" t="s">
        <v>10649</v>
      </c>
      <c r="N66" t="s">
        <v>10607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4371-E1F1-3147-8B43-F74E4F91271E}">
  <dimension ref="A1:O164"/>
  <sheetViews>
    <sheetView workbookViewId="0">
      <selection sqref="A1:XFD1048576"/>
    </sheetView>
  </sheetViews>
  <sheetFormatPr baseColWidth="10" defaultRowHeight="13"/>
  <cols>
    <col min="1" max="1" width="27.33203125" bestFit="1" customWidth="1"/>
    <col min="2" max="2" width="6.5" bestFit="1" customWidth="1"/>
    <col min="3" max="3" width="34.5" bestFit="1" customWidth="1"/>
    <col min="4" max="4" width="12.83203125" bestFit="1" customWidth="1"/>
    <col min="5" max="5" width="35.5" bestFit="1" customWidth="1"/>
    <col min="6" max="6" width="160" bestFit="1" customWidth="1"/>
    <col min="7" max="7" width="163.5" bestFit="1" customWidth="1"/>
    <col min="8" max="8" width="78.6640625" bestFit="1" customWidth="1"/>
    <col min="9" max="9" width="16" bestFit="1" customWidth="1"/>
    <col min="10" max="10" width="23" bestFit="1" customWidth="1"/>
    <col min="11" max="11" width="19.33203125" bestFit="1" customWidth="1"/>
    <col min="12" max="12" width="125.6640625" bestFit="1" customWidth="1"/>
    <col min="13" max="13" width="13" bestFit="1" customWidth="1"/>
    <col min="14" max="14" width="218.6640625" bestFit="1" customWidth="1"/>
    <col min="15" max="15" width="19.33203125" bestFit="1" customWidth="1"/>
  </cols>
  <sheetData>
    <row r="1" spans="1:15">
      <c r="A1" t="s">
        <v>9053</v>
      </c>
      <c r="B1" t="s">
        <v>9054</v>
      </c>
      <c r="C1" t="s">
        <v>9055</v>
      </c>
      <c r="D1" t="s">
        <v>9056</v>
      </c>
      <c r="E1" t="s">
        <v>9057</v>
      </c>
      <c r="F1" t="s">
        <v>9058</v>
      </c>
      <c r="G1" t="s">
        <v>9059</v>
      </c>
      <c r="H1" t="s">
        <v>9060</v>
      </c>
      <c r="I1" t="s">
        <v>9061</v>
      </c>
      <c r="J1" t="s">
        <v>9062</v>
      </c>
      <c r="K1" t="s">
        <v>9063</v>
      </c>
      <c r="L1" t="s">
        <v>9064</v>
      </c>
      <c r="M1" t="s">
        <v>9065</v>
      </c>
      <c r="N1" t="s">
        <v>9829</v>
      </c>
      <c r="O1" t="s">
        <v>10867</v>
      </c>
    </row>
    <row r="2" spans="1:15">
      <c r="A2" t="s">
        <v>9066</v>
      </c>
      <c r="B2" t="s">
        <v>9067</v>
      </c>
      <c r="C2" t="s">
        <v>9068</v>
      </c>
      <c r="D2" t="s">
        <v>5982</v>
      </c>
      <c r="E2" t="s">
        <v>9069</v>
      </c>
      <c r="F2" t="s">
        <v>9070</v>
      </c>
      <c r="G2" t="s">
        <v>9071</v>
      </c>
      <c r="H2" t="s">
        <v>9072</v>
      </c>
      <c r="I2" t="s">
        <v>9073</v>
      </c>
      <c r="J2" t="s">
        <v>9074</v>
      </c>
      <c r="K2" t="s">
        <v>9075</v>
      </c>
      <c r="L2" t="s">
        <v>9076</v>
      </c>
      <c r="M2" t="s">
        <v>9077</v>
      </c>
      <c r="N2" t="s">
        <v>10868</v>
      </c>
      <c r="O2" t="s">
        <v>10869</v>
      </c>
    </row>
    <row r="3" spans="1:15">
      <c r="A3" t="s">
        <v>9078</v>
      </c>
      <c r="B3" t="s">
        <v>9067</v>
      </c>
      <c r="C3" t="s">
        <v>9079</v>
      </c>
      <c r="D3" t="s">
        <v>5982</v>
      </c>
      <c r="E3" t="s">
        <v>9069</v>
      </c>
      <c r="F3" t="s">
        <v>9080</v>
      </c>
      <c r="G3" t="s">
        <v>9081</v>
      </c>
      <c r="H3" t="s">
        <v>9072</v>
      </c>
      <c r="I3" t="s">
        <v>9073</v>
      </c>
      <c r="J3" t="s">
        <v>9074</v>
      </c>
      <c r="K3" t="s">
        <v>9075</v>
      </c>
      <c r="L3" t="s">
        <v>9076</v>
      </c>
      <c r="M3" t="s">
        <v>9077</v>
      </c>
      <c r="N3" t="s">
        <v>10868</v>
      </c>
      <c r="O3" t="s">
        <v>10869</v>
      </c>
    </row>
    <row r="4" spans="1:15">
      <c r="A4" t="s">
        <v>9082</v>
      </c>
      <c r="B4" t="s">
        <v>9067</v>
      </c>
      <c r="C4" t="s">
        <v>9083</v>
      </c>
      <c r="D4" t="s">
        <v>5982</v>
      </c>
      <c r="E4" t="s">
        <v>9084</v>
      </c>
      <c r="F4" t="s">
        <v>9085</v>
      </c>
      <c r="G4" t="s">
        <v>9086</v>
      </c>
      <c r="H4" t="s">
        <v>9087</v>
      </c>
      <c r="I4" t="s">
        <v>9073</v>
      </c>
      <c r="J4" t="s">
        <v>9088</v>
      </c>
      <c r="K4" t="s">
        <v>9075</v>
      </c>
      <c r="L4" t="s">
        <v>9089</v>
      </c>
      <c r="M4" t="s">
        <v>9077</v>
      </c>
      <c r="N4" t="s">
        <v>10868</v>
      </c>
      <c r="O4" t="s">
        <v>10869</v>
      </c>
    </row>
    <row r="5" spans="1:15">
      <c r="A5" t="s">
        <v>9090</v>
      </c>
      <c r="B5" t="s">
        <v>9067</v>
      </c>
      <c r="C5" t="s">
        <v>9091</v>
      </c>
      <c r="D5" t="s">
        <v>5982</v>
      </c>
      <c r="E5" t="s">
        <v>9084</v>
      </c>
      <c r="F5" t="s">
        <v>9092</v>
      </c>
      <c r="G5" t="s">
        <v>9093</v>
      </c>
      <c r="H5" t="s">
        <v>9087</v>
      </c>
      <c r="I5" t="s">
        <v>9073</v>
      </c>
      <c r="J5" t="s">
        <v>9088</v>
      </c>
      <c r="K5" t="s">
        <v>9075</v>
      </c>
      <c r="L5" t="s">
        <v>9089</v>
      </c>
      <c r="M5" t="s">
        <v>9077</v>
      </c>
      <c r="N5" t="s">
        <v>10868</v>
      </c>
      <c r="O5" t="s">
        <v>10869</v>
      </c>
    </row>
    <row r="6" spans="1:15">
      <c r="A6" t="s">
        <v>9094</v>
      </c>
      <c r="B6" t="s">
        <v>9095</v>
      </c>
      <c r="C6" t="s">
        <v>9096</v>
      </c>
      <c r="D6" t="s">
        <v>5982</v>
      </c>
      <c r="E6" t="s">
        <v>9084</v>
      </c>
      <c r="F6" t="s">
        <v>9097</v>
      </c>
      <c r="G6" t="s">
        <v>9098</v>
      </c>
      <c r="H6" t="s">
        <v>9099</v>
      </c>
      <c r="I6" t="s">
        <v>9073</v>
      </c>
      <c r="J6" t="s">
        <v>9088</v>
      </c>
      <c r="K6" t="s">
        <v>9075</v>
      </c>
      <c r="L6" t="s">
        <v>9100</v>
      </c>
      <c r="M6" t="s">
        <v>9077</v>
      </c>
      <c r="N6" t="s">
        <v>10870</v>
      </c>
      <c r="O6" t="s">
        <v>10871</v>
      </c>
    </row>
    <row r="7" spans="1:15">
      <c r="A7" t="s">
        <v>9101</v>
      </c>
      <c r="B7" t="s">
        <v>9095</v>
      </c>
      <c r="C7" t="s">
        <v>9102</v>
      </c>
      <c r="D7" t="s">
        <v>5982</v>
      </c>
      <c r="E7" t="s">
        <v>10708</v>
      </c>
      <c r="F7" t="s">
        <v>9103</v>
      </c>
      <c r="G7" t="s">
        <v>9104</v>
      </c>
      <c r="H7" t="s">
        <v>9099</v>
      </c>
      <c r="I7" t="s">
        <v>9073</v>
      </c>
      <c r="J7" t="s">
        <v>9088</v>
      </c>
      <c r="K7" t="s">
        <v>9075</v>
      </c>
      <c r="L7" t="s">
        <v>9100</v>
      </c>
      <c r="M7" t="s">
        <v>9077</v>
      </c>
      <c r="N7" t="s">
        <v>10870</v>
      </c>
      <c r="O7" t="s">
        <v>10871</v>
      </c>
    </row>
    <row r="8" spans="1:15">
      <c r="A8" t="s">
        <v>9105</v>
      </c>
      <c r="B8" t="s">
        <v>9095</v>
      </c>
      <c r="C8" t="s">
        <v>9106</v>
      </c>
      <c r="D8" t="s">
        <v>5982</v>
      </c>
      <c r="E8" t="s">
        <v>9084</v>
      </c>
      <c r="F8" t="s">
        <v>9107</v>
      </c>
      <c r="G8" t="s">
        <v>9108</v>
      </c>
      <c r="H8" t="s">
        <v>9109</v>
      </c>
      <c r="I8" t="s">
        <v>9073</v>
      </c>
      <c r="J8" t="s">
        <v>9088</v>
      </c>
      <c r="K8" t="s">
        <v>9075</v>
      </c>
      <c r="L8" t="s">
        <v>9110</v>
      </c>
      <c r="M8" t="s">
        <v>9077</v>
      </c>
      <c r="N8" t="s">
        <v>10870</v>
      </c>
      <c r="O8" t="s">
        <v>10871</v>
      </c>
    </row>
    <row r="9" spans="1:15">
      <c r="A9" t="s">
        <v>9111</v>
      </c>
      <c r="B9" t="s">
        <v>9095</v>
      </c>
      <c r="C9" t="s">
        <v>9112</v>
      </c>
      <c r="D9" t="s">
        <v>5982</v>
      </c>
      <c r="E9" t="s">
        <v>9084</v>
      </c>
      <c r="F9" t="s">
        <v>9113</v>
      </c>
      <c r="G9" t="s">
        <v>9114</v>
      </c>
      <c r="H9" t="s">
        <v>9099</v>
      </c>
      <c r="I9" t="s">
        <v>9073</v>
      </c>
      <c r="J9" t="s">
        <v>9088</v>
      </c>
      <c r="K9" t="s">
        <v>9075</v>
      </c>
      <c r="L9" t="s">
        <v>9100</v>
      </c>
      <c r="M9" t="s">
        <v>9077</v>
      </c>
      <c r="N9" t="s">
        <v>10870</v>
      </c>
      <c r="O9" t="s">
        <v>10871</v>
      </c>
    </row>
    <row r="10" spans="1:15">
      <c r="A10" t="s">
        <v>9115</v>
      </c>
      <c r="B10" t="s">
        <v>9095</v>
      </c>
      <c r="C10" t="s">
        <v>9116</v>
      </c>
      <c r="D10" t="s">
        <v>5982</v>
      </c>
      <c r="E10" t="s">
        <v>9084</v>
      </c>
      <c r="F10" t="s">
        <v>9117</v>
      </c>
      <c r="G10" t="s">
        <v>9118</v>
      </c>
      <c r="H10" t="s">
        <v>9119</v>
      </c>
      <c r="I10" t="s">
        <v>9073</v>
      </c>
      <c r="J10" t="s">
        <v>9088</v>
      </c>
      <c r="K10" t="s">
        <v>9075</v>
      </c>
      <c r="L10" t="s">
        <v>9120</v>
      </c>
      <c r="M10" t="s">
        <v>9077</v>
      </c>
      <c r="N10" t="s">
        <v>10870</v>
      </c>
      <c r="O10" t="s">
        <v>10871</v>
      </c>
    </row>
    <row r="11" spans="1:15">
      <c r="A11" t="s">
        <v>9121</v>
      </c>
      <c r="B11" t="s">
        <v>9095</v>
      </c>
      <c r="C11" t="s">
        <v>9122</v>
      </c>
      <c r="D11" t="s">
        <v>5982</v>
      </c>
      <c r="E11" t="s">
        <v>9084</v>
      </c>
      <c r="F11" t="s">
        <v>9123</v>
      </c>
      <c r="G11" t="s">
        <v>9124</v>
      </c>
      <c r="H11" t="s">
        <v>9099</v>
      </c>
      <c r="I11" t="s">
        <v>9073</v>
      </c>
      <c r="J11" t="s">
        <v>9088</v>
      </c>
      <c r="K11" t="s">
        <v>9075</v>
      </c>
      <c r="L11" t="s">
        <v>9100</v>
      </c>
      <c r="M11" t="s">
        <v>9077</v>
      </c>
      <c r="N11" t="s">
        <v>10870</v>
      </c>
      <c r="O11" t="s">
        <v>10871</v>
      </c>
    </row>
    <row r="12" spans="1:15">
      <c r="A12" t="s">
        <v>9125</v>
      </c>
      <c r="B12" t="s">
        <v>9095</v>
      </c>
      <c r="C12" t="s">
        <v>9126</v>
      </c>
      <c r="D12" t="s">
        <v>5982</v>
      </c>
      <c r="E12" t="s">
        <v>9084</v>
      </c>
      <c r="F12" t="s">
        <v>9127</v>
      </c>
      <c r="G12" t="s">
        <v>9128</v>
      </c>
      <c r="H12" t="s">
        <v>9099</v>
      </c>
      <c r="I12" t="s">
        <v>9073</v>
      </c>
      <c r="J12" t="s">
        <v>9088</v>
      </c>
      <c r="K12" t="s">
        <v>9075</v>
      </c>
      <c r="L12" t="s">
        <v>9100</v>
      </c>
      <c r="M12" t="s">
        <v>9077</v>
      </c>
      <c r="N12" t="s">
        <v>10870</v>
      </c>
      <c r="O12" t="s">
        <v>10871</v>
      </c>
    </row>
    <row r="13" spans="1:15">
      <c r="A13" t="s">
        <v>9129</v>
      </c>
      <c r="B13" t="s">
        <v>9095</v>
      </c>
      <c r="C13" t="s">
        <v>9130</v>
      </c>
      <c r="D13" t="s">
        <v>5982</v>
      </c>
      <c r="E13" t="s">
        <v>10782</v>
      </c>
      <c r="F13" t="s">
        <v>9131</v>
      </c>
      <c r="G13" t="s">
        <v>9132</v>
      </c>
      <c r="H13" t="s">
        <v>9133</v>
      </c>
      <c r="I13" t="s">
        <v>9073</v>
      </c>
      <c r="J13" t="s">
        <v>9088</v>
      </c>
      <c r="K13" t="s">
        <v>9075</v>
      </c>
      <c r="L13" t="s">
        <v>9134</v>
      </c>
      <c r="M13" t="s">
        <v>9077</v>
      </c>
      <c r="N13" t="s">
        <v>10870</v>
      </c>
      <c r="O13" t="s">
        <v>10871</v>
      </c>
    </row>
    <row r="14" spans="1:15">
      <c r="A14" t="s">
        <v>9135</v>
      </c>
      <c r="B14" t="s">
        <v>9095</v>
      </c>
      <c r="C14" t="s">
        <v>9136</v>
      </c>
      <c r="D14" t="s">
        <v>5982</v>
      </c>
      <c r="E14" t="s">
        <v>9084</v>
      </c>
      <c r="F14" t="s">
        <v>9137</v>
      </c>
      <c r="G14" t="s">
        <v>9138</v>
      </c>
      <c r="H14" t="s">
        <v>9139</v>
      </c>
      <c r="I14" t="s">
        <v>9073</v>
      </c>
      <c r="J14" t="s">
        <v>9088</v>
      </c>
      <c r="K14" t="s">
        <v>9075</v>
      </c>
      <c r="L14" t="s">
        <v>9140</v>
      </c>
      <c r="M14" t="s">
        <v>9077</v>
      </c>
      <c r="N14" t="s">
        <v>10870</v>
      </c>
      <c r="O14" t="s">
        <v>10871</v>
      </c>
    </row>
    <row r="15" spans="1:15">
      <c r="A15" t="s">
        <v>9141</v>
      </c>
      <c r="B15" t="s">
        <v>9095</v>
      </c>
      <c r="C15" t="s">
        <v>9142</v>
      </c>
      <c r="D15" t="s">
        <v>5982</v>
      </c>
      <c r="E15" t="s">
        <v>9084</v>
      </c>
      <c r="F15" t="s">
        <v>9143</v>
      </c>
      <c r="G15" t="s">
        <v>9144</v>
      </c>
      <c r="H15" t="s">
        <v>9145</v>
      </c>
      <c r="I15" t="s">
        <v>9073</v>
      </c>
      <c r="J15" t="s">
        <v>9088</v>
      </c>
      <c r="K15" t="s">
        <v>9075</v>
      </c>
      <c r="L15" t="s">
        <v>9146</v>
      </c>
      <c r="M15" t="s">
        <v>9077</v>
      </c>
      <c r="N15" t="s">
        <v>10872</v>
      </c>
      <c r="O15" t="s">
        <v>10873</v>
      </c>
    </row>
    <row r="16" spans="1:15">
      <c r="A16" t="s">
        <v>9147</v>
      </c>
      <c r="B16" t="s">
        <v>9148</v>
      </c>
      <c r="C16" t="s">
        <v>9149</v>
      </c>
      <c r="D16" t="s">
        <v>5982</v>
      </c>
      <c r="E16" t="s">
        <v>9084</v>
      </c>
      <c r="F16" t="s">
        <v>9150</v>
      </c>
      <c r="G16" t="s">
        <v>9151</v>
      </c>
      <c r="H16" t="s">
        <v>9152</v>
      </c>
      <c r="I16" t="s">
        <v>9153</v>
      </c>
      <c r="J16" t="s">
        <v>9088</v>
      </c>
      <c r="K16" t="s">
        <v>9075</v>
      </c>
      <c r="L16" t="s">
        <v>9154</v>
      </c>
      <c r="M16" t="s">
        <v>9077</v>
      </c>
      <c r="N16" t="s">
        <v>10874</v>
      </c>
      <c r="O16" t="s">
        <v>10875</v>
      </c>
    </row>
    <row r="17" spans="1:15">
      <c r="A17" t="s">
        <v>9155</v>
      </c>
      <c r="B17" t="s">
        <v>9148</v>
      </c>
      <c r="C17" t="s">
        <v>9156</v>
      </c>
      <c r="D17" t="s">
        <v>5982</v>
      </c>
      <c r="E17" t="s">
        <v>9084</v>
      </c>
      <c r="F17" t="s">
        <v>9157</v>
      </c>
      <c r="G17" t="s">
        <v>9158</v>
      </c>
      <c r="H17" t="s">
        <v>9159</v>
      </c>
      <c r="I17" t="s">
        <v>9153</v>
      </c>
      <c r="J17" t="s">
        <v>9088</v>
      </c>
      <c r="K17" t="s">
        <v>9075</v>
      </c>
      <c r="L17" t="s">
        <v>9160</v>
      </c>
      <c r="M17" t="s">
        <v>9077</v>
      </c>
      <c r="N17" t="s">
        <v>10876</v>
      </c>
      <c r="O17" t="s">
        <v>10875</v>
      </c>
    </row>
    <row r="18" spans="1:15">
      <c r="A18" t="s">
        <v>9161</v>
      </c>
      <c r="B18" t="s">
        <v>9148</v>
      </c>
      <c r="C18" t="s">
        <v>9162</v>
      </c>
      <c r="D18" t="s">
        <v>5982</v>
      </c>
      <c r="E18" t="s">
        <v>9084</v>
      </c>
      <c r="F18" t="s">
        <v>9163</v>
      </c>
      <c r="G18" t="s">
        <v>9164</v>
      </c>
      <c r="H18" t="s">
        <v>9159</v>
      </c>
      <c r="I18" t="s">
        <v>9153</v>
      </c>
      <c r="J18" t="s">
        <v>9088</v>
      </c>
      <c r="K18" t="s">
        <v>9075</v>
      </c>
      <c r="L18" t="s">
        <v>9160</v>
      </c>
      <c r="M18" t="s">
        <v>9077</v>
      </c>
      <c r="N18" t="s">
        <v>10874</v>
      </c>
      <c r="O18" t="s">
        <v>10875</v>
      </c>
    </row>
    <row r="19" spans="1:15">
      <c r="A19" t="s">
        <v>9165</v>
      </c>
      <c r="B19" t="s">
        <v>9148</v>
      </c>
      <c r="C19" t="s">
        <v>9166</v>
      </c>
      <c r="D19" t="s">
        <v>5982</v>
      </c>
      <c r="E19" t="s">
        <v>9084</v>
      </c>
      <c r="F19" t="s">
        <v>9167</v>
      </c>
      <c r="G19" t="s">
        <v>9168</v>
      </c>
      <c r="H19" t="s">
        <v>9169</v>
      </c>
      <c r="I19" t="s">
        <v>9153</v>
      </c>
      <c r="J19" t="s">
        <v>9088</v>
      </c>
      <c r="K19" t="s">
        <v>9075</v>
      </c>
      <c r="L19" t="s">
        <v>9170</v>
      </c>
      <c r="M19" t="s">
        <v>9077</v>
      </c>
      <c r="N19" t="s">
        <v>10877</v>
      </c>
      <c r="O19" t="s">
        <v>10878</v>
      </c>
    </row>
    <row r="20" spans="1:15">
      <c r="A20" t="s">
        <v>9171</v>
      </c>
      <c r="B20" t="s">
        <v>9148</v>
      </c>
      <c r="C20" t="s">
        <v>9172</v>
      </c>
      <c r="D20" t="s">
        <v>5982</v>
      </c>
      <c r="E20" t="s">
        <v>9084</v>
      </c>
      <c r="F20" t="s">
        <v>9173</v>
      </c>
      <c r="G20" t="s">
        <v>9174</v>
      </c>
      <c r="H20" t="s">
        <v>9175</v>
      </c>
      <c r="I20" t="s">
        <v>9153</v>
      </c>
      <c r="J20" t="s">
        <v>9176</v>
      </c>
      <c r="K20" t="s">
        <v>9075</v>
      </c>
      <c r="L20" t="s">
        <v>9177</v>
      </c>
      <c r="M20" t="s">
        <v>9077</v>
      </c>
      <c r="N20" t="s">
        <v>10877</v>
      </c>
      <c r="O20" t="s">
        <v>10878</v>
      </c>
    </row>
    <row r="21" spans="1:15">
      <c r="A21" t="s">
        <v>9178</v>
      </c>
      <c r="B21" t="s">
        <v>9148</v>
      </c>
      <c r="C21" t="s">
        <v>9179</v>
      </c>
      <c r="D21" t="s">
        <v>5982</v>
      </c>
      <c r="E21" t="s">
        <v>9084</v>
      </c>
      <c r="F21" t="s">
        <v>9180</v>
      </c>
      <c r="G21" t="s">
        <v>9181</v>
      </c>
      <c r="H21" t="s">
        <v>9182</v>
      </c>
      <c r="I21" t="s">
        <v>9183</v>
      </c>
      <c r="J21" t="s">
        <v>9088</v>
      </c>
      <c r="K21" t="s">
        <v>9075</v>
      </c>
      <c r="L21" t="s">
        <v>9184</v>
      </c>
      <c r="M21" t="s">
        <v>9077</v>
      </c>
      <c r="N21" t="s">
        <v>10874</v>
      </c>
      <c r="O21" t="s">
        <v>10879</v>
      </c>
    </row>
    <row r="22" spans="1:15">
      <c r="A22" t="s">
        <v>9185</v>
      </c>
      <c r="B22" t="s">
        <v>9148</v>
      </c>
      <c r="C22" t="s">
        <v>9186</v>
      </c>
      <c r="D22" t="s">
        <v>5982</v>
      </c>
      <c r="E22" t="s">
        <v>9084</v>
      </c>
      <c r="F22" t="s">
        <v>9187</v>
      </c>
      <c r="G22" t="s">
        <v>9188</v>
      </c>
      <c r="H22" t="s">
        <v>9182</v>
      </c>
      <c r="I22" t="s">
        <v>9183</v>
      </c>
      <c r="J22" t="s">
        <v>9176</v>
      </c>
      <c r="K22" t="s">
        <v>9075</v>
      </c>
      <c r="L22" t="s">
        <v>9189</v>
      </c>
      <c r="M22" t="s">
        <v>9077</v>
      </c>
      <c r="N22" t="s">
        <v>10874</v>
      </c>
      <c r="O22" t="s">
        <v>10879</v>
      </c>
    </row>
    <row r="23" spans="1:15">
      <c r="A23" t="s">
        <v>9190</v>
      </c>
      <c r="B23" t="s">
        <v>9148</v>
      </c>
      <c r="C23" t="s">
        <v>9191</v>
      </c>
      <c r="D23" t="s">
        <v>5982</v>
      </c>
      <c r="E23" t="s">
        <v>9084</v>
      </c>
      <c r="F23" t="s">
        <v>9192</v>
      </c>
      <c r="G23" t="s">
        <v>9193</v>
      </c>
      <c r="H23" t="s">
        <v>9194</v>
      </c>
      <c r="I23" t="s">
        <v>9183</v>
      </c>
      <c r="J23" t="s">
        <v>9176</v>
      </c>
      <c r="K23" t="s">
        <v>9075</v>
      </c>
      <c r="L23" t="s">
        <v>9189</v>
      </c>
      <c r="M23" t="s">
        <v>9077</v>
      </c>
      <c r="N23" t="s">
        <v>10880</v>
      </c>
      <c r="O23" t="s">
        <v>10873</v>
      </c>
    </row>
    <row r="24" spans="1:15">
      <c r="A24" t="s">
        <v>9195</v>
      </c>
      <c r="B24" t="s">
        <v>9148</v>
      </c>
      <c r="C24" t="s">
        <v>9196</v>
      </c>
      <c r="D24" t="s">
        <v>5982</v>
      </c>
      <c r="E24" t="s">
        <v>9084</v>
      </c>
      <c r="F24" t="s">
        <v>9197</v>
      </c>
      <c r="G24" t="s">
        <v>9198</v>
      </c>
      <c r="H24" t="s">
        <v>9199</v>
      </c>
      <c r="I24" t="s">
        <v>9183</v>
      </c>
      <c r="J24" t="s">
        <v>9176</v>
      </c>
      <c r="K24" t="s">
        <v>9075</v>
      </c>
      <c r="L24" t="s">
        <v>9189</v>
      </c>
      <c r="M24" t="s">
        <v>9077</v>
      </c>
      <c r="N24" t="s">
        <v>10872</v>
      </c>
      <c r="O24" t="s">
        <v>10873</v>
      </c>
    </row>
    <row r="25" spans="1:15">
      <c r="A25" t="s">
        <v>9200</v>
      </c>
      <c r="B25" t="s">
        <v>9148</v>
      </c>
      <c r="C25" t="s">
        <v>9201</v>
      </c>
      <c r="D25" t="s">
        <v>5982</v>
      </c>
      <c r="E25" t="s">
        <v>9084</v>
      </c>
      <c r="F25" t="s">
        <v>9202</v>
      </c>
      <c r="G25" t="s">
        <v>9203</v>
      </c>
      <c r="H25" t="s">
        <v>9204</v>
      </c>
      <c r="I25" t="s">
        <v>9183</v>
      </c>
      <c r="J25" t="s">
        <v>9088</v>
      </c>
      <c r="K25" t="s">
        <v>9075</v>
      </c>
      <c r="L25" t="s">
        <v>9205</v>
      </c>
      <c r="M25" t="s">
        <v>9077</v>
      </c>
      <c r="N25" t="s">
        <v>10874</v>
      </c>
      <c r="O25" t="s">
        <v>10879</v>
      </c>
    </row>
    <row r="26" spans="1:15">
      <c r="A26" t="s">
        <v>9206</v>
      </c>
      <c r="B26" t="s">
        <v>9148</v>
      </c>
      <c r="C26" t="s">
        <v>9207</v>
      </c>
      <c r="D26" t="s">
        <v>5982</v>
      </c>
      <c r="E26" t="s">
        <v>9084</v>
      </c>
      <c r="F26" t="s">
        <v>9208</v>
      </c>
      <c r="G26" t="s">
        <v>9209</v>
      </c>
      <c r="H26" t="s">
        <v>9210</v>
      </c>
      <c r="I26" t="s">
        <v>9211</v>
      </c>
      <c r="J26" t="s">
        <v>9088</v>
      </c>
      <c r="K26" t="s">
        <v>9075</v>
      </c>
      <c r="L26" t="s">
        <v>9212</v>
      </c>
      <c r="M26" t="s">
        <v>9077</v>
      </c>
      <c r="N26" t="s">
        <v>10881</v>
      </c>
      <c r="O26" t="s">
        <v>10882</v>
      </c>
    </row>
    <row r="27" spans="1:15">
      <c r="A27" t="s">
        <v>9213</v>
      </c>
      <c r="B27" t="s">
        <v>9148</v>
      </c>
      <c r="C27" t="s">
        <v>6009</v>
      </c>
      <c r="D27" t="s">
        <v>5982</v>
      </c>
      <c r="E27" t="s">
        <v>9084</v>
      </c>
      <c r="F27" t="s">
        <v>9214</v>
      </c>
      <c r="G27" t="s">
        <v>9215</v>
      </c>
      <c r="H27" t="s">
        <v>9210</v>
      </c>
      <c r="I27" t="s">
        <v>9211</v>
      </c>
      <c r="J27" t="s">
        <v>9088</v>
      </c>
      <c r="K27" t="s">
        <v>9075</v>
      </c>
      <c r="L27" t="s">
        <v>9212</v>
      </c>
      <c r="M27" t="s">
        <v>9077</v>
      </c>
      <c r="N27" t="s">
        <v>10881</v>
      </c>
      <c r="O27" t="s">
        <v>10882</v>
      </c>
    </row>
    <row r="28" spans="1:15">
      <c r="A28" t="s">
        <v>9216</v>
      </c>
      <c r="B28" t="s">
        <v>9148</v>
      </c>
      <c r="C28" t="s">
        <v>9217</v>
      </c>
      <c r="D28" t="s">
        <v>5982</v>
      </c>
      <c r="E28" t="s">
        <v>9084</v>
      </c>
      <c r="F28" t="s">
        <v>9218</v>
      </c>
      <c r="G28" t="s">
        <v>9219</v>
      </c>
      <c r="H28" t="s">
        <v>9220</v>
      </c>
      <c r="I28" t="s">
        <v>9211</v>
      </c>
      <c r="J28" t="s">
        <v>9088</v>
      </c>
      <c r="K28" t="s">
        <v>9075</v>
      </c>
      <c r="L28" t="s">
        <v>9221</v>
      </c>
      <c r="M28" t="s">
        <v>9077</v>
      </c>
      <c r="N28" t="s">
        <v>10881</v>
      </c>
      <c r="O28" t="s">
        <v>10882</v>
      </c>
    </row>
    <row r="29" spans="1:15">
      <c r="A29" t="s">
        <v>9222</v>
      </c>
      <c r="B29" t="s">
        <v>9148</v>
      </c>
      <c r="C29" t="s">
        <v>9223</v>
      </c>
      <c r="D29" t="s">
        <v>5982</v>
      </c>
      <c r="E29" t="s">
        <v>9084</v>
      </c>
      <c r="F29" t="s">
        <v>9224</v>
      </c>
      <c r="G29" t="s">
        <v>9225</v>
      </c>
      <c r="H29" t="s">
        <v>9226</v>
      </c>
      <c r="I29" t="s">
        <v>9211</v>
      </c>
      <c r="J29" t="s">
        <v>9176</v>
      </c>
      <c r="K29" t="s">
        <v>9075</v>
      </c>
      <c r="L29" t="s">
        <v>9227</v>
      </c>
      <c r="M29" t="s">
        <v>9077</v>
      </c>
      <c r="N29" t="s">
        <v>10881</v>
      </c>
      <c r="O29" t="s">
        <v>10882</v>
      </c>
    </row>
    <row r="30" spans="1:15">
      <c r="A30" t="s">
        <v>9228</v>
      </c>
      <c r="B30" t="s">
        <v>9148</v>
      </c>
      <c r="C30" t="s">
        <v>9229</v>
      </c>
      <c r="D30" t="s">
        <v>5982</v>
      </c>
      <c r="E30" t="s">
        <v>9084</v>
      </c>
      <c r="F30" t="s">
        <v>9230</v>
      </c>
      <c r="G30" t="s">
        <v>9231</v>
      </c>
      <c r="H30" t="s">
        <v>9220</v>
      </c>
      <c r="I30" t="s">
        <v>9211</v>
      </c>
      <c r="J30" t="s">
        <v>9088</v>
      </c>
      <c r="K30" t="s">
        <v>9075</v>
      </c>
      <c r="L30" t="s">
        <v>9221</v>
      </c>
      <c r="M30" t="s">
        <v>9077</v>
      </c>
      <c r="N30" t="s">
        <v>10881</v>
      </c>
      <c r="O30" t="s">
        <v>10882</v>
      </c>
    </row>
    <row r="31" spans="1:15">
      <c r="A31" t="s">
        <v>9232</v>
      </c>
      <c r="B31" t="s">
        <v>9148</v>
      </c>
      <c r="C31" t="s">
        <v>9233</v>
      </c>
      <c r="D31" t="s">
        <v>5982</v>
      </c>
      <c r="E31" t="s">
        <v>9084</v>
      </c>
      <c r="F31" t="s">
        <v>9234</v>
      </c>
      <c r="G31" t="s">
        <v>9235</v>
      </c>
      <c r="H31" t="s">
        <v>9236</v>
      </c>
      <c r="I31" t="s">
        <v>9237</v>
      </c>
      <c r="J31" t="s">
        <v>9088</v>
      </c>
      <c r="K31" t="s">
        <v>9075</v>
      </c>
      <c r="L31" t="s">
        <v>9238</v>
      </c>
      <c r="M31" t="s">
        <v>9077</v>
      </c>
      <c r="N31" t="s">
        <v>10883</v>
      </c>
      <c r="O31" t="s">
        <v>10884</v>
      </c>
    </row>
    <row r="32" spans="1:15">
      <c r="A32" t="s">
        <v>9239</v>
      </c>
      <c r="B32" t="s">
        <v>9148</v>
      </c>
      <c r="C32" t="s">
        <v>9240</v>
      </c>
      <c r="D32" t="s">
        <v>5982</v>
      </c>
      <c r="E32" t="s">
        <v>9084</v>
      </c>
      <c r="F32" t="s">
        <v>9241</v>
      </c>
      <c r="G32" t="s">
        <v>9242</v>
      </c>
      <c r="H32" t="s">
        <v>9236</v>
      </c>
      <c r="I32" t="s">
        <v>9237</v>
      </c>
      <c r="J32" t="s">
        <v>9088</v>
      </c>
      <c r="K32" t="s">
        <v>9075</v>
      </c>
      <c r="L32" t="s">
        <v>9238</v>
      </c>
      <c r="M32" t="s">
        <v>9077</v>
      </c>
      <c r="N32" t="s">
        <v>10883</v>
      </c>
      <c r="O32" t="s">
        <v>10884</v>
      </c>
    </row>
    <row r="33" spans="1:15">
      <c r="A33" t="s">
        <v>9243</v>
      </c>
      <c r="B33" t="s">
        <v>9148</v>
      </c>
      <c r="C33" t="s">
        <v>9244</v>
      </c>
      <c r="D33" t="s">
        <v>9245</v>
      </c>
      <c r="E33" t="s">
        <v>9084</v>
      </c>
      <c r="F33" t="s">
        <v>9246</v>
      </c>
      <c r="G33" t="s">
        <v>9247</v>
      </c>
      <c r="H33" t="s">
        <v>9159</v>
      </c>
      <c r="I33" t="s">
        <v>9237</v>
      </c>
      <c r="J33" t="s">
        <v>9176</v>
      </c>
      <c r="K33" t="s">
        <v>9075</v>
      </c>
      <c r="L33" t="s">
        <v>9248</v>
      </c>
      <c r="M33" t="s">
        <v>9077</v>
      </c>
      <c r="N33" t="s">
        <v>10883</v>
      </c>
      <c r="O33" t="s">
        <v>10884</v>
      </c>
    </row>
    <row r="34" spans="1:15">
      <c r="A34" t="s">
        <v>9249</v>
      </c>
      <c r="B34" t="s">
        <v>9148</v>
      </c>
      <c r="C34" t="s">
        <v>9250</v>
      </c>
      <c r="D34" t="s">
        <v>5982</v>
      </c>
      <c r="E34" t="s">
        <v>9084</v>
      </c>
      <c r="F34" t="s">
        <v>9251</v>
      </c>
      <c r="G34" t="s">
        <v>9252</v>
      </c>
      <c r="H34" t="s">
        <v>9253</v>
      </c>
      <c r="I34" t="s">
        <v>9237</v>
      </c>
      <c r="J34" t="s">
        <v>9088</v>
      </c>
      <c r="K34" t="s">
        <v>9075</v>
      </c>
      <c r="L34" t="s">
        <v>9254</v>
      </c>
      <c r="M34" t="s">
        <v>9077</v>
      </c>
      <c r="N34" t="s">
        <v>10883</v>
      </c>
      <c r="O34" t="s">
        <v>10884</v>
      </c>
    </row>
    <row r="35" spans="1:15">
      <c r="A35" t="s">
        <v>9255</v>
      </c>
      <c r="B35" t="s">
        <v>9148</v>
      </c>
      <c r="C35" t="s">
        <v>9256</v>
      </c>
      <c r="D35" t="s">
        <v>5982</v>
      </c>
      <c r="E35" t="s">
        <v>9084</v>
      </c>
      <c r="F35" t="s">
        <v>9257</v>
      </c>
      <c r="G35" t="s">
        <v>9258</v>
      </c>
      <c r="H35" t="s">
        <v>9259</v>
      </c>
      <c r="I35" t="s">
        <v>9260</v>
      </c>
      <c r="J35" t="s">
        <v>9088</v>
      </c>
      <c r="K35" t="s">
        <v>9075</v>
      </c>
      <c r="L35" t="s">
        <v>9261</v>
      </c>
      <c r="M35" t="s">
        <v>9077</v>
      </c>
      <c r="N35" t="s">
        <v>10885</v>
      </c>
      <c r="O35" t="s">
        <v>10873</v>
      </c>
    </row>
    <row r="36" spans="1:15">
      <c r="A36" t="s">
        <v>9262</v>
      </c>
      <c r="B36" t="s">
        <v>9148</v>
      </c>
      <c r="C36" t="s">
        <v>9263</v>
      </c>
      <c r="D36" t="s">
        <v>5982</v>
      </c>
      <c r="E36" t="s">
        <v>9084</v>
      </c>
      <c r="F36" t="s">
        <v>9264</v>
      </c>
      <c r="G36" t="s">
        <v>9265</v>
      </c>
      <c r="H36" t="s">
        <v>9266</v>
      </c>
      <c r="I36" t="s">
        <v>9260</v>
      </c>
      <c r="J36" t="s">
        <v>9088</v>
      </c>
      <c r="K36" t="s">
        <v>9075</v>
      </c>
      <c r="L36" t="s">
        <v>9267</v>
      </c>
      <c r="M36" t="s">
        <v>9077</v>
      </c>
      <c r="N36" t="s">
        <v>10885</v>
      </c>
      <c r="O36" t="s">
        <v>10873</v>
      </c>
    </row>
    <row r="37" spans="1:15">
      <c r="A37" t="s">
        <v>9268</v>
      </c>
      <c r="B37" t="s">
        <v>9148</v>
      </c>
      <c r="C37" t="s">
        <v>9269</v>
      </c>
      <c r="D37" t="s">
        <v>5982</v>
      </c>
      <c r="E37" t="s">
        <v>9084</v>
      </c>
      <c r="F37" t="s">
        <v>9270</v>
      </c>
      <c r="G37" t="s">
        <v>9271</v>
      </c>
      <c r="H37" t="s">
        <v>9266</v>
      </c>
      <c r="I37" t="s">
        <v>9260</v>
      </c>
      <c r="J37" t="s">
        <v>9176</v>
      </c>
      <c r="K37" t="s">
        <v>9075</v>
      </c>
      <c r="L37" t="s">
        <v>9272</v>
      </c>
      <c r="M37" t="s">
        <v>9077</v>
      </c>
      <c r="N37" t="s">
        <v>10885</v>
      </c>
      <c r="O37" t="s">
        <v>10873</v>
      </c>
    </row>
    <row r="38" spans="1:15">
      <c r="A38" t="s">
        <v>9273</v>
      </c>
      <c r="B38" t="s">
        <v>9148</v>
      </c>
      <c r="C38" t="s">
        <v>6790</v>
      </c>
      <c r="D38" t="s">
        <v>5982</v>
      </c>
      <c r="E38" t="s">
        <v>9084</v>
      </c>
      <c r="F38" t="s">
        <v>9274</v>
      </c>
      <c r="G38" t="s">
        <v>9275</v>
      </c>
      <c r="H38" t="s">
        <v>9159</v>
      </c>
      <c r="I38" t="s">
        <v>9260</v>
      </c>
      <c r="J38" t="s">
        <v>9176</v>
      </c>
      <c r="K38" t="s">
        <v>9075</v>
      </c>
      <c r="L38" t="s">
        <v>9272</v>
      </c>
      <c r="M38" t="s">
        <v>9077</v>
      </c>
      <c r="N38" t="s">
        <v>10885</v>
      </c>
      <c r="O38" t="s">
        <v>10886</v>
      </c>
    </row>
    <row r="39" spans="1:15">
      <c r="A39" t="s">
        <v>9276</v>
      </c>
      <c r="B39" t="s">
        <v>9148</v>
      </c>
      <c r="C39" t="s">
        <v>9277</v>
      </c>
      <c r="D39" t="s">
        <v>5982</v>
      </c>
      <c r="E39" t="s">
        <v>9084</v>
      </c>
      <c r="F39" t="s">
        <v>9278</v>
      </c>
      <c r="G39" t="s">
        <v>9279</v>
      </c>
      <c r="H39" t="s">
        <v>9159</v>
      </c>
      <c r="I39" t="s">
        <v>9260</v>
      </c>
      <c r="J39" t="s">
        <v>9176</v>
      </c>
      <c r="K39" t="s">
        <v>9075</v>
      </c>
      <c r="L39" t="s">
        <v>9272</v>
      </c>
      <c r="M39" t="s">
        <v>9077</v>
      </c>
      <c r="N39" t="s">
        <v>10885</v>
      </c>
      <c r="O39" t="s">
        <v>10886</v>
      </c>
    </row>
    <row r="40" spans="1:15">
      <c r="A40" t="s">
        <v>9280</v>
      </c>
      <c r="B40" t="s">
        <v>9148</v>
      </c>
      <c r="C40" t="s">
        <v>9281</v>
      </c>
      <c r="D40" t="s">
        <v>5982</v>
      </c>
      <c r="E40" t="s">
        <v>9282</v>
      </c>
      <c r="F40" t="s">
        <v>9283</v>
      </c>
      <c r="G40" t="s">
        <v>9284</v>
      </c>
      <c r="H40" t="s">
        <v>9285</v>
      </c>
      <c r="I40" t="s">
        <v>9073</v>
      </c>
      <c r="J40" t="s">
        <v>9074</v>
      </c>
      <c r="K40" t="s">
        <v>9075</v>
      </c>
      <c r="L40" t="s">
        <v>9286</v>
      </c>
      <c r="M40" t="s">
        <v>9077</v>
      </c>
      <c r="N40" t="s">
        <v>10887</v>
      </c>
      <c r="O40" t="s">
        <v>10888</v>
      </c>
    </row>
    <row r="41" spans="1:15">
      <c r="A41" t="s">
        <v>9287</v>
      </c>
      <c r="B41" t="s">
        <v>9148</v>
      </c>
      <c r="C41" t="s">
        <v>7894</v>
      </c>
      <c r="D41" t="s">
        <v>5982</v>
      </c>
      <c r="E41" t="s">
        <v>9282</v>
      </c>
      <c r="F41" t="s">
        <v>9288</v>
      </c>
      <c r="G41" t="s">
        <v>9289</v>
      </c>
      <c r="H41" t="s">
        <v>9285</v>
      </c>
      <c r="I41" t="s">
        <v>9073</v>
      </c>
      <c r="J41" t="s">
        <v>9074</v>
      </c>
      <c r="K41" t="s">
        <v>9075</v>
      </c>
      <c r="L41" t="s">
        <v>9286</v>
      </c>
      <c r="M41" t="s">
        <v>9077</v>
      </c>
      <c r="N41" t="s">
        <v>10887</v>
      </c>
      <c r="O41" t="s">
        <v>10888</v>
      </c>
    </row>
    <row r="42" spans="1:15">
      <c r="A42" t="s">
        <v>9290</v>
      </c>
      <c r="B42" t="s">
        <v>9148</v>
      </c>
      <c r="C42" t="s">
        <v>9291</v>
      </c>
      <c r="D42" t="s">
        <v>5982</v>
      </c>
      <c r="E42" t="s">
        <v>9282</v>
      </c>
      <c r="F42" t="s">
        <v>9292</v>
      </c>
      <c r="G42" t="s">
        <v>9293</v>
      </c>
      <c r="H42" t="s">
        <v>9285</v>
      </c>
      <c r="I42" t="s">
        <v>9073</v>
      </c>
      <c r="J42" t="s">
        <v>9074</v>
      </c>
      <c r="K42" t="s">
        <v>9075</v>
      </c>
      <c r="L42" t="s">
        <v>9286</v>
      </c>
      <c r="M42" t="s">
        <v>9077</v>
      </c>
      <c r="N42" t="s">
        <v>10887</v>
      </c>
      <c r="O42" t="s">
        <v>10888</v>
      </c>
    </row>
    <row r="43" spans="1:15">
      <c r="A43" t="s">
        <v>9294</v>
      </c>
      <c r="B43" t="s">
        <v>9148</v>
      </c>
      <c r="C43" t="s">
        <v>7897</v>
      </c>
      <c r="D43" t="s">
        <v>5982</v>
      </c>
      <c r="E43" t="s">
        <v>9282</v>
      </c>
      <c r="F43" t="s">
        <v>9295</v>
      </c>
      <c r="G43" t="s">
        <v>9296</v>
      </c>
      <c r="H43" t="s">
        <v>9285</v>
      </c>
      <c r="I43" t="s">
        <v>9073</v>
      </c>
      <c r="J43" t="s">
        <v>9074</v>
      </c>
      <c r="K43" t="s">
        <v>9075</v>
      </c>
      <c r="L43" t="s">
        <v>9286</v>
      </c>
      <c r="M43" t="s">
        <v>9077</v>
      </c>
      <c r="N43" t="s">
        <v>10887</v>
      </c>
      <c r="O43" t="s">
        <v>10888</v>
      </c>
    </row>
    <row r="44" spans="1:15">
      <c r="A44" t="s">
        <v>9297</v>
      </c>
      <c r="B44" t="s">
        <v>9148</v>
      </c>
      <c r="C44" t="s">
        <v>9298</v>
      </c>
      <c r="D44" t="s">
        <v>5982</v>
      </c>
      <c r="E44" t="s">
        <v>9084</v>
      </c>
      <c r="F44" t="s">
        <v>9299</v>
      </c>
      <c r="G44" t="s">
        <v>9300</v>
      </c>
      <c r="H44" t="s">
        <v>9301</v>
      </c>
      <c r="I44" t="s">
        <v>9302</v>
      </c>
      <c r="J44" t="s">
        <v>9088</v>
      </c>
      <c r="K44" t="s">
        <v>9075</v>
      </c>
      <c r="L44" t="s">
        <v>9303</v>
      </c>
      <c r="M44" t="s">
        <v>9077</v>
      </c>
      <c r="N44" t="s">
        <v>10889</v>
      </c>
      <c r="O44" t="s">
        <v>10873</v>
      </c>
    </row>
    <row r="45" spans="1:15">
      <c r="A45" t="s">
        <v>9304</v>
      </c>
      <c r="B45" t="s">
        <v>9148</v>
      </c>
      <c r="C45" t="s">
        <v>9305</v>
      </c>
      <c r="D45" t="s">
        <v>5982</v>
      </c>
      <c r="E45" t="s">
        <v>9084</v>
      </c>
      <c r="F45" t="s">
        <v>9306</v>
      </c>
      <c r="G45" t="s">
        <v>9307</v>
      </c>
      <c r="H45" t="s">
        <v>9301</v>
      </c>
      <c r="I45" t="s">
        <v>9302</v>
      </c>
      <c r="J45" t="s">
        <v>9088</v>
      </c>
      <c r="K45" t="s">
        <v>9075</v>
      </c>
      <c r="L45" t="s">
        <v>9303</v>
      </c>
      <c r="M45" t="s">
        <v>9077</v>
      </c>
      <c r="N45" t="s">
        <v>10889</v>
      </c>
      <c r="O45" t="s">
        <v>10873</v>
      </c>
    </row>
    <row r="46" spans="1:15">
      <c r="A46" t="s">
        <v>9308</v>
      </c>
      <c r="B46" t="s">
        <v>9148</v>
      </c>
      <c r="C46" t="s">
        <v>9309</v>
      </c>
      <c r="D46" t="s">
        <v>5982</v>
      </c>
      <c r="E46" t="s">
        <v>9084</v>
      </c>
      <c r="F46" t="s">
        <v>9310</v>
      </c>
      <c r="G46" t="s">
        <v>9311</v>
      </c>
      <c r="H46" t="s">
        <v>9159</v>
      </c>
      <c r="I46" t="s">
        <v>9312</v>
      </c>
      <c r="J46" t="s">
        <v>9088</v>
      </c>
      <c r="K46" t="s">
        <v>9075</v>
      </c>
      <c r="L46" t="s">
        <v>9160</v>
      </c>
      <c r="M46" t="s">
        <v>9077</v>
      </c>
      <c r="N46" t="s">
        <v>10880</v>
      </c>
      <c r="O46" t="s">
        <v>10873</v>
      </c>
    </row>
    <row r="47" spans="1:15">
      <c r="A47" t="s">
        <v>9313</v>
      </c>
      <c r="B47" t="s">
        <v>9148</v>
      </c>
      <c r="C47" t="s">
        <v>9314</v>
      </c>
      <c r="D47" t="s">
        <v>5982</v>
      </c>
      <c r="E47" t="s">
        <v>9084</v>
      </c>
      <c r="F47" t="s">
        <v>9315</v>
      </c>
      <c r="G47" t="s">
        <v>9316</v>
      </c>
      <c r="H47" t="s">
        <v>9317</v>
      </c>
      <c r="I47" t="s">
        <v>9312</v>
      </c>
      <c r="J47" t="s">
        <v>9088</v>
      </c>
      <c r="K47" t="s">
        <v>9075</v>
      </c>
      <c r="L47" t="s">
        <v>9318</v>
      </c>
      <c r="M47" t="s">
        <v>9077</v>
      </c>
      <c r="N47" t="s">
        <v>10880</v>
      </c>
      <c r="O47" t="s">
        <v>10890</v>
      </c>
    </row>
    <row r="48" spans="1:15">
      <c r="A48" t="s">
        <v>9319</v>
      </c>
      <c r="B48" t="s">
        <v>9320</v>
      </c>
      <c r="C48" t="s">
        <v>9321</v>
      </c>
      <c r="D48" t="s">
        <v>5982</v>
      </c>
      <c r="E48" t="s">
        <v>9084</v>
      </c>
      <c r="F48" t="s">
        <v>9322</v>
      </c>
      <c r="G48" t="s">
        <v>9323</v>
      </c>
      <c r="H48" t="s">
        <v>9324</v>
      </c>
      <c r="I48" t="s">
        <v>9312</v>
      </c>
      <c r="J48" t="s">
        <v>9088</v>
      </c>
      <c r="K48" t="s">
        <v>9075</v>
      </c>
      <c r="L48" t="s">
        <v>9325</v>
      </c>
      <c r="M48" t="s">
        <v>9077</v>
      </c>
      <c r="N48" t="s">
        <v>10891</v>
      </c>
      <c r="O48" t="s">
        <v>10892</v>
      </c>
    </row>
    <row r="49" spans="1:15">
      <c r="A49" t="s">
        <v>9326</v>
      </c>
      <c r="B49" t="s">
        <v>9320</v>
      </c>
      <c r="C49" t="s">
        <v>9327</v>
      </c>
      <c r="D49" t="s">
        <v>5982</v>
      </c>
      <c r="E49" t="s">
        <v>9084</v>
      </c>
      <c r="F49" t="s">
        <v>9328</v>
      </c>
      <c r="G49" t="s">
        <v>9329</v>
      </c>
      <c r="H49" t="s">
        <v>9324</v>
      </c>
      <c r="I49" t="s">
        <v>9312</v>
      </c>
      <c r="J49" t="s">
        <v>9088</v>
      </c>
      <c r="K49" t="s">
        <v>9075</v>
      </c>
      <c r="L49" t="s">
        <v>9325</v>
      </c>
      <c r="M49" t="s">
        <v>9077</v>
      </c>
      <c r="N49" t="s">
        <v>10891</v>
      </c>
      <c r="O49" t="s">
        <v>10892</v>
      </c>
    </row>
    <row r="50" spans="1:15">
      <c r="A50" t="s">
        <v>9330</v>
      </c>
      <c r="B50" t="s">
        <v>9320</v>
      </c>
      <c r="C50" t="s">
        <v>6811</v>
      </c>
      <c r="D50" t="s">
        <v>5982</v>
      </c>
      <c r="E50" t="s">
        <v>9084</v>
      </c>
      <c r="F50" t="s">
        <v>9331</v>
      </c>
      <c r="G50" t="s">
        <v>9332</v>
      </c>
      <c r="H50" t="s">
        <v>9324</v>
      </c>
      <c r="I50" t="s">
        <v>9312</v>
      </c>
      <c r="J50" t="s">
        <v>9088</v>
      </c>
      <c r="K50" t="s">
        <v>9075</v>
      </c>
      <c r="L50" t="s">
        <v>9325</v>
      </c>
      <c r="M50" t="s">
        <v>9077</v>
      </c>
      <c r="N50" t="s">
        <v>10891</v>
      </c>
      <c r="O50" t="s">
        <v>10892</v>
      </c>
    </row>
    <row r="51" spans="1:15">
      <c r="A51" t="s">
        <v>9333</v>
      </c>
      <c r="B51" t="s">
        <v>9334</v>
      </c>
      <c r="C51" t="s">
        <v>9335</v>
      </c>
      <c r="D51" t="s">
        <v>5982</v>
      </c>
      <c r="E51" t="s">
        <v>9336</v>
      </c>
      <c r="F51" t="s">
        <v>9337</v>
      </c>
      <c r="G51" t="s">
        <v>9338</v>
      </c>
      <c r="H51" t="s">
        <v>9339</v>
      </c>
      <c r="I51" t="s">
        <v>9340</v>
      </c>
      <c r="J51" t="s">
        <v>9074</v>
      </c>
      <c r="K51" t="s">
        <v>9075</v>
      </c>
      <c r="L51" t="s">
        <v>9341</v>
      </c>
      <c r="M51" t="s">
        <v>9077</v>
      </c>
      <c r="N51" t="s">
        <v>10893</v>
      </c>
      <c r="O51" t="s">
        <v>10875</v>
      </c>
    </row>
    <row r="52" spans="1:15">
      <c r="A52" t="s">
        <v>9342</v>
      </c>
      <c r="B52" t="s">
        <v>9334</v>
      </c>
      <c r="C52" t="s">
        <v>9343</v>
      </c>
      <c r="D52" t="s">
        <v>5982</v>
      </c>
      <c r="E52" t="s">
        <v>9344</v>
      </c>
      <c r="F52" t="s">
        <v>9345</v>
      </c>
      <c r="G52" t="s">
        <v>9346</v>
      </c>
      <c r="H52" t="s">
        <v>9339</v>
      </c>
      <c r="I52" t="s">
        <v>9340</v>
      </c>
      <c r="J52" t="s">
        <v>9074</v>
      </c>
      <c r="K52" t="s">
        <v>9075</v>
      </c>
      <c r="L52" t="s">
        <v>9347</v>
      </c>
      <c r="M52" t="s">
        <v>9077</v>
      </c>
      <c r="N52" t="s">
        <v>10894</v>
      </c>
      <c r="O52" t="s">
        <v>10875</v>
      </c>
    </row>
    <row r="53" spans="1:15">
      <c r="A53" t="s">
        <v>9348</v>
      </c>
      <c r="B53" t="s">
        <v>9334</v>
      </c>
      <c r="C53" t="s">
        <v>9349</v>
      </c>
      <c r="D53" t="s">
        <v>5982</v>
      </c>
      <c r="E53" t="s">
        <v>9350</v>
      </c>
      <c r="F53" t="s">
        <v>9351</v>
      </c>
      <c r="G53" t="s">
        <v>9352</v>
      </c>
      <c r="H53" t="s">
        <v>9339</v>
      </c>
      <c r="I53" t="s">
        <v>9340</v>
      </c>
      <c r="J53" t="s">
        <v>9074</v>
      </c>
      <c r="K53" t="s">
        <v>9075</v>
      </c>
      <c r="L53" t="s">
        <v>9353</v>
      </c>
      <c r="M53" t="s">
        <v>9077</v>
      </c>
      <c r="N53" t="s">
        <v>10895</v>
      </c>
      <c r="O53" t="s">
        <v>10875</v>
      </c>
    </row>
    <row r="54" spans="1:15">
      <c r="A54" t="s">
        <v>9354</v>
      </c>
      <c r="B54" t="s">
        <v>9334</v>
      </c>
      <c r="C54" t="s">
        <v>9355</v>
      </c>
      <c r="D54" t="s">
        <v>5982</v>
      </c>
      <c r="E54" t="s">
        <v>9356</v>
      </c>
      <c r="F54" t="s">
        <v>9357</v>
      </c>
      <c r="G54" t="s">
        <v>9358</v>
      </c>
      <c r="H54" t="s">
        <v>9339</v>
      </c>
      <c r="I54" t="s">
        <v>9340</v>
      </c>
      <c r="J54" t="s">
        <v>9074</v>
      </c>
      <c r="K54" t="s">
        <v>9075</v>
      </c>
      <c r="L54" t="s">
        <v>9359</v>
      </c>
      <c r="M54" t="s">
        <v>9077</v>
      </c>
      <c r="N54" t="s">
        <v>10896</v>
      </c>
      <c r="O54" t="s">
        <v>10875</v>
      </c>
    </row>
    <row r="55" spans="1:15">
      <c r="A55" t="s">
        <v>9360</v>
      </c>
      <c r="B55" t="s">
        <v>9334</v>
      </c>
      <c r="C55" t="s">
        <v>9361</v>
      </c>
      <c r="D55" t="s">
        <v>5982</v>
      </c>
      <c r="E55" t="s">
        <v>9362</v>
      </c>
      <c r="F55" t="s">
        <v>9363</v>
      </c>
      <c r="G55" t="s">
        <v>9364</v>
      </c>
      <c r="H55" t="s">
        <v>9339</v>
      </c>
      <c r="I55" t="s">
        <v>9340</v>
      </c>
      <c r="J55" t="s">
        <v>9074</v>
      </c>
      <c r="K55" t="s">
        <v>9075</v>
      </c>
      <c r="L55" t="s">
        <v>9365</v>
      </c>
      <c r="M55" t="s">
        <v>9077</v>
      </c>
      <c r="N55" t="s">
        <v>10897</v>
      </c>
      <c r="O55" t="s">
        <v>10875</v>
      </c>
    </row>
    <row r="56" spans="1:15">
      <c r="A56" t="s">
        <v>9366</v>
      </c>
      <c r="B56" t="s">
        <v>9334</v>
      </c>
      <c r="C56" t="s">
        <v>9367</v>
      </c>
      <c r="D56" t="s">
        <v>5982</v>
      </c>
      <c r="E56" t="s">
        <v>9368</v>
      </c>
      <c r="F56" t="s">
        <v>9369</v>
      </c>
      <c r="G56" t="s">
        <v>9370</v>
      </c>
      <c r="H56" t="s">
        <v>9339</v>
      </c>
      <c r="I56" t="s">
        <v>9340</v>
      </c>
      <c r="J56" t="s">
        <v>9074</v>
      </c>
      <c r="K56" t="s">
        <v>9075</v>
      </c>
      <c r="L56" t="s">
        <v>9371</v>
      </c>
      <c r="M56" t="s">
        <v>9077</v>
      </c>
      <c r="N56" t="s">
        <v>10898</v>
      </c>
      <c r="O56" t="s">
        <v>10875</v>
      </c>
    </row>
    <row r="57" spans="1:15">
      <c r="A57" t="s">
        <v>9372</v>
      </c>
      <c r="B57" t="s">
        <v>9334</v>
      </c>
      <c r="C57" t="s">
        <v>9373</v>
      </c>
      <c r="D57" t="s">
        <v>5982</v>
      </c>
      <c r="E57" t="s">
        <v>9374</v>
      </c>
      <c r="F57" t="s">
        <v>9375</v>
      </c>
      <c r="G57" t="s">
        <v>9376</v>
      </c>
      <c r="H57" t="s">
        <v>9377</v>
      </c>
      <c r="I57" t="s">
        <v>9340</v>
      </c>
      <c r="J57" t="s">
        <v>9074</v>
      </c>
      <c r="K57" t="s">
        <v>9075</v>
      </c>
      <c r="L57" t="s">
        <v>9378</v>
      </c>
      <c r="M57" t="s">
        <v>9077</v>
      </c>
      <c r="N57" t="s">
        <v>10899</v>
      </c>
      <c r="O57" t="s">
        <v>10875</v>
      </c>
    </row>
    <row r="58" spans="1:15">
      <c r="A58" t="s">
        <v>9379</v>
      </c>
      <c r="B58" t="s">
        <v>9334</v>
      </c>
      <c r="C58" t="s">
        <v>9380</v>
      </c>
      <c r="D58" t="s">
        <v>5982</v>
      </c>
      <c r="E58" t="s">
        <v>9381</v>
      </c>
      <c r="F58" t="s">
        <v>9382</v>
      </c>
      <c r="G58" t="s">
        <v>9383</v>
      </c>
      <c r="H58" t="s">
        <v>9339</v>
      </c>
      <c r="I58" t="s">
        <v>9340</v>
      </c>
      <c r="J58" t="s">
        <v>9074</v>
      </c>
      <c r="K58" t="s">
        <v>9075</v>
      </c>
      <c r="L58" t="s">
        <v>9384</v>
      </c>
      <c r="M58" t="s">
        <v>9077</v>
      </c>
      <c r="N58" t="s">
        <v>10900</v>
      </c>
      <c r="O58" t="s">
        <v>10875</v>
      </c>
    </row>
    <row r="59" spans="1:15">
      <c r="A59" t="s">
        <v>9385</v>
      </c>
      <c r="B59" t="s">
        <v>9334</v>
      </c>
      <c r="C59" t="s">
        <v>9386</v>
      </c>
      <c r="D59" t="s">
        <v>5982</v>
      </c>
      <c r="E59" t="s">
        <v>9387</v>
      </c>
      <c r="F59" t="s">
        <v>9388</v>
      </c>
      <c r="G59" t="s">
        <v>9389</v>
      </c>
      <c r="H59" t="s">
        <v>9390</v>
      </c>
      <c r="I59" t="s">
        <v>9340</v>
      </c>
      <c r="J59" t="s">
        <v>9074</v>
      </c>
      <c r="K59" t="s">
        <v>9075</v>
      </c>
      <c r="L59" t="s">
        <v>9391</v>
      </c>
      <c r="M59" t="s">
        <v>9077</v>
      </c>
      <c r="N59" t="s">
        <v>10901</v>
      </c>
      <c r="O59" t="s">
        <v>10875</v>
      </c>
    </row>
    <row r="60" spans="1:15">
      <c r="A60" t="s">
        <v>9392</v>
      </c>
      <c r="B60" t="s">
        <v>9334</v>
      </c>
      <c r="C60" t="s">
        <v>9393</v>
      </c>
      <c r="D60" t="s">
        <v>5982</v>
      </c>
      <c r="E60" t="s">
        <v>9394</v>
      </c>
      <c r="F60" t="s">
        <v>9395</v>
      </c>
      <c r="G60" t="s">
        <v>9396</v>
      </c>
      <c r="H60" t="s">
        <v>9339</v>
      </c>
      <c r="I60" t="s">
        <v>9340</v>
      </c>
      <c r="J60" t="s">
        <v>9074</v>
      </c>
      <c r="K60" t="s">
        <v>9075</v>
      </c>
      <c r="L60" t="s">
        <v>9397</v>
      </c>
      <c r="M60" t="s">
        <v>9077</v>
      </c>
      <c r="N60" t="s">
        <v>10902</v>
      </c>
      <c r="O60" t="s">
        <v>10875</v>
      </c>
    </row>
    <row r="61" spans="1:15">
      <c r="A61" t="s">
        <v>9398</v>
      </c>
      <c r="B61" t="s">
        <v>9399</v>
      </c>
      <c r="C61" t="s">
        <v>9400</v>
      </c>
      <c r="D61" t="s">
        <v>5982</v>
      </c>
      <c r="E61" t="s">
        <v>9084</v>
      </c>
      <c r="F61" t="s">
        <v>9401</v>
      </c>
      <c r="G61" t="s">
        <v>9402</v>
      </c>
      <c r="H61" t="s">
        <v>9403</v>
      </c>
      <c r="I61" t="s">
        <v>9260</v>
      </c>
      <c r="J61" t="s">
        <v>9088</v>
      </c>
      <c r="K61" t="s">
        <v>9075</v>
      </c>
      <c r="L61" t="s">
        <v>9404</v>
      </c>
      <c r="M61" t="s">
        <v>9077</v>
      </c>
      <c r="N61" t="s">
        <v>10903</v>
      </c>
      <c r="O61" t="s">
        <v>10904</v>
      </c>
    </row>
    <row r="62" spans="1:15">
      <c r="A62" t="s">
        <v>9405</v>
      </c>
      <c r="B62" t="s">
        <v>9399</v>
      </c>
      <c r="C62" t="s">
        <v>9406</v>
      </c>
      <c r="D62" t="s">
        <v>5982</v>
      </c>
      <c r="E62" t="s">
        <v>9407</v>
      </c>
      <c r="F62" t="s">
        <v>9408</v>
      </c>
      <c r="G62" t="s">
        <v>9409</v>
      </c>
      <c r="H62" t="s">
        <v>9410</v>
      </c>
      <c r="I62" t="s">
        <v>9260</v>
      </c>
      <c r="J62" t="s">
        <v>9074</v>
      </c>
      <c r="K62" t="s">
        <v>9075</v>
      </c>
      <c r="L62" t="s">
        <v>9411</v>
      </c>
      <c r="M62" t="s">
        <v>9077</v>
      </c>
      <c r="N62" t="s">
        <v>10905</v>
      </c>
      <c r="O62" t="s">
        <v>10906</v>
      </c>
    </row>
    <row r="63" spans="1:15">
      <c r="A63" t="s">
        <v>9412</v>
      </c>
      <c r="B63" t="s">
        <v>9399</v>
      </c>
      <c r="C63" t="s">
        <v>9413</v>
      </c>
      <c r="D63" t="s">
        <v>5982</v>
      </c>
      <c r="E63" t="s">
        <v>9414</v>
      </c>
      <c r="F63" t="s">
        <v>9415</v>
      </c>
      <c r="G63" t="s">
        <v>9416</v>
      </c>
      <c r="H63" t="s">
        <v>9417</v>
      </c>
      <c r="I63" t="s">
        <v>9260</v>
      </c>
      <c r="J63" t="s">
        <v>9074</v>
      </c>
      <c r="K63" t="s">
        <v>9075</v>
      </c>
      <c r="L63" t="s">
        <v>9418</v>
      </c>
      <c r="M63" t="s">
        <v>9077</v>
      </c>
      <c r="N63" t="s">
        <v>10885</v>
      </c>
      <c r="O63" t="s">
        <v>10873</v>
      </c>
    </row>
    <row r="64" spans="1:15">
      <c r="A64" t="s">
        <v>9419</v>
      </c>
      <c r="B64" t="s">
        <v>9399</v>
      </c>
      <c r="C64" t="s">
        <v>9420</v>
      </c>
      <c r="D64" t="s">
        <v>5982</v>
      </c>
      <c r="E64" t="s">
        <v>9084</v>
      </c>
      <c r="F64" t="s">
        <v>9421</v>
      </c>
      <c r="G64" t="s">
        <v>9422</v>
      </c>
      <c r="H64" t="s">
        <v>9417</v>
      </c>
      <c r="I64" t="s">
        <v>9260</v>
      </c>
      <c r="J64" t="s">
        <v>9176</v>
      </c>
      <c r="K64" t="s">
        <v>9075</v>
      </c>
      <c r="L64" t="s">
        <v>9272</v>
      </c>
      <c r="M64" t="s">
        <v>9077</v>
      </c>
      <c r="N64" t="s">
        <v>10885</v>
      </c>
      <c r="O64" t="s">
        <v>10873</v>
      </c>
    </row>
    <row r="65" spans="1:15">
      <c r="A65" t="s">
        <v>9423</v>
      </c>
      <c r="B65" t="s">
        <v>9399</v>
      </c>
      <c r="C65" t="s">
        <v>9424</v>
      </c>
      <c r="D65" t="s">
        <v>5982</v>
      </c>
      <c r="E65" t="s">
        <v>9425</v>
      </c>
      <c r="F65" t="s">
        <v>9426</v>
      </c>
      <c r="G65" t="s">
        <v>9427</v>
      </c>
      <c r="H65" t="s">
        <v>9417</v>
      </c>
      <c r="I65" t="s">
        <v>9260</v>
      </c>
      <c r="J65" t="s">
        <v>9074</v>
      </c>
      <c r="K65" t="s">
        <v>9075</v>
      </c>
      <c r="L65" t="s">
        <v>9428</v>
      </c>
      <c r="M65" t="s">
        <v>9077</v>
      </c>
      <c r="N65" t="s">
        <v>10885</v>
      </c>
      <c r="O65" t="s">
        <v>10873</v>
      </c>
    </row>
    <row r="66" spans="1:15">
      <c r="A66" t="s">
        <v>9429</v>
      </c>
      <c r="B66" t="s">
        <v>9399</v>
      </c>
      <c r="C66" t="s">
        <v>9430</v>
      </c>
      <c r="D66" t="s">
        <v>5982</v>
      </c>
      <c r="E66" t="s">
        <v>9431</v>
      </c>
      <c r="F66" t="s">
        <v>9432</v>
      </c>
      <c r="G66" t="s">
        <v>9433</v>
      </c>
      <c r="H66" t="s">
        <v>9417</v>
      </c>
      <c r="I66" t="s">
        <v>9260</v>
      </c>
      <c r="J66" t="s">
        <v>9074</v>
      </c>
      <c r="K66" t="s">
        <v>9075</v>
      </c>
      <c r="L66" t="s">
        <v>9434</v>
      </c>
      <c r="M66" t="s">
        <v>9077</v>
      </c>
      <c r="N66" t="s">
        <v>10907</v>
      </c>
      <c r="O66" t="s">
        <v>10875</v>
      </c>
    </row>
    <row r="67" spans="1:15">
      <c r="A67" t="s">
        <v>9435</v>
      </c>
      <c r="B67" t="s">
        <v>9399</v>
      </c>
      <c r="C67" t="s">
        <v>9436</v>
      </c>
      <c r="D67" t="s">
        <v>5982</v>
      </c>
      <c r="E67" t="s">
        <v>9431</v>
      </c>
      <c r="F67" t="s">
        <v>9437</v>
      </c>
      <c r="G67" t="s">
        <v>9438</v>
      </c>
      <c r="H67" t="s">
        <v>9403</v>
      </c>
      <c r="I67" t="s">
        <v>9260</v>
      </c>
      <c r="J67" t="s">
        <v>9074</v>
      </c>
      <c r="K67" t="s">
        <v>9075</v>
      </c>
      <c r="L67" t="s">
        <v>9439</v>
      </c>
      <c r="M67" t="s">
        <v>9077</v>
      </c>
      <c r="N67" t="s">
        <v>10907</v>
      </c>
      <c r="O67" t="s">
        <v>10875</v>
      </c>
    </row>
    <row r="68" spans="1:15">
      <c r="A68" t="s">
        <v>9440</v>
      </c>
      <c r="B68" t="s">
        <v>6064</v>
      </c>
      <c r="C68" t="s">
        <v>9441</v>
      </c>
      <c r="D68" t="s">
        <v>5982</v>
      </c>
      <c r="E68" t="s">
        <v>9084</v>
      </c>
      <c r="F68" t="s">
        <v>9442</v>
      </c>
      <c r="G68" t="s">
        <v>9443</v>
      </c>
      <c r="H68" t="s">
        <v>9444</v>
      </c>
      <c r="I68" t="s">
        <v>9445</v>
      </c>
      <c r="J68" t="s">
        <v>9088</v>
      </c>
      <c r="K68" t="s">
        <v>9075</v>
      </c>
      <c r="L68" t="s">
        <v>9446</v>
      </c>
      <c r="M68" t="s">
        <v>9077</v>
      </c>
      <c r="N68" t="s">
        <v>10908</v>
      </c>
      <c r="O68" t="s">
        <v>10909</v>
      </c>
    </row>
    <row r="69" spans="1:15">
      <c r="A69" t="s">
        <v>9447</v>
      </c>
      <c r="B69" t="s">
        <v>6064</v>
      </c>
      <c r="C69" t="s">
        <v>9448</v>
      </c>
      <c r="D69" t="s">
        <v>5982</v>
      </c>
      <c r="E69" t="s">
        <v>9084</v>
      </c>
      <c r="F69" t="s">
        <v>9449</v>
      </c>
      <c r="G69" t="s">
        <v>9450</v>
      </c>
      <c r="H69" t="s">
        <v>9403</v>
      </c>
      <c r="I69" t="s">
        <v>9445</v>
      </c>
      <c r="J69" t="s">
        <v>9088</v>
      </c>
      <c r="K69" t="s">
        <v>9075</v>
      </c>
      <c r="L69" t="s">
        <v>9404</v>
      </c>
      <c r="M69" t="s">
        <v>9077</v>
      </c>
      <c r="N69" t="s">
        <v>10910</v>
      </c>
      <c r="O69" t="s">
        <v>10911</v>
      </c>
    </row>
    <row r="70" spans="1:15">
      <c r="A70" t="s">
        <v>9451</v>
      </c>
      <c r="B70" t="s">
        <v>6064</v>
      </c>
      <c r="C70" t="s">
        <v>9452</v>
      </c>
      <c r="D70" t="s">
        <v>5982</v>
      </c>
      <c r="E70" t="s">
        <v>10708</v>
      </c>
      <c r="F70" t="s">
        <v>9453</v>
      </c>
      <c r="G70" t="s">
        <v>9454</v>
      </c>
      <c r="H70" t="s">
        <v>9403</v>
      </c>
      <c r="I70" t="s">
        <v>9445</v>
      </c>
      <c r="J70" t="s">
        <v>9088</v>
      </c>
      <c r="K70" t="s">
        <v>9075</v>
      </c>
      <c r="L70" t="s">
        <v>9404</v>
      </c>
      <c r="M70" t="s">
        <v>9077</v>
      </c>
      <c r="N70" t="s">
        <v>10912</v>
      </c>
      <c r="O70" t="s">
        <v>10875</v>
      </c>
    </row>
    <row r="71" spans="1:15">
      <c r="A71" t="s">
        <v>9455</v>
      </c>
      <c r="B71" t="s">
        <v>6064</v>
      </c>
      <c r="C71" t="s">
        <v>9456</v>
      </c>
      <c r="D71" t="s">
        <v>5982</v>
      </c>
      <c r="E71" t="s">
        <v>9084</v>
      </c>
      <c r="F71" t="s">
        <v>9457</v>
      </c>
      <c r="G71" t="s">
        <v>9458</v>
      </c>
      <c r="H71" t="s">
        <v>9403</v>
      </c>
      <c r="I71" t="s">
        <v>9445</v>
      </c>
      <c r="J71" t="s">
        <v>9088</v>
      </c>
      <c r="K71" t="s">
        <v>9075</v>
      </c>
      <c r="L71" t="s">
        <v>9404</v>
      </c>
      <c r="M71" t="s">
        <v>9077</v>
      </c>
      <c r="N71" t="s">
        <v>10910</v>
      </c>
      <c r="O71" t="s">
        <v>10911</v>
      </c>
    </row>
    <row r="72" spans="1:15">
      <c r="A72" t="s">
        <v>9459</v>
      </c>
      <c r="B72" t="s">
        <v>6064</v>
      </c>
      <c r="C72" t="s">
        <v>9460</v>
      </c>
      <c r="D72" t="s">
        <v>5982</v>
      </c>
      <c r="E72" t="s">
        <v>9084</v>
      </c>
      <c r="F72" t="s">
        <v>9461</v>
      </c>
      <c r="G72" t="s">
        <v>9462</v>
      </c>
      <c r="H72" t="s">
        <v>9463</v>
      </c>
      <c r="I72" t="s">
        <v>9445</v>
      </c>
      <c r="J72" t="s">
        <v>9088</v>
      </c>
      <c r="K72" t="s">
        <v>9075</v>
      </c>
      <c r="L72" t="s">
        <v>9464</v>
      </c>
      <c r="M72" t="s">
        <v>9077</v>
      </c>
      <c r="N72" t="s">
        <v>10910</v>
      </c>
      <c r="O72" t="s">
        <v>10911</v>
      </c>
    </row>
    <row r="73" spans="1:15">
      <c r="A73" t="s">
        <v>9465</v>
      </c>
      <c r="B73" t="s">
        <v>6064</v>
      </c>
      <c r="C73" t="s">
        <v>9466</v>
      </c>
      <c r="D73" t="s">
        <v>5982</v>
      </c>
      <c r="E73" t="s">
        <v>9084</v>
      </c>
      <c r="F73" t="s">
        <v>9467</v>
      </c>
      <c r="G73" t="s">
        <v>9468</v>
      </c>
      <c r="H73" t="s">
        <v>9463</v>
      </c>
      <c r="I73" t="s">
        <v>9445</v>
      </c>
      <c r="J73" t="s">
        <v>9088</v>
      </c>
      <c r="K73" t="s">
        <v>9075</v>
      </c>
      <c r="L73" t="s">
        <v>9464</v>
      </c>
      <c r="M73" t="s">
        <v>9077</v>
      </c>
      <c r="N73" t="s">
        <v>10910</v>
      </c>
      <c r="O73" t="s">
        <v>10911</v>
      </c>
    </row>
    <row r="74" spans="1:15">
      <c r="A74" t="s">
        <v>9469</v>
      </c>
      <c r="B74" t="s">
        <v>6064</v>
      </c>
      <c r="C74" t="s">
        <v>9470</v>
      </c>
      <c r="D74" t="s">
        <v>5982</v>
      </c>
      <c r="E74" t="s">
        <v>9084</v>
      </c>
      <c r="F74" t="s">
        <v>9471</v>
      </c>
      <c r="G74" t="s">
        <v>9472</v>
      </c>
      <c r="H74" t="s">
        <v>9473</v>
      </c>
      <c r="I74" t="s">
        <v>9445</v>
      </c>
      <c r="J74" t="s">
        <v>9088</v>
      </c>
      <c r="K74" t="s">
        <v>9075</v>
      </c>
      <c r="L74" t="s">
        <v>9474</v>
      </c>
      <c r="M74" t="s">
        <v>9077</v>
      </c>
      <c r="N74" t="s">
        <v>10913</v>
      </c>
      <c r="O74" t="s">
        <v>10914</v>
      </c>
    </row>
    <row r="75" spans="1:15">
      <c r="A75" t="s">
        <v>9475</v>
      </c>
      <c r="B75" t="s">
        <v>6064</v>
      </c>
      <c r="C75" t="s">
        <v>9476</v>
      </c>
      <c r="D75" t="s">
        <v>5982</v>
      </c>
      <c r="E75" t="s">
        <v>9084</v>
      </c>
      <c r="F75" t="s">
        <v>9477</v>
      </c>
      <c r="G75" t="s">
        <v>9478</v>
      </c>
      <c r="H75" t="s">
        <v>9479</v>
      </c>
      <c r="I75" t="s">
        <v>9445</v>
      </c>
      <c r="J75" t="s">
        <v>9088</v>
      </c>
      <c r="K75" t="s">
        <v>9075</v>
      </c>
      <c r="L75" t="s">
        <v>9480</v>
      </c>
      <c r="M75" t="s">
        <v>9077</v>
      </c>
      <c r="N75" t="s">
        <v>10913</v>
      </c>
      <c r="O75" t="s">
        <v>10914</v>
      </c>
    </row>
    <row r="76" spans="1:15">
      <c r="A76" t="s">
        <v>9481</v>
      </c>
      <c r="B76" t="s">
        <v>6064</v>
      </c>
      <c r="C76" t="s">
        <v>9482</v>
      </c>
      <c r="D76" t="s">
        <v>5982</v>
      </c>
      <c r="E76" t="s">
        <v>9084</v>
      </c>
      <c r="F76" t="s">
        <v>9483</v>
      </c>
      <c r="G76" t="s">
        <v>9484</v>
      </c>
      <c r="H76" t="s">
        <v>9473</v>
      </c>
      <c r="I76" t="s">
        <v>9445</v>
      </c>
      <c r="J76" t="s">
        <v>9088</v>
      </c>
      <c r="K76" t="s">
        <v>9075</v>
      </c>
      <c r="L76" t="s">
        <v>9474</v>
      </c>
      <c r="M76" t="s">
        <v>9077</v>
      </c>
      <c r="N76" t="s">
        <v>10913</v>
      </c>
      <c r="O76" t="s">
        <v>10914</v>
      </c>
    </row>
    <row r="77" spans="1:15">
      <c r="A77" t="s">
        <v>9485</v>
      </c>
      <c r="B77" t="s">
        <v>6064</v>
      </c>
      <c r="C77" t="s">
        <v>9486</v>
      </c>
      <c r="D77" t="s">
        <v>5982</v>
      </c>
      <c r="E77" t="s">
        <v>9487</v>
      </c>
      <c r="F77" t="s">
        <v>9488</v>
      </c>
      <c r="G77" t="s">
        <v>9489</v>
      </c>
      <c r="H77" t="s">
        <v>9473</v>
      </c>
      <c r="I77" t="s">
        <v>9445</v>
      </c>
      <c r="J77" t="s">
        <v>9074</v>
      </c>
      <c r="K77" t="s">
        <v>9075</v>
      </c>
      <c r="L77" t="s">
        <v>9490</v>
      </c>
      <c r="M77" t="s">
        <v>9077</v>
      </c>
      <c r="N77" t="s">
        <v>10913</v>
      </c>
      <c r="O77" t="s">
        <v>10914</v>
      </c>
    </row>
    <row r="78" spans="1:15">
      <c r="A78" t="s">
        <v>9491</v>
      </c>
      <c r="B78" t="s">
        <v>6064</v>
      </c>
      <c r="C78" t="s">
        <v>9492</v>
      </c>
      <c r="D78" t="s">
        <v>5982</v>
      </c>
      <c r="E78" t="s">
        <v>9084</v>
      </c>
      <c r="F78" t="s">
        <v>9493</v>
      </c>
      <c r="G78" t="s">
        <v>9494</v>
      </c>
      <c r="H78" t="s">
        <v>9479</v>
      </c>
      <c r="I78" t="s">
        <v>9445</v>
      </c>
      <c r="J78" t="s">
        <v>9088</v>
      </c>
      <c r="K78" t="s">
        <v>9075</v>
      </c>
      <c r="L78" t="s">
        <v>9480</v>
      </c>
      <c r="M78" t="s">
        <v>9077</v>
      </c>
      <c r="N78" t="s">
        <v>10913</v>
      </c>
      <c r="O78" t="s">
        <v>10914</v>
      </c>
    </row>
    <row r="79" spans="1:15">
      <c r="A79" t="s">
        <v>9495</v>
      </c>
      <c r="B79" t="s">
        <v>6064</v>
      </c>
      <c r="C79" t="s">
        <v>9496</v>
      </c>
      <c r="D79" t="s">
        <v>5982</v>
      </c>
      <c r="E79" t="s">
        <v>9084</v>
      </c>
      <c r="F79" t="s">
        <v>9497</v>
      </c>
      <c r="G79" t="s">
        <v>9498</v>
      </c>
      <c r="H79" t="s">
        <v>9473</v>
      </c>
      <c r="I79" t="s">
        <v>9445</v>
      </c>
      <c r="J79" t="s">
        <v>9088</v>
      </c>
      <c r="K79" t="s">
        <v>9075</v>
      </c>
      <c r="L79" t="s">
        <v>9474</v>
      </c>
      <c r="M79" t="s">
        <v>9077</v>
      </c>
      <c r="N79" t="s">
        <v>10913</v>
      </c>
      <c r="O79" t="s">
        <v>10914</v>
      </c>
    </row>
    <row r="80" spans="1:15">
      <c r="A80" t="s">
        <v>9499</v>
      </c>
      <c r="B80" t="s">
        <v>6064</v>
      </c>
      <c r="C80" t="s">
        <v>9500</v>
      </c>
      <c r="D80" t="s">
        <v>5982</v>
      </c>
      <c r="E80" t="s">
        <v>9501</v>
      </c>
      <c r="F80" t="s">
        <v>9502</v>
      </c>
      <c r="G80" t="s">
        <v>9503</v>
      </c>
      <c r="H80" t="s">
        <v>9504</v>
      </c>
      <c r="I80" t="s">
        <v>9445</v>
      </c>
      <c r="J80" t="s">
        <v>9074</v>
      </c>
      <c r="K80" t="s">
        <v>9075</v>
      </c>
      <c r="L80" t="s">
        <v>9505</v>
      </c>
      <c r="M80" t="s">
        <v>9077</v>
      </c>
      <c r="N80" t="s">
        <v>10915</v>
      </c>
      <c r="O80" t="s">
        <v>10875</v>
      </c>
    </row>
    <row r="81" spans="1:15">
      <c r="A81" t="s">
        <v>9506</v>
      </c>
      <c r="B81" t="s">
        <v>6064</v>
      </c>
      <c r="C81" t="s">
        <v>9507</v>
      </c>
      <c r="D81" t="s">
        <v>5982</v>
      </c>
      <c r="E81" t="s">
        <v>9501</v>
      </c>
      <c r="F81" t="s">
        <v>9508</v>
      </c>
      <c r="G81" t="s">
        <v>9509</v>
      </c>
      <c r="H81" t="s">
        <v>9504</v>
      </c>
      <c r="I81" t="s">
        <v>9445</v>
      </c>
      <c r="J81" t="s">
        <v>9074</v>
      </c>
      <c r="K81" t="s">
        <v>9075</v>
      </c>
      <c r="L81" t="s">
        <v>9505</v>
      </c>
      <c r="M81" t="s">
        <v>9077</v>
      </c>
      <c r="N81" t="s">
        <v>10915</v>
      </c>
      <c r="O81" t="s">
        <v>10916</v>
      </c>
    </row>
    <row r="82" spans="1:15">
      <c r="A82" t="s">
        <v>9510</v>
      </c>
      <c r="B82" t="s">
        <v>6064</v>
      </c>
      <c r="C82" t="s">
        <v>9511</v>
      </c>
      <c r="D82" t="s">
        <v>5982</v>
      </c>
      <c r="E82" t="s">
        <v>9501</v>
      </c>
      <c r="F82" t="s">
        <v>9512</v>
      </c>
      <c r="G82" t="s">
        <v>9513</v>
      </c>
      <c r="H82" t="s">
        <v>9514</v>
      </c>
      <c r="I82" t="s">
        <v>9445</v>
      </c>
      <c r="J82" t="s">
        <v>9074</v>
      </c>
      <c r="K82" t="s">
        <v>9075</v>
      </c>
      <c r="L82" t="s">
        <v>9515</v>
      </c>
      <c r="M82" t="s">
        <v>9077</v>
      </c>
      <c r="N82" t="s">
        <v>10915</v>
      </c>
      <c r="O82" t="s">
        <v>10916</v>
      </c>
    </row>
    <row r="83" spans="1:15">
      <c r="A83" t="s">
        <v>9516</v>
      </c>
      <c r="B83" t="s">
        <v>9517</v>
      </c>
      <c r="C83" t="s">
        <v>9518</v>
      </c>
      <c r="D83" t="s">
        <v>5982</v>
      </c>
      <c r="E83" t="s">
        <v>9084</v>
      </c>
      <c r="F83" t="s">
        <v>9519</v>
      </c>
      <c r="G83" t="s">
        <v>9520</v>
      </c>
      <c r="H83" t="s">
        <v>9521</v>
      </c>
      <c r="I83" t="s">
        <v>9522</v>
      </c>
      <c r="J83" t="s">
        <v>9088</v>
      </c>
      <c r="K83" t="s">
        <v>9075</v>
      </c>
      <c r="L83" t="s">
        <v>9523</v>
      </c>
      <c r="M83" t="s">
        <v>9077</v>
      </c>
      <c r="N83" t="s">
        <v>10917</v>
      </c>
      <c r="O83" t="s">
        <v>10918</v>
      </c>
    </row>
    <row r="84" spans="1:15">
      <c r="A84" t="s">
        <v>9524</v>
      </c>
      <c r="B84" t="s">
        <v>9517</v>
      </c>
      <c r="C84" t="s">
        <v>9525</v>
      </c>
      <c r="D84" t="s">
        <v>5982</v>
      </c>
      <c r="E84" t="s">
        <v>9084</v>
      </c>
      <c r="F84" t="s">
        <v>9526</v>
      </c>
      <c r="G84" t="s">
        <v>9527</v>
      </c>
      <c r="H84" t="s">
        <v>9521</v>
      </c>
      <c r="I84" t="s">
        <v>9522</v>
      </c>
      <c r="J84" t="s">
        <v>9088</v>
      </c>
      <c r="K84" t="s">
        <v>9075</v>
      </c>
      <c r="L84" t="s">
        <v>9523</v>
      </c>
      <c r="M84" t="s">
        <v>9077</v>
      </c>
      <c r="N84" t="s">
        <v>10917</v>
      </c>
      <c r="O84" t="s">
        <v>10918</v>
      </c>
    </row>
    <row r="85" spans="1:15">
      <c r="A85" t="s">
        <v>9528</v>
      </c>
      <c r="B85" t="s">
        <v>9517</v>
      </c>
      <c r="C85" t="s">
        <v>9529</v>
      </c>
      <c r="D85" t="s">
        <v>5982</v>
      </c>
      <c r="E85" t="s">
        <v>9530</v>
      </c>
      <c r="F85" t="s">
        <v>9531</v>
      </c>
      <c r="G85" t="s">
        <v>9532</v>
      </c>
      <c r="H85" t="s">
        <v>9533</v>
      </c>
      <c r="I85" t="s">
        <v>9522</v>
      </c>
      <c r="J85" t="s">
        <v>9074</v>
      </c>
      <c r="K85" t="s">
        <v>9075</v>
      </c>
      <c r="L85" t="s">
        <v>9534</v>
      </c>
      <c r="M85" t="s">
        <v>9077</v>
      </c>
      <c r="N85" t="s">
        <v>10919</v>
      </c>
      <c r="O85" t="s">
        <v>10873</v>
      </c>
    </row>
    <row r="86" spans="1:15">
      <c r="A86" t="s">
        <v>9535</v>
      </c>
      <c r="B86" t="s">
        <v>9517</v>
      </c>
      <c r="C86" t="s">
        <v>9536</v>
      </c>
      <c r="D86" t="s">
        <v>5982</v>
      </c>
      <c r="E86" t="s">
        <v>9530</v>
      </c>
      <c r="F86" t="s">
        <v>9537</v>
      </c>
      <c r="G86" t="s">
        <v>9538</v>
      </c>
      <c r="H86" t="s">
        <v>9539</v>
      </c>
      <c r="I86" t="s">
        <v>9522</v>
      </c>
      <c r="J86" t="s">
        <v>9074</v>
      </c>
      <c r="K86" t="s">
        <v>9075</v>
      </c>
      <c r="L86" t="s">
        <v>9540</v>
      </c>
      <c r="M86" t="s">
        <v>9077</v>
      </c>
      <c r="N86" t="s">
        <v>10919</v>
      </c>
      <c r="O86" t="s">
        <v>10873</v>
      </c>
    </row>
    <row r="87" spans="1:15">
      <c r="A87" t="s">
        <v>9541</v>
      </c>
      <c r="B87" t="s">
        <v>9517</v>
      </c>
      <c r="C87" t="s">
        <v>9542</v>
      </c>
      <c r="D87" t="s">
        <v>5982</v>
      </c>
      <c r="E87" t="s">
        <v>9084</v>
      </c>
      <c r="F87" t="s">
        <v>9543</v>
      </c>
      <c r="G87" t="s">
        <v>9544</v>
      </c>
      <c r="H87" t="s">
        <v>9521</v>
      </c>
      <c r="I87" t="s">
        <v>9522</v>
      </c>
      <c r="J87" t="s">
        <v>9088</v>
      </c>
      <c r="K87" t="s">
        <v>9075</v>
      </c>
      <c r="L87" t="s">
        <v>9523</v>
      </c>
      <c r="M87" t="s">
        <v>9077</v>
      </c>
      <c r="N87" t="s">
        <v>10917</v>
      </c>
      <c r="O87" t="s">
        <v>10918</v>
      </c>
    </row>
    <row r="88" spans="1:15">
      <c r="A88" t="s">
        <v>9545</v>
      </c>
      <c r="B88" t="s">
        <v>9517</v>
      </c>
      <c r="C88" t="s">
        <v>9546</v>
      </c>
      <c r="D88" t="s">
        <v>5982</v>
      </c>
      <c r="E88" t="s">
        <v>9547</v>
      </c>
      <c r="F88" t="s">
        <v>9548</v>
      </c>
      <c r="G88" t="s">
        <v>9549</v>
      </c>
      <c r="H88" t="s">
        <v>9533</v>
      </c>
      <c r="I88" t="s">
        <v>9522</v>
      </c>
      <c r="J88" t="s">
        <v>9074</v>
      </c>
      <c r="K88" t="s">
        <v>9075</v>
      </c>
      <c r="L88" t="s">
        <v>9550</v>
      </c>
      <c r="M88" t="s">
        <v>9077</v>
      </c>
      <c r="N88" t="s">
        <v>10917</v>
      </c>
      <c r="O88" t="s">
        <v>10918</v>
      </c>
    </row>
    <row r="89" spans="1:15">
      <c r="A89" t="s">
        <v>9551</v>
      </c>
      <c r="B89" t="s">
        <v>9517</v>
      </c>
      <c r="C89" t="s">
        <v>9552</v>
      </c>
      <c r="D89" t="s">
        <v>5982</v>
      </c>
      <c r="E89" t="s">
        <v>9530</v>
      </c>
      <c r="F89" t="s">
        <v>9553</v>
      </c>
      <c r="G89" t="s">
        <v>9554</v>
      </c>
      <c r="H89" t="s">
        <v>9533</v>
      </c>
      <c r="I89" t="s">
        <v>9522</v>
      </c>
      <c r="J89" t="s">
        <v>9074</v>
      </c>
      <c r="K89" t="s">
        <v>9075</v>
      </c>
      <c r="L89" t="s">
        <v>9534</v>
      </c>
      <c r="M89" t="s">
        <v>9077</v>
      </c>
      <c r="N89" t="s">
        <v>10917</v>
      </c>
      <c r="O89" t="s">
        <v>10918</v>
      </c>
    </row>
    <row r="90" spans="1:15">
      <c r="A90" t="s">
        <v>9555</v>
      </c>
      <c r="B90" t="s">
        <v>9517</v>
      </c>
      <c r="C90" t="s">
        <v>9556</v>
      </c>
      <c r="D90" t="s">
        <v>5982</v>
      </c>
      <c r="E90" t="s">
        <v>9084</v>
      </c>
      <c r="F90" t="s">
        <v>9557</v>
      </c>
      <c r="G90" t="s">
        <v>9558</v>
      </c>
      <c r="H90" t="s">
        <v>9559</v>
      </c>
      <c r="I90" t="s">
        <v>9522</v>
      </c>
      <c r="J90" t="s">
        <v>9088</v>
      </c>
      <c r="K90" t="s">
        <v>9075</v>
      </c>
      <c r="L90" t="s">
        <v>9560</v>
      </c>
      <c r="M90" t="s">
        <v>9077</v>
      </c>
      <c r="N90" t="s">
        <v>10917</v>
      </c>
      <c r="O90" t="s">
        <v>10918</v>
      </c>
    </row>
    <row r="91" spans="1:15">
      <c r="A91" t="s">
        <v>9561</v>
      </c>
      <c r="B91" t="s">
        <v>9517</v>
      </c>
      <c r="C91" t="s">
        <v>9562</v>
      </c>
      <c r="D91" t="s">
        <v>5982</v>
      </c>
      <c r="E91" t="s">
        <v>9084</v>
      </c>
      <c r="F91" t="s">
        <v>9563</v>
      </c>
      <c r="G91" t="s">
        <v>9564</v>
      </c>
      <c r="H91" t="s">
        <v>9533</v>
      </c>
      <c r="I91" t="s">
        <v>9522</v>
      </c>
      <c r="J91" t="s">
        <v>9088</v>
      </c>
      <c r="K91" t="s">
        <v>9075</v>
      </c>
      <c r="L91" t="s">
        <v>9565</v>
      </c>
      <c r="M91" t="s">
        <v>9077</v>
      </c>
      <c r="N91" t="s">
        <v>10917</v>
      </c>
      <c r="O91" t="s">
        <v>10918</v>
      </c>
    </row>
    <row r="92" spans="1:15">
      <c r="A92" t="s">
        <v>9566</v>
      </c>
      <c r="B92" t="s">
        <v>9517</v>
      </c>
      <c r="C92" t="s">
        <v>9567</v>
      </c>
      <c r="D92" t="s">
        <v>5982</v>
      </c>
      <c r="E92" t="s">
        <v>9568</v>
      </c>
      <c r="F92" t="s">
        <v>9569</v>
      </c>
      <c r="G92" t="s">
        <v>9570</v>
      </c>
      <c r="H92" t="s">
        <v>9571</v>
      </c>
      <c r="I92" t="s">
        <v>9522</v>
      </c>
      <c r="J92" t="s">
        <v>9074</v>
      </c>
      <c r="K92" t="s">
        <v>9075</v>
      </c>
      <c r="L92" t="s">
        <v>9572</v>
      </c>
      <c r="M92" t="s">
        <v>9077</v>
      </c>
      <c r="N92" t="s">
        <v>10917</v>
      </c>
      <c r="O92" t="s">
        <v>10918</v>
      </c>
    </row>
    <row r="93" spans="1:15">
      <c r="A93" t="s">
        <v>9573</v>
      </c>
      <c r="B93" t="s">
        <v>9517</v>
      </c>
      <c r="C93" t="s">
        <v>9574</v>
      </c>
      <c r="D93" t="s">
        <v>5982</v>
      </c>
      <c r="E93" t="s">
        <v>9547</v>
      </c>
      <c r="F93" t="s">
        <v>9575</v>
      </c>
      <c r="G93" t="s">
        <v>9576</v>
      </c>
      <c r="H93" t="s">
        <v>9521</v>
      </c>
      <c r="I93" t="s">
        <v>9260</v>
      </c>
      <c r="J93" t="s">
        <v>9074</v>
      </c>
      <c r="K93" t="s">
        <v>9075</v>
      </c>
      <c r="L93" t="s">
        <v>9577</v>
      </c>
      <c r="M93" t="s">
        <v>9077</v>
      </c>
      <c r="N93" t="s">
        <v>10920</v>
      </c>
      <c r="O93" t="s">
        <v>10921</v>
      </c>
    </row>
    <row r="94" spans="1:15">
      <c r="A94" t="s">
        <v>9578</v>
      </c>
      <c r="B94" t="s">
        <v>9517</v>
      </c>
      <c r="C94" t="s">
        <v>9579</v>
      </c>
      <c r="D94" t="s">
        <v>5982</v>
      </c>
      <c r="E94" t="s">
        <v>9547</v>
      </c>
      <c r="F94" t="s">
        <v>9580</v>
      </c>
      <c r="G94" t="s">
        <v>9581</v>
      </c>
      <c r="H94" t="s">
        <v>9559</v>
      </c>
      <c r="I94" t="s">
        <v>9260</v>
      </c>
      <c r="J94" t="s">
        <v>9074</v>
      </c>
      <c r="K94" t="s">
        <v>9075</v>
      </c>
      <c r="L94" t="s">
        <v>9582</v>
      </c>
      <c r="M94" t="s">
        <v>9077</v>
      </c>
      <c r="N94" t="s">
        <v>10920</v>
      </c>
      <c r="O94" t="s">
        <v>10921</v>
      </c>
    </row>
    <row r="95" spans="1:15">
      <c r="A95" t="s">
        <v>9583</v>
      </c>
      <c r="B95" t="s">
        <v>9517</v>
      </c>
      <c r="C95" t="s">
        <v>9584</v>
      </c>
      <c r="D95" t="s">
        <v>5982</v>
      </c>
      <c r="E95" t="s">
        <v>9084</v>
      </c>
      <c r="F95" t="s">
        <v>9585</v>
      </c>
      <c r="G95" t="s">
        <v>9586</v>
      </c>
      <c r="H95" t="s">
        <v>9533</v>
      </c>
      <c r="I95" t="s">
        <v>9522</v>
      </c>
      <c r="J95" t="s">
        <v>9088</v>
      </c>
      <c r="K95" t="s">
        <v>9075</v>
      </c>
      <c r="L95" t="s">
        <v>9565</v>
      </c>
      <c r="M95" t="s">
        <v>9077</v>
      </c>
      <c r="N95" t="s">
        <v>10919</v>
      </c>
      <c r="O95" t="s">
        <v>10922</v>
      </c>
    </row>
    <row r="96" spans="1:15">
      <c r="A96" t="s">
        <v>9587</v>
      </c>
      <c r="B96" t="s">
        <v>9588</v>
      </c>
      <c r="C96" t="s">
        <v>9589</v>
      </c>
      <c r="D96" t="s">
        <v>5982</v>
      </c>
      <c r="E96" t="s">
        <v>9084</v>
      </c>
      <c r="F96" t="s">
        <v>9590</v>
      </c>
      <c r="G96" t="s">
        <v>9591</v>
      </c>
      <c r="H96" t="s">
        <v>9592</v>
      </c>
      <c r="I96" t="s">
        <v>9302</v>
      </c>
      <c r="J96" t="s">
        <v>9088</v>
      </c>
      <c r="K96" t="s">
        <v>9075</v>
      </c>
      <c r="L96" t="s">
        <v>9593</v>
      </c>
      <c r="M96" t="s">
        <v>9077</v>
      </c>
      <c r="N96" t="s">
        <v>10923</v>
      </c>
      <c r="O96" t="s">
        <v>10924</v>
      </c>
    </row>
    <row r="97" spans="1:15">
      <c r="A97" t="s">
        <v>9594</v>
      </c>
      <c r="B97" t="s">
        <v>9588</v>
      </c>
      <c r="C97" t="s">
        <v>9595</v>
      </c>
      <c r="D97" t="s">
        <v>5982</v>
      </c>
      <c r="E97" t="s">
        <v>9596</v>
      </c>
      <c r="F97" t="s">
        <v>9597</v>
      </c>
      <c r="G97" t="s">
        <v>9598</v>
      </c>
      <c r="H97" t="s">
        <v>9599</v>
      </c>
      <c r="I97" t="s">
        <v>9302</v>
      </c>
      <c r="J97" t="s">
        <v>9074</v>
      </c>
      <c r="K97" t="s">
        <v>9075</v>
      </c>
      <c r="L97" t="s">
        <v>9600</v>
      </c>
      <c r="M97" t="s">
        <v>9077</v>
      </c>
      <c r="N97" t="s">
        <v>10925</v>
      </c>
      <c r="O97" t="s">
        <v>10926</v>
      </c>
    </row>
    <row r="98" spans="1:15">
      <c r="A98" t="s">
        <v>9601</v>
      </c>
      <c r="B98" t="s">
        <v>9588</v>
      </c>
      <c r="C98" t="s">
        <v>9602</v>
      </c>
      <c r="D98" t="s">
        <v>5982</v>
      </c>
      <c r="E98" t="s">
        <v>9596</v>
      </c>
      <c r="F98" t="s">
        <v>9603</v>
      </c>
      <c r="G98" t="s">
        <v>9604</v>
      </c>
      <c r="H98" t="s">
        <v>9599</v>
      </c>
      <c r="I98" t="s">
        <v>9302</v>
      </c>
      <c r="J98" t="s">
        <v>9074</v>
      </c>
      <c r="K98" t="s">
        <v>9075</v>
      </c>
      <c r="L98" t="s">
        <v>9600</v>
      </c>
      <c r="M98" t="s">
        <v>9077</v>
      </c>
      <c r="N98" t="s">
        <v>10925</v>
      </c>
      <c r="O98" t="s">
        <v>10926</v>
      </c>
    </row>
    <row r="99" spans="1:15">
      <c r="A99" t="s">
        <v>9605</v>
      </c>
      <c r="B99" t="s">
        <v>9588</v>
      </c>
      <c r="C99" t="s">
        <v>9606</v>
      </c>
      <c r="D99" t="s">
        <v>5982</v>
      </c>
      <c r="E99" t="s">
        <v>9596</v>
      </c>
      <c r="F99" t="s">
        <v>9607</v>
      </c>
      <c r="G99" t="s">
        <v>9608</v>
      </c>
      <c r="H99" t="s">
        <v>9599</v>
      </c>
      <c r="I99" t="s">
        <v>9302</v>
      </c>
      <c r="J99" t="s">
        <v>9074</v>
      </c>
      <c r="K99" t="s">
        <v>9075</v>
      </c>
      <c r="L99" t="s">
        <v>9600</v>
      </c>
      <c r="M99" t="s">
        <v>9077</v>
      </c>
      <c r="N99" t="s">
        <v>10925</v>
      </c>
      <c r="O99" t="s">
        <v>10926</v>
      </c>
    </row>
    <row r="100" spans="1:15">
      <c r="A100" t="s">
        <v>9609</v>
      </c>
      <c r="B100" t="s">
        <v>9588</v>
      </c>
      <c r="C100" t="s">
        <v>9610</v>
      </c>
      <c r="D100" t="s">
        <v>5982</v>
      </c>
      <c r="E100" t="s">
        <v>9084</v>
      </c>
      <c r="F100" t="s">
        <v>9611</v>
      </c>
      <c r="G100" t="s">
        <v>9612</v>
      </c>
      <c r="H100" t="s">
        <v>9592</v>
      </c>
      <c r="I100" t="s">
        <v>9302</v>
      </c>
      <c r="J100" t="s">
        <v>9088</v>
      </c>
      <c r="K100" t="s">
        <v>9075</v>
      </c>
      <c r="L100" t="s">
        <v>9593</v>
      </c>
      <c r="M100" t="s">
        <v>9077</v>
      </c>
      <c r="N100" t="s">
        <v>10927</v>
      </c>
      <c r="O100" t="s">
        <v>10928</v>
      </c>
    </row>
    <row r="101" spans="1:15">
      <c r="A101" t="s">
        <v>9613</v>
      </c>
      <c r="B101" t="s">
        <v>9588</v>
      </c>
      <c r="C101" t="s">
        <v>9614</v>
      </c>
      <c r="D101" t="s">
        <v>5982</v>
      </c>
      <c r="E101" t="s">
        <v>9084</v>
      </c>
      <c r="F101" t="s">
        <v>9615</v>
      </c>
      <c r="G101" t="s">
        <v>9616</v>
      </c>
      <c r="H101" t="s">
        <v>9592</v>
      </c>
      <c r="I101" t="s">
        <v>9302</v>
      </c>
      <c r="J101" t="s">
        <v>9088</v>
      </c>
      <c r="K101" t="s">
        <v>9075</v>
      </c>
      <c r="L101" t="s">
        <v>9593</v>
      </c>
      <c r="M101" t="s">
        <v>9077</v>
      </c>
      <c r="N101" t="s">
        <v>10927</v>
      </c>
      <c r="O101" t="s">
        <v>10928</v>
      </c>
    </row>
    <row r="102" spans="1:15">
      <c r="A102" t="s">
        <v>9617</v>
      </c>
      <c r="B102" t="s">
        <v>9588</v>
      </c>
      <c r="C102" t="s">
        <v>9618</v>
      </c>
      <c r="D102" t="s">
        <v>5982</v>
      </c>
      <c r="E102" t="s">
        <v>9084</v>
      </c>
      <c r="F102" t="s">
        <v>9619</v>
      </c>
      <c r="G102" t="s">
        <v>9620</v>
      </c>
      <c r="H102" t="s">
        <v>9592</v>
      </c>
      <c r="I102" t="s">
        <v>9302</v>
      </c>
      <c r="J102" t="s">
        <v>9088</v>
      </c>
      <c r="K102" t="s">
        <v>9075</v>
      </c>
      <c r="L102" t="s">
        <v>9593</v>
      </c>
      <c r="M102" t="s">
        <v>9077</v>
      </c>
      <c r="N102" t="s">
        <v>10927</v>
      </c>
      <c r="O102" t="s">
        <v>10928</v>
      </c>
    </row>
    <row r="103" spans="1:15">
      <c r="A103" t="s">
        <v>9621</v>
      </c>
      <c r="B103" t="s">
        <v>9622</v>
      </c>
      <c r="C103" t="s">
        <v>9623</v>
      </c>
      <c r="D103" t="s">
        <v>5982</v>
      </c>
      <c r="E103" t="s">
        <v>9084</v>
      </c>
      <c r="F103" t="s">
        <v>9624</v>
      </c>
      <c r="G103" t="s">
        <v>9625</v>
      </c>
      <c r="H103" t="s">
        <v>9626</v>
      </c>
      <c r="I103" t="s">
        <v>9073</v>
      </c>
      <c r="J103" t="s">
        <v>9088</v>
      </c>
      <c r="K103" t="s">
        <v>9075</v>
      </c>
      <c r="L103" t="s">
        <v>9627</v>
      </c>
      <c r="M103" t="s">
        <v>9077</v>
      </c>
      <c r="N103" t="s">
        <v>10929</v>
      </c>
      <c r="O103" t="s">
        <v>10930</v>
      </c>
    </row>
    <row r="104" spans="1:15">
      <c r="A104" t="s">
        <v>9628</v>
      </c>
      <c r="B104" t="s">
        <v>9622</v>
      </c>
      <c r="C104" t="s">
        <v>9629</v>
      </c>
      <c r="D104" t="s">
        <v>5982</v>
      </c>
      <c r="E104" t="s">
        <v>9084</v>
      </c>
      <c r="F104" t="s">
        <v>9630</v>
      </c>
      <c r="G104" t="s">
        <v>9631</v>
      </c>
      <c r="H104" t="s">
        <v>9632</v>
      </c>
      <c r="I104" t="s">
        <v>9073</v>
      </c>
      <c r="J104" t="s">
        <v>9088</v>
      </c>
      <c r="K104" t="s">
        <v>9075</v>
      </c>
      <c r="L104" t="s">
        <v>9633</v>
      </c>
      <c r="M104" t="s">
        <v>9077</v>
      </c>
      <c r="N104" t="s">
        <v>10929</v>
      </c>
      <c r="O104" t="s">
        <v>10930</v>
      </c>
    </row>
    <row r="105" spans="1:15">
      <c r="A105" t="s">
        <v>9634</v>
      </c>
      <c r="B105" t="s">
        <v>9622</v>
      </c>
      <c r="C105" t="s">
        <v>9635</v>
      </c>
      <c r="D105" t="s">
        <v>5982</v>
      </c>
      <c r="E105" t="s">
        <v>9084</v>
      </c>
      <c r="F105" t="s">
        <v>9636</v>
      </c>
      <c r="G105" t="s">
        <v>9637</v>
      </c>
      <c r="H105" t="s">
        <v>9626</v>
      </c>
      <c r="I105" t="s">
        <v>9073</v>
      </c>
      <c r="J105" t="s">
        <v>9088</v>
      </c>
      <c r="K105" t="s">
        <v>9075</v>
      </c>
      <c r="L105" t="s">
        <v>9627</v>
      </c>
      <c r="M105" t="s">
        <v>9077</v>
      </c>
      <c r="N105" t="s">
        <v>10929</v>
      </c>
      <c r="O105" t="s">
        <v>10930</v>
      </c>
    </row>
    <row r="106" spans="1:15">
      <c r="A106" t="s">
        <v>9638</v>
      </c>
      <c r="B106" t="s">
        <v>9622</v>
      </c>
      <c r="C106" t="s">
        <v>9639</v>
      </c>
      <c r="D106" t="s">
        <v>5982</v>
      </c>
      <c r="E106" t="s">
        <v>9084</v>
      </c>
      <c r="F106" t="s">
        <v>9640</v>
      </c>
      <c r="G106" t="s">
        <v>9641</v>
      </c>
      <c r="H106" t="s">
        <v>9626</v>
      </c>
      <c r="I106" t="s">
        <v>9073</v>
      </c>
      <c r="J106" t="s">
        <v>9088</v>
      </c>
      <c r="K106" t="s">
        <v>9075</v>
      </c>
      <c r="L106" t="s">
        <v>9627</v>
      </c>
      <c r="M106" t="s">
        <v>9077</v>
      </c>
      <c r="N106" t="s">
        <v>10929</v>
      </c>
      <c r="O106" t="s">
        <v>10930</v>
      </c>
    </row>
    <row r="107" spans="1:15">
      <c r="A107" t="s">
        <v>9642</v>
      </c>
      <c r="B107" t="s">
        <v>9622</v>
      </c>
      <c r="C107" t="s">
        <v>9643</v>
      </c>
      <c r="D107" t="s">
        <v>5982</v>
      </c>
      <c r="E107" t="s">
        <v>9084</v>
      </c>
      <c r="F107" t="s">
        <v>9644</v>
      </c>
      <c r="G107" t="s">
        <v>9645</v>
      </c>
      <c r="H107" t="s">
        <v>9646</v>
      </c>
      <c r="I107" t="s">
        <v>9073</v>
      </c>
      <c r="J107" t="s">
        <v>9088</v>
      </c>
      <c r="K107" t="s">
        <v>9075</v>
      </c>
      <c r="L107" t="s">
        <v>9647</v>
      </c>
      <c r="M107" t="s">
        <v>9077</v>
      </c>
      <c r="N107" t="s">
        <v>10929</v>
      </c>
      <c r="O107" t="s">
        <v>10930</v>
      </c>
    </row>
    <row r="108" spans="1:15">
      <c r="A108" t="s">
        <v>9648</v>
      </c>
      <c r="B108" t="s">
        <v>9622</v>
      </c>
      <c r="C108" t="s">
        <v>9649</v>
      </c>
      <c r="D108" t="s">
        <v>5982</v>
      </c>
      <c r="E108" t="s">
        <v>9084</v>
      </c>
      <c r="F108" t="s">
        <v>9650</v>
      </c>
      <c r="G108" t="s">
        <v>9651</v>
      </c>
      <c r="H108" t="s">
        <v>9626</v>
      </c>
      <c r="I108" t="s">
        <v>9073</v>
      </c>
      <c r="J108" t="s">
        <v>9088</v>
      </c>
      <c r="K108" t="s">
        <v>9075</v>
      </c>
      <c r="L108" t="s">
        <v>9627</v>
      </c>
      <c r="M108" t="s">
        <v>9077</v>
      </c>
      <c r="N108" t="s">
        <v>10929</v>
      </c>
      <c r="O108" t="s">
        <v>10930</v>
      </c>
    </row>
    <row r="109" spans="1:15">
      <c r="A109" t="s">
        <v>9652</v>
      </c>
      <c r="B109" t="s">
        <v>9622</v>
      </c>
      <c r="C109" t="s">
        <v>9653</v>
      </c>
      <c r="D109" t="s">
        <v>5982</v>
      </c>
      <c r="E109" t="s">
        <v>9084</v>
      </c>
      <c r="F109" t="s">
        <v>9654</v>
      </c>
      <c r="G109" t="s">
        <v>9655</v>
      </c>
      <c r="H109" t="s">
        <v>9626</v>
      </c>
      <c r="I109" t="s">
        <v>9073</v>
      </c>
      <c r="J109" t="s">
        <v>9088</v>
      </c>
      <c r="K109" t="s">
        <v>9075</v>
      </c>
      <c r="L109" t="s">
        <v>9627</v>
      </c>
      <c r="M109" t="s">
        <v>9077</v>
      </c>
      <c r="N109" t="s">
        <v>10929</v>
      </c>
      <c r="O109" t="s">
        <v>10930</v>
      </c>
    </row>
    <row r="110" spans="1:15">
      <c r="A110" t="s">
        <v>9656</v>
      </c>
      <c r="B110" t="s">
        <v>9622</v>
      </c>
      <c r="C110" t="s">
        <v>9657</v>
      </c>
      <c r="D110" t="s">
        <v>5982</v>
      </c>
      <c r="E110" t="s">
        <v>9084</v>
      </c>
      <c r="F110" t="s">
        <v>9658</v>
      </c>
      <c r="G110" t="s">
        <v>9659</v>
      </c>
      <c r="H110" t="s">
        <v>9626</v>
      </c>
      <c r="I110" t="s">
        <v>9073</v>
      </c>
      <c r="J110" t="s">
        <v>9088</v>
      </c>
      <c r="K110" t="s">
        <v>9075</v>
      </c>
      <c r="L110" t="s">
        <v>9627</v>
      </c>
      <c r="M110" t="s">
        <v>9077</v>
      </c>
      <c r="N110" t="s">
        <v>10929</v>
      </c>
      <c r="O110" t="s">
        <v>10930</v>
      </c>
    </row>
    <row r="111" spans="1:15">
      <c r="A111" t="s">
        <v>9660</v>
      </c>
      <c r="B111" t="s">
        <v>9622</v>
      </c>
      <c r="C111" t="s">
        <v>9661</v>
      </c>
      <c r="D111" t="s">
        <v>5982</v>
      </c>
      <c r="E111" t="s">
        <v>9084</v>
      </c>
      <c r="F111" t="s">
        <v>9662</v>
      </c>
      <c r="G111" t="s">
        <v>9663</v>
      </c>
      <c r="H111" t="s">
        <v>9626</v>
      </c>
      <c r="I111" t="s">
        <v>9073</v>
      </c>
      <c r="J111" t="s">
        <v>9088</v>
      </c>
      <c r="K111" t="s">
        <v>9075</v>
      </c>
      <c r="L111" t="s">
        <v>9627</v>
      </c>
      <c r="M111" t="s">
        <v>9077</v>
      </c>
      <c r="N111" t="s">
        <v>10929</v>
      </c>
      <c r="O111" t="s">
        <v>10930</v>
      </c>
    </row>
    <row r="112" spans="1:15">
      <c r="A112" t="s">
        <v>9664</v>
      </c>
      <c r="B112" t="s">
        <v>9622</v>
      </c>
      <c r="C112" t="s">
        <v>9665</v>
      </c>
      <c r="D112" t="s">
        <v>5982</v>
      </c>
      <c r="E112" t="s">
        <v>9666</v>
      </c>
      <c r="F112" t="s">
        <v>9667</v>
      </c>
      <c r="G112" t="s">
        <v>9668</v>
      </c>
      <c r="H112" t="s">
        <v>9626</v>
      </c>
      <c r="I112" t="s">
        <v>9073</v>
      </c>
      <c r="J112" t="s">
        <v>9074</v>
      </c>
      <c r="K112" t="s">
        <v>9075</v>
      </c>
      <c r="L112" t="s">
        <v>9669</v>
      </c>
      <c r="M112" t="s">
        <v>9077</v>
      </c>
      <c r="N112" t="s">
        <v>10929</v>
      </c>
      <c r="O112" t="s">
        <v>10930</v>
      </c>
    </row>
    <row r="113" spans="1:15">
      <c r="A113" t="s">
        <v>9670</v>
      </c>
      <c r="B113" t="s">
        <v>9671</v>
      </c>
      <c r="C113" t="s">
        <v>9672</v>
      </c>
      <c r="D113" t="s">
        <v>5982</v>
      </c>
      <c r="E113" t="s">
        <v>9084</v>
      </c>
      <c r="F113" t="s">
        <v>9673</v>
      </c>
      <c r="G113" t="s">
        <v>9674</v>
      </c>
      <c r="H113" t="s">
        <v>9675</v>
      </c>
      <c r="I113" t="s">
        <v>9676</v>
      </c>
      <c r="J113" t="s">
        <v>9088</v>
      </c>
      <c r="K113" t="s">
        <v>9075</v>
      </c>
      <c r="L113" t="s">
        <v>9677</v>
      </c>
      <c r="M113" t="s">
        <v>9077</v>
      </c>
      <c r="N113" t="s">
        <v>10931</v>
      </c>
      <c r="O113" t="s">
        <v>10932</v>
      </c>
    </row>
    <row r="114" spans="1:15">
      <c r="A114" t="s">
        <v>9678</v>
      </c>
      <c r="B114" t="s">
        <v>9671</v>
      </c>
      <c r="C114" t="s">
        <v>9679</v>
      </c>
      <c r="D114" t="s">
        <v>5982</v>
      </c>
      <c r="E114" t="s">
        <v>9084</v>
      </c>
      <c r="F114" t="s">
        <v>9680</v>
      </c>
      <c r="G114" t="s">
        <v>9681</v>
      </c>
      <c r="H114" t="s">
        <v>9682</v>
      </c>
      <c r="I114" t="s">
        <v>9676</v>
      </c>
      <c r="J114" t="s">
        <v>9088</v>
      </c>
      <c r="K114" t="s">
        <v>9075</v>
      </c>
      <c r="L114" t="s">
        <v>9683</v>
      </c>
      <c r="M114" t="s">
        <v>9077</v>
      </c>
      <c r="N114" t="s">
        <v>10931</v>
      </c>
      <c r="O114" t="s">
        <v>10932</v>
      </c>
    </row>
    <row r="115" spans="1:15">
      <c r="A115" t="s">
        <v>9684</v>
      </c>
      <c r="B115" t="s">
        <v>9671</v>
      </c>
      <c r="C115" t="s">
        <v>9685</v>
      </c>
      <c r="D115" t="s">
        <v>5982</v>
      </c>
      <c r="E115" t="s">
        <v>9686</v>
      </c>
      <c r="F115" t="s">
        <v>9687</v>
      </c>
      <c r="G115" t="s">
        <v>9688</v>
      </c>
      <c r="H115" t="s">
        <v>9682</v>
      </c>
      <c r="I115" t="s">
        <v>9676</v>
      </c>
      <c r="J115" t="s">
        <v>9074</v>
      </c>
      <c r="K115" t="s">
        <v>9075</v>
      </c>
      <c r="L115" t="s">
        <v>9689</v>
      </c>
      <c r="M115" t="s">
        <v>9077</v>
      </c>
      <c r="N115" t="s">
        <v>10931</v>
      </c>
      <c r="O115" t="s">
        <v>10932</v>
      </c>
    </row>
    <row r="116" spans="1:15">
      <c r="A116" t="s">
        <v>9690</v>
      </c>
      <c r="B116" t="s">
        <v>9671</v>
      </c>
      <c r="C116" t="s">
        <v>9691</v>
      </c>
      <c r="D116" t="s">
        <v>5982</v>
      </c>
      <c r="E116" t="s">
        <v>9084</v>
      </c>
      <c r="F116" t="s">
        <v>9692</v>
      </c>
      <c r="G116" t="s">
        <v>9693</v>
      </c>
      <c r="H116" t="s">
        <v>9694</v>
      </c>
      <c r="I116" t="s">
        <v>9676</v>
      </c>
      <c r="J116" t="s">
        <v>9088</v>
      </c>
      <c r="K116" t="s">
        <v>9075</v>
      </c>
      <c r="L116" t="s">
        <v>9695</v>
      </c>
      <c r="M116" t="s">
        <v>9077</v>
      </c>
      <c r="N116" t="s">
        <v>10931</v>
      </c>
      <c r="O116" t="s">
        <v>10932</v>
      </c>
    </row>
    <row r="117" spans="1:15">
      <c r="A117" t="s">
        <v>9696</v>
      </c>
      <c r="B117" t="s">
        <v>9671</v>
      </c>
      <c r="C117" t="s">
        <v>9697</v>
      </c>
      <c r="D117" t="s">
        <v>5982</v>
      </c>
      <c r="E117" t="s">
        <v>9698</v>
      </c>
      <c r="F117" t="s">
        <v>9699</v>
      </c>
      <c r="G117" t="s">
        <v>9700</v>
      </c>
      <c r="H117" t="s">
        <v>9701</v>
      </c>
      <c r="I117" t="s">
        <v>9676</v>
      </c>
      <c r="J117" t="s">
        <v>9074</v>
      </c>
      <c r="K117" t="s">
        <v>9075</v>
      </c>
      <c r="L117" t="s">
        <v>9702</v>
      </c>
      <c r="M117" t="s">
        <v>9077</v>
      </c>
      <c r="N117" t="s">
        <v>10931</v>
      </c>
      <c r="O117" t="s">
        <v>10932</v>
      </c>
    </row>
    <row r="118" spans="1:15">
      <c r="A118" t="s">
        <v>9703</v>
      </c>
      <c r="B118" t="s">
        <v>9671</v>
      </c>
      <c r="C118" t="s">
        <v>9704</v>
      </c>
      <c r="D118" t="s">
        <v>5982</v>
      </c>
      <c r="E118" t="s">
        <v>9705</v>
      </c>
      <c r="F118" t="s">
        <v>9706</v>
      </c>
      <c r="G118" t="s">
        <v>9707</v>
      </c>
      <c r="H118" t="s">
        <v>9708</v>
      </c>
      <c r="I118" t="s">
        <v>9676</v>
      </c>
      <c r="J118" t="s">
        <v>9074</v>
      </c>
      <c r="K118" t="s">
        <v>9075</v>
      </c>
      <c r="L118" t="s">
        <v>9709</v>
      </c>
      <c r="M118" t="s">
        <v>9077</v>
      </c>
      <c r="N118" t="s">
        <v>10931</v>
      </c>
      <c r="O118" t="s">
        <v>10932</v>
      </c>
    </row>
    <row r="119" spans="1:15">
      <c r="A119" t="s">
        <v>9710</v>
      </c>
      <c r="B119" t="s">
        <v>9671</v>
      </c>
      <c r="C119" t="s">
        <v>9711</v>
      </c>
      <c r="D119" t="s">
        <v>5982</v>
      </c>
      <c r="E119" t="s">
        <v>9705</v>
      </c>
      <c r="F119" t="s">
        <v>9712</v>
      </c>
      <c r="G119" t="s">
        <v>9713</v>
      </c>
      <c r="H119" t="s">
        <v>9708</v>
      </c>
      <c r="I119" t="s">
        <v>9676</v>
      </c>
      <c r="J119" t="s">
        <v>9074</v>
      </c>
      <c r="K119" t="s">
        <v>9075</v>
      </c>
      <c r="L119" t="s">
        <v>9709</v>
      </c>
      <c r="M119" t="s">
        <v>9077</v>
      </c>
      <c r="N119" t="s">
        <v>10931</v>
      </c>
      <c r="O119" t="s">
        <v>10932</v>
      </c>
    </row>
    <row r="120" spans="1:15">
      <c r="A120" t="s">
        <v>9714</v>
      </c>
      <c r="B120" t="s">
        <v>9671</v>
      </c>
      <c r="C120" t="s">
        <v>9715</v>
      </c>
      <c r="D120" t="s">
        <v>5982</v>
      </c>
      <c r="E120" t="s">
        <v>9705</v>
      </c>
      <c r="F120" t="s">
        <v>9716</v>
      </c>
      <c r="G120" t="s">
        <v>9717</v>
      </c>
      <c r="H120" t="s">
        <v>9708</v>
      </c>
      <c r="I120" t="s">
        <v>9676</v>
      </c>
      <c r="J120" t="s">
        <v>9074</v>
      </c>
      <c r="K120" t="s">
        <v>9075</v>
      </c>
      <c r="L120" t="s">
        <v>9709</v>
      </c>
      <c r="M120" t="s">
        <v>9077</v>
      </c>
      <c r="N120" t="s">
        <v>10931</v>
      </c>
      <c r="O120" t="s">
        <v>10932</v>
      </c>
    </row>
    <row r="121" spans="1:15">
      <c r="A121" t="s">
        <v>9718</v>
      </c>
      <c r="B121" t="s">
        <v>9671</v>
      </c>
      <c r="C121" t="s">
        <v>9719</v>
      </c>
      <c r="D121" t="s">
        <v>5982</v>
      </c>
      <c r="E121" t="s">
        <v>9084</v>
      </c>
      <c r="F121" t="s">
        <v>9720</v>
      </c>
      <c r="G121" t="s">
        <v>9721</v>
      </c>
      <c r="H121" t="s">
        <v>9694</v>
      </c>
      <c r="I121" t="s">
        <v>9676</v>
      </c>
      <c r="J121" t="s">
        <v>9088</v>
      </c>
      <c r="K121" t="s">
        <v>9075</v>
      </c>
      <c r="L121" t="s">
        <v>9695</v>
      </c>
      <c r="M121" t="s">
        <v>9077</v>
      </c>
      <c r="N121" t="s">
        <v>10931</v>
      </c>
      <c r="O121" t="s">
        <v>10932</v>
      </c>
    </row>
    <row r="122" spans="1:15">
      <c r="A122" t="s">
        <v>9722</v>
      </c>
      <c r="B122" t="s">
        <v>9671</v>
      </c>
      <c r="C122" t="s">
        <v>9723</v>
      </c>
      <c r="D122" t="s">
        <v>5982</v>
      </c>
      <c r="E122" t="s">
        <v>9084</v>
      </c>
      <c r="F122" t="s">
        <v>9724</v>
      </c>
      <c r="G122" t="s">
        <v>9725</v>
      </c>
      <c r="H122" t="s">
        <v>9726</v>
      </c>
      <c r="I122" t="s">
        <v>9676</v>
      </c>
      <c r="J122" t="s">
        <v>9088</v>
      </c>
      <c r="K122" t="s">
        <v>9075</v>
      </c>
      <c r="L122" t="s">
        <v>9727</v>
      </c>
      <c r="M122" t="s">
        <v>9077</v>
      </c>
      <c r="N122" t="s">
        <v>10931</v>
      </c>
      <c r="O122" t="s">
        <v>10932</v>
      </c>
    </row>
    <row r="123" spans="1:15">
      <c r="A123" t="s">
        <v>9728</v>
      </c>
      <c r="B123" t="s">
        <v>9671</v>
      </c>
      <c r="C123" t="s">
        <v>9729</v>
      </c>
      <c r="D123" t="s">
        <v>5982</v>
      </c>
      <c r="E123" t="s">
        <v>9084</v>
      </c>
      <c r="F123" t="s">
        <v>9730</v>
      </c>
      <c r="G123" t="s">
        <v>9731</v>
      </c>
      <c r="H123" t="s">
        <v>9682</v>
      </c>
      <c r="I123" t="s">
        <v>9676</v>
      </c>
      <c r="J123" t="s">
        <v>9088</v>
      </c>
      <c r="K123" t="s">
        <v>9075</v>
      </c>
      <c r="L123" t="s">
        <v>9683</v>
      </c>
      <c r="M123" t="s">
        <v>9077</v>
      </c>
      <c r="N123" t="s">
        <v>10931</v>
      </c>
      <c r="O123" t="s">
        <v>10932</v>
      </c>
    </row>
    <row r="124" spans="1:15">
      <c r="A124" t="s">
        <v>9732</v>
      </c>
      <c r="B124" t="s">
        <v>9671</v>
      </c>
      <c r="C124" t="s">
        <v>9733</v>
      </c>
      <c r="D124" t="s">
        <v>5982</v>
      </c>
      <c r="E124" t="s">
        <v>9084</v>
      </c>
      <c r="F124" t="s">
        <v>9734</v>
      </c>
      <c r="G124" t="s">
        <v>9735</v>
      </c>
      <c r="H124" t="s">
        <v>9675</v>
      </c>
      <c r="I124" t="s">
        <v>9676</v>
      </c>
      <c r="J124" t="s">
        <v>9088</v>
      </c>
      <c r="K124" t="s">
        <v>9075</v>
      </c>
      <c r="L124" t="s">
        <v>9677</v>
      </c>
      <c r="M124" t="s">
        <v>9077</v>
      </c>
      <c r="N124" t="s">
        <v>10931</v>
      </c>
      <c r="O124" t="s">
        <v>10932</v>
      </c>
    </row>
    <row r="125" spans="1:15">
      <c r="A125" t="s">
        <v>9736</v>
      </c>
      <c r="B125" t="s">
        <v>9671</v>
      </c>
      <c r="C125" t="s">
        <v>9737</v>
      </c>
      <c r="D125" t="s">
        <v>5982</v>
      </c>
      <c r="E125" t="s">
        <v>9084</v>
      </c>
      <c r="F125" t="s">
        <v>9738</v>
      </c>
      <c r="G125" t="s">
        <v>9739</v>
      </c>
      <c r="H125" t="s">
        <v>9740</v>
      </c>
      <c r="I125" t="s">
        <v>9676</v>
      </c>
      <c r="J125" t="s">
        <v>9088</v>
      </c>
      <c r="K125" t="s">
        <v>9075</v>
      </c>
      <c r="L125" t="s">
        <v>9741</v>
      </c>
      <c r="M125" t="s">
        <v>9077</v>
      </c>
      <c r="N125" t="s">
        <v>10931</v>
      </c>
      <c r="O125" t="s">
        <v>10932</v>
      </c>
    </row>
    <row r="126" spans="1:15">
      <c r="A126" t="s">
        <v>9742</v>
      </c>
      <c r="B126" t="s">
        <v>9671</v>
      </c>
      <c r="C126" t="s">
        <v>9743</v>
      </c>
      <c r="D126" t="s">
        <v>5982</v>
      </c>
      <c r="E126" t="s">
        <v>9084</v>
      </c>
      <c r="F126" t="s">
        <v>9744</v>
      </c>
      <c r="G126" t="s">
        <v>9745</v>
      </c>
      <c r="H126" t="s">
        <v>9746</v>
      </c>
      <c r="I126" t="s">
        <v>9676</v>
      </c>
      <c r="J126" t="s">
        <v>9176</v>
      </c>
      <c r="K126" t="s">
        <v>9075</v>
      </c>
      <c r="L126" t="s">
        <v>9747</v>
      </c>
      <c r="M126" t="s">
        <v>9077</v>
      </c>
      <c r="N126" t="s">
        <v>10931</v>
      </c>
      <c r="O126" t="s">
        <v>10932</v>
      </c>
    </row>
    <row r="127" spans="1:15">
      <c r="A127" t="s">
        <v>9748</v>
      </c>
      <c r="B127" t="s">
        <v>9749</v>
      </c>
      <c r="C127" t="s">
        <v>9750</v>
      </c>
      <c r="D127" t="s">
        <v>5982</v>
      </c>
      <c r="E127" t="s">
        <v>9084</v>
      </c>
      <c r="F127" t="s">
        <v>9751</v>
      </c>
      <c r="G127" t="s">
        <v>9752</v>
      </c>
      <c r="H127" t="s">
        <v>9753</v>
      </c>
      <c r="I127" t="s">
        <v>9754</v>
      </c>
      <c r="J127" t="s">
        <v>9088</v>
      </c>
      <c r="K127" t="s">
        <v>9075</v>
      </c>
      <c r="L127" t="s">
        <v>9755</v>
      </c>
      <c r="M127" t="s">
        <v>9077</v>
      </c>
      <c r="N127" t="s">
        <v>10933</v>
      </c>
      <c r="O127" t="s">
        <v>10934</v>
      </c>
    </row>
    <row r="128" spans="1:15">
      <c r="A128" t="s">
        <v>9756</v>
      </c>
      <c r="B128" t="s">
        <v>9749</v>
      </c>
      <c r="C128" t="s">
        <v>9757</v>
      </c>
      <c r="D128" t="s">
        <v>9245</v>
      </c>
      <c r="E128" t="s">
        <v>9084</v>
      </c>
      <c r="F128" t="s">
        <v>9758</v>
      </c>
      <c r="G128" t="s">
        <v>9759</v>
      </c>
      <c r="H128" t="s">
        <v>9753</v>
      </c>
      <c r="I128" t="s">
        <v>9754</v>
      </c>
      <c r="J128" t="s">
        <v>9176</v>
      </c>
      <c r="K128" t="s">
        <v>9075</v>
      </c>
      <c r="L128" t="s">
        <v>9760</v>
      </c>
      <c r="M128" t="s">
        <v>9077</v>
      </c>
      <c r="N128" t="s">
        <v>10933</v>
      </c>
      <c r="O128" t="s">
        <v>10934</v>
      </c>
    </row>
    <row r="129" spans="1:15">
      <c r="A129" t="s">
        <v>9761</v>
      </c>
      <c r="B129" t="s">
        <v>9762</v>
      </c>
      <c r="C129" t="s">
        <v>9763</v>
      </c>
      <c r="D129" t="s">
        <v>5982</v>
      </c>
      <c r="E129" t="s">
        <v>9084</v>
      </c>
      <c r="F129" t="s">
        <v>9764</v>
      </c>
      <c r="G129" t="s">
        <v>9765</v>
      </c>
      <c r="H129" t="s">
        <v>9766</v>
      </c>
      <c r="I129" t="s">
        <v>9153</v>
      </c>
      <c r="J129" t="s">
        <v>9088</v>
      </c>
      <c r="K129" t="s">
        <v>9075</v>
      </c>
      <c r="L129" t="s">
        <v>9767</v>
      </c>
      <c r="M129" t="s">
        <v>9077</v>
      </c>
      <c r="N129" t="s">
        <v>10607</v>
      </c>
      <c r="O129" t="s">
        <v>10935</v>
      </c>
    </row>
    <row r="130" spans="1:15">
      <c r="A130" t="s">
        <v>9768</v>
      </c>
      <c r="B130" t="s">
        <v>9762</v>
      </c>
      <c r="C130" t="s">
        <v>9769</v>
      </c>
      <c r="D130" t="s">
        <v>5982</v>
      </c>
      <c r="E130" t="s">
        <v>9084</v>
      </c>
      <c r="F130" t="s">
        <v>9770</v>
      </c>
      <c r="G130" t="s">
        <v>9771</v>
      </c>
      <c r="H130" t="s">
        <v>9766</v>
      </c>
      <c r="I130" t="s">
        <v>9153</v>
      </c>
      <c r="J130" t="s">
        <v>9088</v>
      </c>
      <c r="K130" t="s">
        <v>9075</v>
      </c>
      <c r="L130" t="s">
        <v>9767</v>
      </c>
      <c r="M130" t="s">
        <v>9077</v>
      </c>
      <c r="N130" t="s">
        <v>10607</v>
      </c>
      <c r="O130" t="s">
        <v>10935</v>
      </c>
    </row>
    <row r="131" spans="1:15">
      <c r="A131" t="s">
        <v>9772</v>
      </c>
      <c r="B131" t="s">
        <v>9762</v>
      </c>
      <c r="C131" t="s">
        <v>9773</v>
      </c>
      <c r="D131" t="s">
        <v>9245</v>
      </c>
      <c r="E131" t="s">
        <v>9084</v>
      </c>
      <c r="F131" t="s">
        <v>9774</v>
      </c>
      <c r="G131" t="s">
        <v>9775</v>
      </c>
      <c r="H131" t="s">
        <v>9766</v>
      </c>
      <c r="I131" t="s">
        <v>9153</v>
      </c>
      <c r="J131" t="s">
        <v>9088</v>
      </c>
      <c r="K131" t="s">
        <v>9075</v>
      </c>
      <c r="L131" t="s">
        <v>9767</v>
      </c>
      <c r="M131" t="s">
        <v>9077</v>
      </c>
      <c r="N131" t="s">
        <v>10607</v>
      </c>
      <c r="O131" t="s">
        <v>10935</v>
      </c>
    </row>
    <row r="132" spans="1:15">
      <c r="A132" t="s">
        <v>9776</v>
      </c>
      <c r="B132" t="s">
        <v>9777</v>
      </c>
      <c r="C132" t="s">
        <v>9778</v>
      </c>
      <c r="D132" t="s">
        <v>9245</v>
      </c>
      <c r="E132" t="s">
        <v>9084</v>
      </c>
      <c r="F132" t="s">
        <v>9779</v>
      </c>
      <c r="G132" t="s">
        <v>9780</v>
      </c>
      <c r="H132" t="s">
        <v>9781</v>
      </c>
      <c r="I132" t="s">
        <v>9754</v>
      </c>
      <c r="J132" t="s">
        <v>9176</v>
      </c>
      <c r="K132" t="s">
        <v>9075</v>
      </c>
      <c r="L132" t="s">
        <v>9760</v>
      </c>
      <c r="M132" t="s">
        <v>9077</v>
      </c>
      <c r="N132" t="s">
        <v>10917</v>
      </c>
      <c r="O132" t="s">
        <v>10936</v>
      </c>
    </row>
    <row r="133" spans="1:15">
      <c r="A133" t="s">
        <v>9782</v>
      </c>
      <c r="B133" t="s">
        <v>9777</v>
      </c>
      <c r="C133" t="s">
        <v>9783</v>
      </c>
      <c r="D133" t="s">
        <v>9245</v>
      </c>
      <c r="E133" t="s">
        <v>9084</v>
      </c>
      <c r="F133" t="s">
        <v>9784</v>
      </c>
      <c r="G133" t="s">
        <v>9785</v>
      </c>
      <c r="H133" t="s">
        <v>9753</v>
      </c>
      <c r="I133" t="s">
        <v>9754</v>
      </c>
      <c r="J133" t="s">
        <v>9088</v>
      </c>
      <c r="K133" t="s">
        <v>9075</v>
      </c>
      <c r="L133" t="s">
        <v>9755</v>
      </c>
      <c r="M133" t="s">
        <v>9077</v>
      </c>
      <c r="N133" t="s">
        <v>10917</v>
      </c>
      <c r="O133" t="s">
        <v>10936</v>
      </c>
    </row>
    <row r="134" spans="1:15">
      <c r="A134" t="s">
        <v>9786</v>
      </c>
      <c r="B134" t="s">
        <v>9399</v>
      </c>
      <c r="C134" t="s">
        <v>9787</v>
      </c>
      <c r="D134" t="s">
        <v>5982</v>
      </c>
      <c r="E134" t="s">
        <v>9084</v>
      </c>
      <c r="F134" t="s">
        <v>9788</v>
      </c>
      <c r="G134" t="s">
        <v>9789</v>
      </c>
      <c r="H134" t="s">
        <v>9790</v>
      </c>
      <c r="I134" t="s">
        <v>9260</v>
      </c>
      <c r="J134" t="s">
        <v>9176</v>
      </c>
      <c r="K134" t="s">
        <v>9075</v>
      </c>
      <c r="L134" t="s">
        <v>9272</v>
      </c>
      <c r="M134" t="s">
        <v>9077</v>
      </c>
      <c r="N134" t="s">
        <v>10872</v>
      </c>
      <c r="O134" t="s">
        <v>10873</v>
      </c>
    </row>
    <row r="135" spans="1:15">
      <c r="A135" t="s">
        <v>9791</v>
      </c>
      <c r="B135" t="s">
        <v>9399</v>
      </c>
      <c r="C135" t="s">
        <v>9792</v>
      </c>
      <c r="D135" t="s">
        <v>5982</v>
      </c>
      <c r="E135" t="s">
        <v>9084</v>
      </c>
      <c r="F135" t="s">
        <v>9793</v>
      </c>
      <c r="G135" t="s">
        <v>9794</v>
      </c>
      <c r="H135" t="s">
        <v>9790</v>
      </c>
      <c r="I135" t="s">
        <v>9260</v>
      </c>
      <c r="J135" t="s">
        <v>9176</v>
      </c>
      <c r="K135" t="s">
        <v>9075</v>
      </c>
      <c r="L135" t="s">
        <v>9272</v>
      </c>
      <c r="M135" t="s">
        <v>9077</v>
      </c>
      <c r="N135" t="s">
        <v>10872</v>
      </c>
      <c r="O135" t="s">
        <v>10873</v>
      </c>
    </row>
    <row r="136" spans="1:15">
      <c r="A136" t="s">
        <v>10654</v>
      </c>
      <c r="B136" t="s">
        <v>9762</v>
      </c>
      <c r="C136" t="s">
        <v>10686</v>
      </c>
      <c r="D136" t="s">
        <v>5982</v>
      </c>
      <c r="E136" t="s">
        <v>9084</v>
      </c>
      <c r="F136" t="s">
        <v>10687</v>
      </c>
      <c r="G136" t="s">
        <v>10688</v>
      </c>
      <c r="H136" t="s">
        <v>10689</v>
      </c>
      <c r="I136" t="s">
        <v>9183</v>
      </c>
      <c r="J136" t="s">
        <v>9176</v>
      </c>
      <c r="K136" t="s">
        <v>10690</v>
      </c>
      <c r="L136" t="s">
        <v>10691</v>
      </c>
      <c r="M136" t="s">
        <v>9077</v>
      </c>
      <c r="N136" t="s">
        <v>10683</v>
      </c>
      <c r="O136" t="s">
        <v>10937</v>
      </c>
    </row>
    <row r="137" spans="1:15">
      <c r="A137" t="s">
        <v>10692</v>
      </c>
      <c r="B137" t="s">
        <v>9762</v>
      </c>
      <c r="C137" t="s">
        <v>10693</v>
      </c>
      <c r="D137" t="s">
        <v>5982</v>
      </c>
      <c r="E137" t="s">
        <v>9084</v>
      </c>
      <c r="F137" t="s">
        <v>10694</v>
      </c>
      <c r="G137" t="s">
        <v>10695</v>
      </c>
      <c r="H137" t="s">
        <v>9236</v>
      </c>
      <c r="I137" t="s">
        <v>9183</v>
      </c>
      <c r="J137" t="s">
        <v>9176</v>
      </c>
      <c r="K137" t="s">
        <v>10690</v>
      </c>
      <c r="L137" t="s">
        <v>10696</v>
      </c>
      <c r="M137" t="s">
        <v>9077</v>
      </c>
      <c r="N137" t="s">
        <v>10683</v>
      </c>
      <c r="O137" t="s">
        <v>10937</v>
      </c>
    </row>
    <row r="138" spans="1:15">
      <c r="A138" t="s">
        <v>10697</v>
      </c>
      <c r="B138" t="s">
        <v>9762</v>
      </c>
      <c r="C138" t="s">
        <v>10698</v>
      </c>
      <c r="D138" t="s">
        <v>5982</v>
      </c>
      <c r="E138" t="s">
        <v>9084</v>
      </c>
      <c r="F138" t="s">
        <v>10699</v>
      </c>
      <c r="G138" t="s">
        <v>10700</v>
      </c>
      <c r="H138" t="s">
        <v>9236</v>
      </c>
      <c r="I138" t="s">
        <v>9183</v>
      </c>
      <c r="J138" t="s">
        <v>9176</v>
      </c>
      <c r="K138" t="s">
        <v>10690</v>
      </c>
      <c r="L138" t="s">
        <v>10696</v>
      </c>
      <c r="M138" t="s">
        <v>9077</v>
      </c>
      <c r="N138" t="s">
        <v>10683</v>
      </c>
      <c r="O138" t="s">
        <v>10937</v>
      </c>
    </row>
    <row r="139" spans="1:15">
      <c r="A139" t="s">
        <v>10701</v>
      </c>
      <c r="B139" t="s">
        <v>9762</v>
      </c>
      <c r="C139" t="s">
        <v>10702</v>
      </c>
      <c r="D139" t="s">
        <v>5982</v>
      </c>
      <c r="E139" t="s">
        <v>10703</v>
      </c>
      <c r="F139" t="s">
        <v>10704</v>
      </c>
      <c r="G139" t="s">
        <v>10705</v>
      </c>
      <c r="H139" t="s">
        <v>10689</v>
      </c>
      <c r="I139" t="s">
        <v>9183</v>
      </c>
      <c r="J139" t="s">
        <v>9074</v>
      </c>
      <c r="K139" t="s">
        <v>10690</v>
      </c>
      <c r="L139" t="s">
        <v>10783</v>
      </c>
      <c r="M139" t="s">
        <v>9077</v>
      </c>
      <c r="N139" t="s">
        <v>10683</v>
      </c>
      <c r="O139" t="s">
        <v>10937</v>
      </c>
    </row>
    <row r="140" spans="1:15">
      <c r="A140" t="s">
        <v>10706</v>
      </c>
      <c r="B140" t="s">
        <v>9762</v>
      </c>
      <c r="C140" t="s">
        <v>10707</v>
      </c>
      <c r="D140" t="s">
        <v>5982</v>
      </c>
      <c r="E140" t="s">
        <v>10708</v>
      </c>
      <c r="F140" t="s">
        <v>10709</v>
      </c>
      <c r="G140" t="s">
        <v>10710</v>
      </c>
      <c r="H140" t="s">
        <v>10689</v>
      </c>
      <c r="I140" t="s">
        <v>9183</v>
      </c>
      <c r="J140" t="s">
        <v>9074</v>
      </c>
      <c r="K140" t="s">
        <v>10690</v>
      </c>
      <c r="L140" t="s">
        <v>10784</v>
      </c>
      <c r="M140" t="s">
        <v>9077</v>
      </c>
      <c r="N140" t="s">
        <v>10680</v>
      </c>
      <c r="O140" t="s">
        <v>10937</v>
      </c>
    </row>
    <row r="141" spans="1:15">
      <c r="A141" t="s">
        <v>10624</v>
      </c>
      <c r="B141" t="s">
        <v>9095</v>
      </c>
      <c r="C141" t="s">
        <v>10711</v>
      </c>
      <c r="D141" t="s">
        <v>5982</v>
      </c>
      <c r="E141" t="s">
        <v>10703</v>
      </c>
      <c r="F141" t="s">
        <v>10712</v>
      </c>
      <c r="G141" t="s">
        <v>10713</v>
      </c>
      <c r="H141" t="s">
        <v>10714</v>
      </c>
      <c r="I141" t="s">
        <v>9073</v>
      </c>
      <c r="J141" t="s">
        <v>9074</v>
      </c>
      <c r="K141" t="s">
        <v>10690</v>
      </c>
      <c r="L141" t="s">
        <v>10715</v>
      </c>
      <c r="M141" t="s">
        <v>9077</v>
      </c>
      <c r="N141" t="s">
        <v>10626</v>
      </c>
      <c r="O141" t="s">
        <v>10937</v>
      </c>
    </row>
    <row r="142" spans="1:15">
      <c r="A142" t="s">
        <v>10716</v>
      </c>
      <c r="B142" t="s">
        <v>9095</v>
      </c>
      <c r="C142" t="s">
        <v>10717</v>
      </c>
      <c r="D142" t="s">
        <v>5982</v>
      </c>
      <c r="E142" t="s">
        <v>10703</v>
      </c>
      <c r="F142" t="s">
        <v>10718</v>
      </c>
      <c r="G142" t="s">
        <v>10719</v>
      </c>
      <c r="H142" t="s">
        <v>10714</v>
      </c>
      <c r="I142" t="s">
        <v>9073</v>
      </c>
      <c r="J142" t="s">
        <v>9074</v>
      </c>
      <c r="K142" t="s">
        <v>10690</v>
      </c>
      <c r="L142" t="s">
        <v>10720</v>
      </c>
      <c r="M142" t="s">
        <v>9077</v>
      </c>
      <c r="N142" t="s">
        <v>10626</v>
      </c>
      <c r="O142" t="s">
        <v>10937</v>
      </c>
    </row>
    <row r="143" spans="1:15">
      <c r="A143" t="s">
        <v>10619</v>
      </c>
      <c r="B143" t="s">
        <v>9095</v>
      </c>
      <c r="C143" t="s">
        <v>10721</v>
      </c>
      <c r="D143" t="s">
        <v>5982</v>
      </c>
      <c r="E143" t="s">
        <v>10708</v>
      </c>
      <c r="F143" t="s">
        <v>10785</v>
      </c>
      <c r="G143" t="s">
        <v>10786</v>
      </c>
      <c r="H143" t="s">
        <v>10714</v>
      </c>
      <c r="I143" t="s">
        <v>9073</v>
      </c>
      <c r="J143" t="s">
        <v>9074</v>
      </c>
      <c r="K143" t="s">
        <v>10690</v>
      </c>
      <c r="L143" t="s">
        <v>10722</v>
      </c>
      <c r="M143" t="s">
        <v>9077</v>
      </c>
      <c r="N143" t="s">
        <v>10621</v>
      </c>
      <c r="O143" t="s">
        <v>10937</v>
      </c>
    </row>
    <row r="144" spans="1:15">
      <c r="A144" t="s">
        <v>10723</v>
      </c>
      <c r="B144" t="s">
        <v>9517</v>
      </c>
      <c r="C144" t="s">
        <v>10724</v>
      </c>
      <c r="D144" t="s">
        <v>5982</v>
      </c>
      <c r="E144" t="s">
        <v>10703</v>
      </c>
      <c r="F144" t="s">
        <v>10725</v>
      </c>
      <c r="G144" t="s">
        <v>10726</v>
      </c>
      <c r="H144" t="s">
        <v>9559</v>
      </c>
      <c r="I144" t="s">
        <v>9073</v>
      </c>
      <c r="J144" t="s">
        <v>9074</v>
      </c>
      <c r="K144" t="s">
        <v>10690</v>
      </c>
      <c r="L144" t="s">
        <v>10727</v>
      </c>
      <c r="M144" t="s">
        <v>9077</v>
      </c>
      <c r="N144" t="s">
        <v>10634</v>
      </c>
      <c r="O144" t="s">
        <v>10937</v>
      </c>
    </row>
    <row r="145" spans="1:15">
      <c r="A145" t="s">
        <v>10629</v>
      </c>
      <c r="B145" t="s">
        <v>9517</v>
      </c>
      <c r="C145" t="s">
        <v>10728</v>
      </c>
      <c r="D145" t="s">
        <v>5982</v>
      </c>
      <c r="E145" t="s">
        <v>9084</v>
      </c>
      <c r="F145" t="s">
        <v>10729</v>
      </c>
      <c r="G145" t="s">
        <v>10730</v>
      </c>
      <c r="H145" t="s">
        <v>10731</v>
      </c>
      <c r="I145" t="s">
        <v>9073</v>
      </c>
      <c r="J145" t="s">
        <v>9176</v>
      </c>
      <c r="K145" t="s">
        <v>10690</v>
      </c>
      <c r="L145" t="s">
        <v>10732</v>
      </c>
      <c r="M145" t="s">
        <v>9077</v>
      </c>
      <c r="N145" t="s">
        <v>10787</v>
      </c>
      <c r="O145" t="s">
        <v>10937</v>
      </c>
    </row>
    <row r="146" spans="1:15">
      <c r="A146" t="s">
        <v>10612</v>
      </c>
      <c r="B146" t="s">
        <v>9517</v>
      </c>
      <c r="C146" t="s">
        <v>10733</v>
      </c>
      <c r="D146" t="s">
        <v>5982</v>
      </c>
      <c r="E146" t="s">
        <v>9084</v>
      </c>
      <c r="F146" t="s">
        <v>10734</v>
      </c>
      <c r="G146" t="s">
        <v>10735</v>
      </c>
      <c r="H146" t="s">
        <v>9533</v>
      </c>
      <c r="I146" t="s">
        <v>9073</v>
      </c>
      <c r="J146" t="s">
        <v>9176</v>
      </c>
      <c r="K146" t="s">
        <v>10690</v>
      </c>
      <c r="L146" t="s">
        <v>10732</v>
      </c>
      <c r="M146" t="s">
        <v>9077</v>
      </c>
      <c r="N146" t="s">
        <v>10787</v>
      </c>
      <c r="O146" t="s">
        <v>10937</v>
      </c>
    </row>
    <row r="147" spans="1:15">
      <c r="A147" t="s">
        <v>10736</v>
      </c>
      <c r="B147" t="s">
        <v>6064</v>
      </c>
      <c r="C147" t="s">
        <v>10737</v>
      </c>
      <c r="D147" t="s">
        <v>5982</v>
      </c>
      <c r="E147" t="s">
        <v>10703</v>
      </c>
      <c r="F147" t="s">
        <v>10738</v>
      </c>
      <c r="G147" t="s">
        <v>10788</v>
      </c>
      <c r="H147" t="s">
        <v>9463</v>
      </c>
      <c r="I147" t="s">
        <v>9445</v>
      </c>
      <c r="J147" t="s">
        <v>9074</v>
      </c>
      <c r="K147" t="s">
        <v>10739</v>
      </c>
      <c r="L147" t="s">
        <v>10740</v>
      </c>
      <c r="M147" t="s">
        <v>9077</v>
      </c>
      <c r="N147" t="s">
        <v>10607</v>
      </c>
      <c r="O147" t="s">
        <v>10937</v>
      </c>
    </row>
    <row r="148" spans="1:15">
      <c r="A148" t="s">
        <v>10789</v>
      </c>
      <c r="B148" t="s">
        <v>9517</v>
      </c>
      <c r="C148" t="s">
        <v>10790</v>
      </c>
      <c r="D148" t="s">
        <v>5982</v>
      </c>
      <c r="E148" t="s">
        <v>9084</v>
      </c>
      <c r="F148" t="s">
        <v>10791</v>
      </c>
      <c r="G148" t="s">
        <v>10792</v>
      </c>
      <c r="H148" t="s">
        <v>10731</v>
      </c>
      <c r="I148" t="s">
        <v>9073</v>
      </c>
      <c r="J148" t="s">
        <v>9176</v>
      </c>
      <c r="K148" t="s">
        <v>10690</v>
      </c>
      <c r="L148" t="s">
        <v>10793</v>
      </c>
      <c r="M148" t="s">
        <v>9077</v>
      </c>
      <c r="N148" t="s">
        <v>10787</v>
      </c>
      <c r="O148" t="s">
        <v>10937</v>
      </c>
    </row>
    <row r="149" spans="1:15">
      <c r="A149" t="s">
        <v>10794</v>
      </c>
      <c r="B149" t="s">
        <v>9517</v>
      </c>
      <c r="C149" t="s">
        <v>10795</v>
      </c>
      <c r="D149" t="s">
        <v>5982</v>
      </c>
      <c r="E149" t="s">
        <v>9084</v>
      </c>
      <c r="F149" t="s">
        <v>10796</v>
      </c>
      <c r="G149" t="s">
        <v>10797</v>
      </c>
      <c r="H149" t="s">
        <v>9533</v>
      </c>
      <c r="I149" t="s">
        <v>9073</v>
      </c>
      <c r="J149" t="s">
        <v>9176</v>
      </c>
      <c r="K149" t="s">
        <v>10690</v>
      </c>
      <c r="L149" t="s">
        <v>10793</v>
      </c>
      <c r="M149" t="s">
        <v>9077</v>
      </c>
      <c r="N149" t="s">
        <v>10787</v>
      </c>
      <c r="O149" t="s">
        <v>10937</v>
      </c>
    </row>
    <row r="150" spans="1:15">
      <c r="A150" t="s">
        <v>10798</v>
      </c>
      <c r="B150" t="s">
        <v>9517</v>
      </c>
      <c r="C150" t="s">
        <v>10799</v>
      </c>
      <c r="D150" t="s">
        <v>5982</v>
      </c>
      <c r="E150" t="s">
        <v>10708</v>
      </c>
      <c r="F150" t="s">
        <v>10800</v>
      </c>
      <c r="G150" t="s">
        <v>10801</v>
      </c>
      <c r="H150" t="s">
        <v>9559</v>
      </c>
      <c r="I150" t="s">
        <v>9073</v>
      </c>
      <c r="J150" t="s">
        <v>9074</v>
      </c>
      <c r="K150" t="s">
        <v>10690</v>
      </c>
      <c r="L150" t="s">
        <v>10793</v>
      </c>
      <c r="M150" t="s">
        <v>9077</v>
      </c>
      <c r="N150" t="s">
        <v>10787</v>
      </c>
      <c r="O150" t="s">
        <v>10937</v>
      </c>
    </row>
    <row r="151" spans="1:15">
      <c r="A151" t="s">
        <v>10802</v>
      </c>
      <c r="B151" t="s">
        <v>9517</v>
      </c>
      <c r="C151" t="s">
        <v>10803</v>
      </c>
      <c r="D151" t="s">
        <v>5982</v>
      </c>
      <c r="E151" t="s">
        <v>10708</v>
      </c>
      <c r="F151" t="s">
        <v>10804</v>
      </c>
      <c r="G151" t="s">
        <v>10805</v>
      </c>
      <c r="H151" t="s">
        <v>9533</v>
      </c>
      <c r="I151" t="s">
        <v>9073</v>
      </c>
      <c r="J151" t="s">
        <v>9074</v>
      </c>
      <c r="K151" t="s">
        <v>10690</v>
      </c>
      <c r="L151" t="s">
        <v>10793</v>
      </c>
      <c r="M151" t="s">
        <v>9077</v>
      </c>
      <c r="N151" t="s">
        <v>10787</v>
      </c>
      <c r="O151" t="s">
        <v>10937</v>
      </c>
    </row>
    <row r="152" spans="1:15">
      <c r="A152" t="s">
        <v>10806</v>
      </c>
      <c r="B152" t="s">
        <v>9517</v>
      </c>
      <c r="C152" t="s">
        <v>10807</v>
      </c>
      <c r="D152" t="s">
        <v>5982</v>
      </c>
      <c r="E152" t="s">
        <v>10708</v>
      </c>
      <c r="F152" t="s">
        <v>10808</v>
      </c>
      <c r="G152" t="s">
        <v>10809</v>
      </c>
      <c r="H152" t="s">
        <v>9559</v>
      </c>
      <c r="I152" t="s">
        <v>9073</v>
      </c>
      <c r="J152" t="s">
        <v>9074</v>
      </c>
      <c r="K152" t="s">
        <v>10690</v>
      </c>
      <c r="L152" t="s">
        <v>10810</v>
      </c>
      <c r="M152" t="s">
        <v>9077</v>
      </c>
      <c r="N152" t="s">
        <v>10787</v>
      </c>
      <c r="O152" t="s">
        <v>10937</v>
      </c>
    </row>
    <row r="153" spans="1:15">
      <c r="A153" t="s">
        <v>10811</v>
      </c>
      <c r="B153" t="s">
        <v>9517</v>
      </c>
      <c r="C153" t="s">
        <v>10812</v>
      </c>
      <c r="D153" t="s">
        <v>5982</v>
      </c>
      <c r="E153" t="s">
        <v>10708</v>
      </c>
      <c r="F153" t="s">
        <v>10813</v>
      </c>
      <c r="G153" t="s">
        <v>10814</v>
      </c>
      <c r="H153" t="s">
        <v>10815</v>
      </c>
      <c r="I153" t="s">
        <v>9073</v>
      </c>
      <c r="J153" t="s">
        <v>9074</v>
      </c>
      <c r="K153" t="s">
        <v>10690</v>
      </c>
      <c r="L153" t="s">
        <v>10793</v>
      </c>
      <c r="M153" t="s">
        <v>9077</v>
      </c>
      <c r="N153" t="s">
        <v>10787</v>
      </c>
      <c r="O153" t="s">
        <v>10937</v>
      </c>
    </row>
    <row r="154" spans="1:15">
      <c r="A154" t="s">
        <v>10816</v>
      </c>
      <c r="B154" t="s">
        <v>9517</v>
      </c>
      <c r="C154" t="s">
        <v>10817</v>
      </c>
      <c r="D154" t="s">
        <v>5982</v>
      </c>
      <c r="E154" t="s">
        <v>10818</v>
      </c>
      <c r="F154" t="s">
        <v>10819</v>
      </c>
      <c r="G154" t="s">
        <v>10820</v>
      </c>
      <c r="H154" t="s">
        <v>10821</v>
      </c>
      <c r="I154" t="s">
        <v>9073</v>
      </c>
      <c r="J154" t="s">
        <v>9074</v>
      </c>
      <c r="K154" t="s">
        <v>10690</v>
      </c>
      <c r="L154" t="s">
        <v>10793</v>
      </c>
      <c r="M154" t="s">
        <v>9077</v>
      </c>
      <c r="N154" t="s">
        <v>10787</v>
      </c>
      <c r="O154" t="s">
        <v>10937</v>
      </c>
    </row>
    <row r="155" spans="1:15">
      <c r="A155" t="s">
        <v>10822</v>
      </c>
      <c r="B155" t="s">
        <v>9517</v>
      </c>
      <c r="C155" t="s">
        <v>10823</v>
      </c>
      <c r="D155" t="s">
        <v>9245</v>
      </c>
      <c r="E155" t="s">
        <v>10708</v>
      </c>
      <c r="F155" t="s">
        <v>10824</v>
      </c>
      <c r="G155" t="s">
        <v>10825</v>
      </c>
      <c r="H155" t="s">
        <v>10826</v>
      </c>
      <c r="I155" t="s">
        <v>9073</v>
      </c>
      <c r="J155" t="s">
        <v>9074</v>
      </c>
      <c r="K155" t="s">
        <v>10690</v>
      </c>
      <c r="L155" t="s">
        <v>10793</v>
      </c>
      <c r="M155" t="s">
        <v>9077</v>
      </c>
      <c r="N155" t="s">
        <v>10787</v>
      </c>
      <c r="O155" t="s">
        <v>10937</v>
      </c>
    </row>
    <row r="156" spans="1:15">
      <c r="A156" t="s">
        <v>10827</v>
      </c>
      <c r="B156" t="s">
        <v>9517</v>
      </c>
      <c r="C156" t="s">
        <v>10828</v>
      </c>
      <c r="D156" t="s">
        <v>9245</v>
      </c>
      <c r="E156" t="s">
        <v>10708</v>
      </c>
      <c r="F156" t="s">
        <v>10829</v>
      </c>
      <c r="G156" t="s">
        <v>10830</v>
      </c>
      <c r="H156" t="s">
        <v>9533</v>
      </c>
      <c r="I156" t="s">
        <v>9073</v>
      </c>
      <c r="J156" t="s">
        <v>9074</v>
      </c>
      <c r="K156" t="s">
        <v>10690</v>
      </c>
      <c r="L156" t="s">
        <v>10793</v>
      </c>
      <c r="M156" t="s">
        <v>9077</v>
      </c>
      <c r="N156" t="s">
        <v>10787</v>
      </c>
      <c r="O156" t="s">
        <v>10937</v>
      </c>
    </row>
    <row r="157" spans="1:15">
      <c r="A157" t="s">
        <v>10831</v>
      </c>
      <c r="B157" t="s">
        <v>9517</v>
      </c>
      <c r="C157" t="s">
        <v>10832</v>
      </c>
      <c r="D157" t="s">
        <v>9245</v>
      </c>
      <c r="E157" t="s">
        <v>10708</v>
      </c>
      <c r="F157" t="s">
        <v>10833</v>
      </c>
      <c r="G157" t="s">
        <v>10834</v>
      </c>
      <c r="H157" t="s">
        <v>9533</v>
      </c>
      <c r="I157" t="s">
        <v>9073</v>
      </c>
      <c r="J157" t="s">
        <v>9074</v>
      </c>
      <c r="K157" t="s">
        <v>10690</v>
      </c>
      <c r="L157" t="s">
        <v>10835</v>
      </c>
      <c r="M157" t="s">
        <v>9077</v>
      </c>
      <c r="N157" t="s">
        <v>10787</v>
      </c>
      <c r="O157" t="s">
        <v>10937</v>
      </c>
    </row>
    <row r="158" spans="1:15">
      <c r="A158" t="s">
        <v>10836</v>
      </c>
      <c r="B158" t="s">
        <v>9517</v>
      </c>
      <c r="C158" t="s">
        <v>10837</v>
      </c>
      <c r="D158" t="s">
        <v>9245</v>
      </c>
      <c r="E158" t="s">
        <v>10708</v>
      </c>
      <c r="F158" t="s">
        <v>10838</v>
      </c>
      <c r="G158" t="s">
        <v>10839</v>
      </c>
      <c r="H158" t="s">
        <v>9559</v>
      </c>
      <c r="I158" t="s">
        <v>9073</v>
      </c>
      <c r="J158" t="s">
        <v>9074</v>
      </c>
      <c r="K158" t="s">
        <v>10690</v>
      </c>
      <c r="L158" t="s">
        <v>10793</v>
      </c>
      <c r="M158" t="s">
        <v>9077</v>
      </c>
      <c r="N158" t="s">
        <v>10787</v>
      </c>
      <c r="O158" t="s">
        <v>10937</v>
      </c>
    </row>
    <row r="159" spans="1:15">
      <c r="A159" t="s">
        <v>10840</v>
      </c>
      <c r="B159" t="s">
        <v>9517</v>
      </c>
      <c r="C159" t="s">
        <v>10841</v>
      </c>
      <c r="D159" t="s">
        <v>9245</v>
      </c>
      <c r="E159" t="s">
        <v>10708</v>
      </c>
      <c r="F159" t="s">
        <v>10842</v>
      </c>
      <c r="G159" t="s">
        <v>10843</v>
      </c>
      <c r="H159" t="s">
        <v>9521</v>
      </c>
      <c r="I159" t="s">
        <v>9073</v>
      </c>
      <c r="J159" t="s">
        <v>9074</v>
      </c>
      <c r="K159" t="s">
        <v>10690</v>
      </c>
      <c r="L159" t="s">
        <v>10793</v>
      </c>
      <c r="M159" t="s">
        <v>9077</v>
      </c>
      <c r="N159" t="s">
        <v>10787</v>
      </c>
      <c r="O159" t="s">
        <v>10937</v>
      </c>
    </row>
    <row r="160" spans="1:15">
      <c r="A160" t="s">
        <v>10844</v>
      </c>
      <c r="B160" t="s">
        <v>9517</v>
      </c>
      <c r="C160" t="s">
        <v>10845</v>
      </c>
      <c r="D160" t="s">
        <v>9245</v>
      </c>
      <c r="E160" t="s">
        <v>9084</v>
      </c>
      <c r="F160" t="s">
        <v>10846</v>
      </c>
      <c r="G160" t="s">
        <v>10847</v>
      </c>
      <c r="H160" t="s">
        <v>9809</v>
      </c>
      <c r="I160" t="s">
        <v>9073</v>
      </c>
      <c r="J160" t="s">
        <v>9176</v>
      </c>
      <c r="K160" t="s">
        <v>10690</v>
      </c>
      <c r="L160" t="s">
        <v>10793</v>
      </c>
      <c r="M160" t="s">
        <v>9077</v>
      </c>
      <c r="N160" t="s">
        <v>10787</v>
      </c>
      <c r="O160" t="s">
        <v>10937</v>
      </c>
    </row>
    <row r="161" spans="1:15">
      <c r="A161" t="s">
        <v>10848</v>
      </c>
      <c r="B161" t="s">
        <v>9517</v>
      </c>
      <c r="C161" t="s">
        <v>10849</v>
      </c>
      <c r="D161" t="s">
        <v>9245</v>
      </c>
      <c r="E161" t="s">
        <v>9084</v>
      </c>
      <c r="F161" t="s">
        <v>10850</v>
      </c>
      <c r="G161" t="s">
        <v>10851</v>
      </c>
      <c r="H161" t="s">
        <v>10731</v>
      </c>
      <c r="I161" t="s">
        <v>9073</v>
      </c>
      <c r="J161" t="s">
        <v>9176</v>
      </c>
      <c r="K161" t="s">
        <v>10690</v>
      </c>
      <c r="L161" t="s">
        <v>10852</v>
      </c>
      <c r="M161" t="s">
        <v>9077</v>
      </c>
      <c r="N161" t="s">
        <v>10787</v>
      </c>
      <c r="O161" t="s">
        <v>10937</v>
      </c>
    </row>
    <row r="162" spans="1:15">
      <c r="A162" t="s">
        <v>10853</v>
      </c>
      <c r="B162" t="s">
        <v>9095</v>
      </c>
      <c r="C162" t="s">
        <v>10854</v>
      </c>
      <c r="D162" t="s">
        <v>5982</v>
      </c>
      <c r="E162" t="s">
        <v>10708</v>
      </c>
      <c r="F162" t="s">
        <v>10855</v>
      </c>
      <c r="G162" t="s">
        <v>10856</v>
      </c>
      <c r="H162" t="s">
        <v>10714</v>
      </c>
      <c r="I162" t="s">
        <v>9073</v>
      </c>
      <c r="J162" t="s">
        <v>9074</v>
      </c>
      <c r="K162" t="s">
        <v>10690</v>
      </c>
      <c r="L162" t="s">
        <v>10793</v>
      </c>
      <c r="M162" t="s">
        <v>9077</v>
      </c>
      <c r="N162" t="s">
        <v>10621</v>
      </c>
      <c r="O162" t="s">
        <v>10937</v>
      </c>
    </row>
    <row r="163" spans="1:15">
      <c r="A163" t="s">
        <v>10857</v>
      </c>
      <c r="B163" t="s">
        <v>9762</v>
      </c>
      <c r="C163" t="s">
        <v>10858</v>
      </c>
      <c r="D163" t="s">
        <v>9245</v>
      </c>
      <c r="E163" t="s">
        <v>9084</v>
      </c>
      <c r="F163" t="s">
        <v>10859</v>
      </c>
      <c r="G163" t="s">
        <v>10860</v>
      </c>
      <c r="H163" t="s">
        <v>10689</v>
      </c>
      <c r="I163" t="s">
        <v>9183</v>
      </c>
      <c r="J163" t="s">
        <v>9176</v>
      </c>
      <c r="K163" t="s">
        <v>10739</v>
      </c>
      <c r="L163" t="s">
        <v>10861</v>
      </c>
      <c r="M163" t="s">
        <v>9077</v>
      </c>
      <c r="N163" t="s">
        <v>10607</v>
      </c>
      <c r="O163" t="s">
        <v>10937</v>
      </c>
    </row>
    <row r="164" spans="1:15">
      <c r="A164" t="s">
        <v>10862</v>
      </c>
      <c r="B164" t="s">
        <v>9762</v>
      </c>
      <c r="C164" t="s">
        <v>10863</v>
      </c>
      <c r="D164" t="s">
        <v>5982</v>
      </c>
      <c r="E164" t="s">
        <v>9084</v>
      </c>
      <c r="F164" t="s">
        <v>10864</v>
      </c>
      <c r="G164" t="s">
        <v>10865</v>
      </c>
      <c r="H164" t="s">
        <v>10866</v>
      </c>
      <c r="I164" t="s">
        <v>9183</v>
      </c>
      <c r="J164" t="s">
        <v>9074</v>
      </c>
      <c r="K164" t="s">
        <v>10739</v>
      </c>
      <c r="L164" t="s">
        <v>10793</v>
      </c>
      <c r="M164" t="s">
        <v>9077</v>
      </c>
      <c r="N164" t="s">
        <v>10656</v>
      </c>
      <c r="O164" t="s">
        <v>10937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BC7C-2D0D-5347-AA32-1D02408668CB}">
  <dimension ref="A1:G66"/>
  <sheetViews>
    <sheetView tabSelected="1" workbookViewId="0">
      <selection activeCell="D10" sqref="D10"/>
    </sheetView>
  </sheetViews>
  <sheetFormatPr baseColWidth="10" defaultRowHeight="13"/>
  <sheetData>
    <row r="1" spans="1:7">
      <c r="A1" t="s">
        <v>5975</v>
      </c>
      <c r="B1" t="s">
        <v>10581</v>
      </c>
      <c r="C1" t="s">
        <v>5976</v>
      </c>
      <c r="D1" t="s">
        <v>10741</v>
      </c>
      <c r="E1" t="s">
        <v>10600</v>
      </c>
      <c r="F1" t="s">
        <v>10742</v>
      </c>
      <c r="G1" t="s">
        <v>10156</v>
      </c>
    </row>
    <row r="2" spans="1:7">
      <c r="A2" t="s">
        <v>6003</v>
      </c>
      <c r="B2" t="s">
        <v>10014</v>
      </c>
      <c r="C2" t="s">
        <v>6000</v>
      </c>
      <c r="D2" t="s">
        <v>10743</v>
      </c>
      <c r="E2" t="s">
        <v>10604</v>
      </c>
      <c r="F2" t="s">
        <v>10744</v>
      </c>
      <c r="G2" t="s">
        <v>10607</v>
      </c>
    </row>
    <row r="3" spans="1:7">
      <c r="A3" t="s">
        <v>6003</v>
      </c>
      <c r="B3" t="s">
        <v>10014</v>
      </c>
      <c r="C3" t="s">
        <v>5997</v>
      </c>
      <c r="D3" t="s">
        <v>10743</v>
      </c>
      <c r="E3" t="s">
        <v>10604</v>
      </c>
      <c r="F3" t="s">
        <v>10744</v>
      </c>
      <c r="G3" t="s">
        <v>10607</v>
      </c>
    </row>
    <row r="4" spans="1:7">
      <c r="A4" t="s">
        <v>6003</v>
      </c>
      <c r="B4" t="s">
        <v>10014</v>
      </c>
      <c r="C4" t="s">
        <v>6001</v>
      </c>
      <c r="D4" t="s">
        <v>10743</v>
      </c>
      <c r="E4" t="s">
        <v>10604</v>
      </c>
      <c r="F4" t="s">
        <v>10744</v>
      </c>
      <c r="G4" t="s">
        <v>10607</v>
      </c>
    </row>
    <row r="5" spans="1:7">
      <c r="A5" t="s">
        <v>6012</v>
      </c>
      <c r="B5" t="s">
        <v>10014</v>
      </c>
      <c r="C5" t="s">
        <v>6000</v>
      </c>
      <c r="D5" t="s">
        <v>10743</v>
      </c>
      <c r="E5" t="s">
        <v>9440</v>
      </c>
      <c r="F5" t="s">
        <v>10745</v>
      </c>
      <c r="G5" t="s">
        <v>10607</v>
      </c>
    </row>
    <row r="6" spans="1:7">
      <c r="A6" t="s">
        <v>6012</v>
      </c>
      <c r="B6" t="s">
        <v>10014</v>
      </c>
      <c r="C6" t="s">
        <v>5997</v>
      </c>
      <c r="D6" t="s">
        <v>10743</v>
      </c>
      <c r="E6" t="s">
        <v>9440</v>
      </c>
      <c r="F6" t="s">
        <v>10745</v>
      </c>
      <c r="G6" t="s">
        <v>10607</v>
      </c>
    </row>
    <row r="7" spans="1:7">
      <c r="A7" t="s">
        <v>6012</v>
      </c>
      <c r="B7" t="s">
        <v>10014</v>
      </c>
      <c r="C7" t="s">
        <v>6001</v>
      </c>
      <c r="D7" t="s">
        <v>10743</v>
      </c>
      <c r="E7" t="s">
        <v>9440</v>
      </c>
      <c r="F7" t="s">
        <v>10745</v>
      </c>
      <c r="G7" t="s">
        <v>10607</v>
      </c>
    </row>
    <row r="8" spans="1:7">
      <c r="A8" t="s">
        <v>6007</v>
      </c>
      <c r="B8" t="s">
        <v>10014</v>
      </c>
      <c r="C8" t="s">
        <v>5984</v>
      </c>
      <c r="D8" t="s">
        <v>10743</v>
      </c>
      <c r="F8" t="s">
        <v>10746</v>
      </c>
      <c r="G8" t="s">
        <v>10607</v>
      </c>
    </row>
    <row r="9" spans="1:7">
      <c r="A9" t="s">
        <v>6005</v>
      </c>
      <c r="B9" t="s">
        <v>10014</v>
      </c>
      <c r="C9" t="s">
        <v>5995</v>
      </c>
      <c r="D9" t="s">
        <v>10747</v>
      </c>
      <c r="F9" t="s">
        <v>10746</v>
      </c>
      <c r="G9" t="s">
        <v>10607</v>
      </c>
    </row>
    <row r="10" spans="1:7">
      <c r="A10" t="s">
        <v>6005</v>
      </c>
      <c r="B10" t="s">
        <v>10014</v>
      </c>
      <c r="C10" t="s">
        <v>5997</v>
      </c>
      <c r="D10" t="s">
        <v>10747</v>
      </c>
      <c r="F10" t="s">
        <v>10746</v>
      </c>
      <c r="G10" t="s">
        <v>10607</v>
      </c>
    </row>
    <row r="11" spans="1:7">
      <c r="A11" t="s">
        <v>6005</v>
      </c>
      <c r="B11" t="s">
        <v>10014</v>
      </c>
      <c r="C11" t="s">
        <v>6001</v>
      </c>
      <c r="D11" t="s">
        <v>10747</v>
      </c>
      <c r="F11" t="s">
        <v>10746</v>
      </c>
      <c r="G11" t="s">
        <v>10607</v>
      </c>
    </row>
    <row r="12" spans="1:7">
      <c r="A12" t="s">
        <v>6014</v>
      </c>
      <c r="B12" t="s">
        <v>10014</v>
      </c>
      <c r="C12" t="s">
        <v>5995</v>
      </c>
      <c r="D12" t="s">
        <v>10747</v>
      </c>
      <c r="F12" t="s">
        <v>10746</v>
      </c>
      <c r="G12" t="s">
        <v>10607</v>
      </c>
    </row>
    <row r="13" spans="1:7">
      <c r="A13" t="s">
        <v>6014</v>
      </c>
      <c r="B13" t="s">
        <v>10014</v>
      </c>
      <c r="C13" t="s">
        <v>5997</v>
      </c>
      <c r="D13" t="s">
        <v>10747</v>
      </c>
      <c r="F13" t="s">
        <v>10746</v>
      </c>
      <c r="G13" t="s">
        <v>10607</v>
      </c>
    </row>
    <row r="14" spans="1:7">
      <c r="A14" t="s">
        <v>6014</v>
      </c>
      <c r="B14" t="s">
        <v>10014</v>
      </c>
      <c r="C14" t="s">
        <v>6001</v>
      </c>
      <c r="D14" t="s">
        <v>10747</v>
      </c>
      <c r="F14" t="s">
        <v>10746</v>
      </c>
      <c r="G14" t="s">
        <v>10607</v>
      </c>
    </row>
    <row r="15" spans="1:7">
      <c r="A15" t="s">
        <v>5990</v>
      </c>
      <c r="B15" t="s">
        <v>10014</v>
      </c>
      <c r="C15" t="s">
        <v>5984</v>
      </c>
      <c r="D15" t="s">
        <v>10748</v>
      </c>
      <c r="E15" t="s">
        <v>9385</v>
      </c>
      <c r="F15" t="s">
        <v>10749</v>
      </c>
      <c r="G15" t="s">
        <v>10614</v>
      </c>
    </row>
    <row r="16" spans="1:7">
      <c r="A16" t="s">
        <v>5990</v>
      </c>
      <c r="B16" t="s">
        <v>6024</v>
      </c>
      <c r="C16" t="s">
        <v>6000</v>
      </c>
      <c r="D16" t="s">
        <v>10750</v>
      </c>
      <c r="E16" t="s">
        <v>9385</v>
      </c>
      <c r="F16" t="s">
        <v>10749</v>
      </c>
      <c r="G16" t="s">
        <v>10614</v>
      </c>
    </row>
    <row r="17" spans="1:7">
      <c r="A17" t="s">
        <v>6019</v>
      </c>
      <c r="B17" t="s">
        <v>10014</v>
      </c>
      <c r="C17" t="s">
        <v>5995</v>
      </c>
      <c r="D17" t="s">
        <v>10751</v>
      </c>
      <c r="E17" t="s">
        <v>10618</v>
      </c>
      <c r="F17" t="s">
        <v>10752</v>
      </c>
      <c r="G17" t="s">
        <v>10621</v>
      </c>
    </row>
    <row r="18" spans="1:7">
      <c r="A18" t="s">
        <v>6019</v>
      </c>
      <c r="B18" t="s">
        <v>10014</v>
      </c>
      <c r="C18" t="s">
        <v>5997</v>
      </c>
      <c r="D18" t="s">
        <v>10751</v>
      </c>
      <c r="E18" t="s">
        <v>10618</v>
      </c>
      <c r="F18" t="s">
        <v>10752</v>
      </c>
      <c r="G18" t="s">
        <v>10621</v>
      </c>
    </row>
    <row r="19" spans="1:7">
      <c r="A19" t="s">
        <v>6019</v>
      </c>
      <c r="B19" t="s">
        <v>6024</v>
      </c>
      <c r="C19" t="s">
        <v>6000</v>
      </c>
      <c r="D19" t="s">
        <v>10753</v>
      </c>
      <c r="E19" t="s">
        <v>10623</v>
      </c>
      <c r="F19" t="s">
        <v>10752</v>
      </c>
      <c r="G19" t="s">
        <v>10626</v>
      </c>
    </row>
    <row r="20" spans="1:7">
      <c r="A20" t="s">
        <v>6018</v>
      </c>
      <c r="B20" t="s">
        <v>10014</v>
      </c>
      <c r="C20" t="s">
        <v>5995</v>
      </c>
      <c r="D20" t="s">
        <v>10754</v>
      </c>
      <c r="E20" t="s">
        <v>10628</v>
      </c>
      <c r="F20" t="s">
        <v>10755</v>
      </c>
      <c r="G20" t="s">
        <v>10614</v>
      </c>
    </row>
    <row r="21" spans="1:7">
      <c r="A21" t="s">
        <v>6018</v>
      </c>
      <c r="B21" t="s">
        <v>10014</v>
      </c>
      <c r="C21" t="s">
        <v>5997</v>
      </c>
      <c r="D21" t="s">
        <v>10754</v>
      </c>
      <c r="E21" t="s">
        <v>10628</v>
      </c>
      <c r="F21" t="s">
        <v>10755</v>
      </c>
      <c r="G21" t="s">
        <v>10614</v>
      </c>
    </row>
    <row r="22" spans="1:7">
      <c r="A22" t="s">
        <v>6018</v>
      </c>
      <c r="B22" t="s">
        <v>6024</v>
      </c>
      <c r="C22" t="s">
        <v>6000</v>
      </c>
      <c r="D22" t="s">
        <v>10756</v>
      </c>
      <c r="E22" t="s">
        <v>10632</v>
      </c>
      <c r="F22" t="s">
        <v>10755</v>
      </c>
      <c r="G22" t="s">
        <v>10634</v>
      </c>
    </row>
    <row r="23" spans="1:7">
      <c r="A23" t="s">
        <v>5999</v>
      </c>
      <c r="B23" t="s">
        <v>10014</v>
      </c>
      <c r="C23" t="s">
        <v>6000</v>
      </c>
      <c r="D23" t="s">
        <v>10757</v>
      </c>
      <c r="F23" t="s">
        <v>10746</v>
      </c>
      <c r="G23" t="s">
        <v>10607</v>
      </c>
    </row>
    <row r="24" spans="1:7">
      <c r="A24" t="s">
        <v>5999</v>
      </c>
      <c r="B24" t="s">
        <v>10014</v>
      </c>
      <c r="C24" t="s">
        <v>5995</v>
      </c>
      <c r="D24" t="s">
        <v>10757</v>
      </c>
      <c r="F24" t="s">
        <v>10746</v>
      </c>
      <c r="G24" t="s">
        <v>10607</v>
      </c>
    </row>
    <row r="25" spans="1:7">
      <c r="A25" t="s">
        <v>5999</v>
      </c>
      <c r="B25" t="s">
        <v>10014</v>
      </c>
      <c r="C25" t="s">
        <v>5997</v>
      </c>
      <c r="D25" t="s">
        <v>10757</v>
      </c>
      <c r="F25" t="s">
        <v>10746</v>
      </c>
      <c r="G25" t="s">
        <v>10607</v>
      </c>
    </row>
    <row r="26" spans="1:7">
      <c r="A26" t="s">
        <v>5999</v>
      </c>
      <c r="B26" t="s">
        <v>10014</v>
      </c>
      <c r="C26" t="s">
        <v>6001</v>
      </c>
      <c r="D26" t="s">
        <v>10757</v>
      </c>
      <c r="F26" t="s">
        <v>10746</v>
      </c>
      <c r="G26" t="s">
        <v>10607</v>
      </c>
    </row>
    <row r="27" spans="1:7">
      <c r="A27" t="s">
        <v>5998</v>
      </c>
      <c r="B27" t="s">
        <v>10014</v>
      </c>
      <c r="C27" t="s">
        <v>5995</v>
      </c>
      <c r="D27" t="s">
        <v>10758</v>
      </c>
      <c r="E27" t="s">
        <v>10639</v>
      </c>
      <c r="F27" t="s">
        <v>10759</v>
      </c>
      <c r="G27" t="s">
        <v>10607</v>
      </c>
    </row>
    <row r="28" spans="1:7">
      <c r="A28" t="s">
        <v>5998</v>
      </c>
      <c r="B28" t="s">
        <v>10014</v>
      </c>
      <c r="C28" t="s">
        <v>5997</v>
      </c>
      <c r="D28" t="s">
        <v>10758</v>
      </c>
      <c r="E28" t="s">
        <v>10639</v>
      </c>
      <c r="F28" t="s">
        <v>10759</v>
      </c>
      <c r="G28" t="s">
        <v>10607</v>
      </c>
    </row>
    <row r="29" spans="1:7">
      <c r="A29" t="s">
        <v>5998</v>
      </c>
      <c r="B29" t="s">
        <v>6024</v>
      </c>
      <c r="C29" t="s">
        <v>6000</v>
      </c>
      <c r="D29" t="s">
        <v>10760</v>
      </c>
      <c r="E29" t="s">
        <v>10643</v>
      </c>
      <c r="F29" t="s">
        <v>10759</v>
      </c>
      <c r="G29" t="s">
        <v>10607</v>
      </c>
    </row>
    <row r="30" spans="1:7">
      <c r="A30" t="s">
        <v>6002</v>
      </c>
      <c r="B30" t="s">
        <v>10014</v>
      </c>
      <c r="C30" t="s">
        <v>6000</v>
      </c>
      <c r="D30" t="s">
        <v>10757</v>
      </c>
      <c r="F30" t="s">
        <v>10746</v>
      </c>
      <c r="G30" t="s">
        <v>10607</v>
      </c>
    </row>
    <row r="31" spans="1:7">
      <c r="A31" t="s">
        <v>6002</v>
      </c>
      <c r="B31" t="s">
        <v>10014</v>
      </c>
      <c r="C31" t="s">
        <v>5995</v>
      </c>
      <c r="D31" t="s">
        <v>10757</v>
      </c>
      <c r="F31" t="s">
        <v>10746</v>
      </c>
      <c r="G31" t="s">
        <v>10607</v>
      </c>
    </row>
    <row r="32" spans="1:7">
      <c r="A32" t="s">
        <v>6002</v>
      </c>
      <c r="B32" t="s">
        <v>10014</v>
      </c>
      <c r="C32" t="s">
        <v>5997</v>
      </c>
      <c r="D32" t="s">
        <v>10757</v>
      </c>
      <c r="F32" t="s">
        <v>10746</v>
      </c>
      <c r="G32" t="s">
        <v>10607</v>
      </c>
    </row>
    <row r="33" spans="1:7">
      <c r="A33" t="s">
        <v>6002</v>
      </c>
      <c r="B33" t="s">
        <v>10014</v>
      </c>
      <c r="C33" t="s">
        <v>6001</v>
      </c>
      <c r="D33" t="s">
        <v>10757</v>
      </c>
      <c r="F33" t="s">
        <v>10746</v>
      </c>
      <c r="G33" t="s">
        <v>10607</v>
      </c>
    </row>
    <row r="34" spans="1:7">
      <c r="A34" t="s">
        <v>5994</v>
      </c>
      <c r="B34" t="s">
        <v>10014</v>
      </c>
      <c r="C34" t="s">
        <v>5995</v>
      </c>
      <c r="D34" t="s">
        <v>10761</v>
      </c>
      <c r="E34" t="s">
        <v>10647</v>
      </c>
      <c r="F34" t="s">
        <v>10762</v>
      </c>
      <c r="G34" t="s">
        <v>10607</v>
      </c>
    </row>
    <row r="35" spans="1:7">
      <c r="A35" t="s">
        <v>5994</v>
      </c>
      <c r="B35" t="s">
        <v>10014</v>
      </c>
      <c r="C35" t="s">
        <v>5997</v>
      </c>
      <c r="D35" t="s">
        <v>10761</v>
      </c>
      <c r="E35" t="s">
        <v>10647</v>
      </c>
      <c r="F35" t="s">
        <v>10762</v>
      </c>
      <c r="G35" t="s">
        <v>10607</v>
      </c>
    </row>
    <row r="36" spans="1:7">
      <c r="A36" t="s">
        <v>5994</v>
      </c>
      <c r="B36" t="s">
        <v>6024</v>
      </c>
      <c r="C36" t="s">
        <v>6000</v>
      </c>
      <c r="D36" t="s">
        <v>10763</v>
      </c>
      <c r="E36" t="s">
        <v>10647</v>
      </c>
      <c r="F36" t="s">
        <v>10762</v>
      </c>
      <c r="G36" t="s">
        <v>10607</v>
      </c>
    </row>
    <row r="37" spans="1:7">
      <c r="A37" t="s">
        <v>5989</v>
      </c>
      <c r="B37" t="s">
        <v>10014</v>
      </c>
      <c r="C37" t="s">
        <v>5984</v>
      </c>
      <c r="D37" t="s">
        <v>10764</v>
      </c>
      <c r="E37" t="s">
        <v>9105</v>
      </c>
      <c r="F37" t="s">
        <v>10765</v>
      </c>
      <c r="G37" t="s">
        <v>10656</v>
      </c>
    </row>
    <row r="38" spans="1:7">
      <c r="A38" t="s">
        <v>5989</v>
      </c>
      <c r="B38" t="s">
        <v>6024</v>
      </c>
      <c r="C38" t="s">
        <v>6000</v>
      </c>
      <c r="D38" t="s">
        <v>10766</v>
      </c>
      <c r="E38" t="s">
        <v>9105</v>
      </c>
      <c r="F38" t="s">
        <v>10765</v>
      </c>
      <c r="G38" t="s">
        <v>10656</v>
      </c>
    </row>
    <row r="39" spans="1:7">
      <c r="A39" t="s">
        <v>5988</v>
      </c>
      <c r="B39" t="s">
        <v>10014</v>
      </c>
      <c r="C39" t="s">
        <v>5984</v>
      </c>
      <c r="D39" t="s">
        <v>10767</v>
      </c>
      <c r="E39" t="s">
        <v>10660</v>
      </c>
      <c r="F39" t="s">
        <v>10768</v>
      </c>
      <c r="G39" t="s">
        <v>10607</v>
      </c>
    </row>
    <row r="40" spans="1:7">
      <c r="A40" t="s">
        <v>5988</v>
      </c>
      <c r="B40" t="s">
        <v>6024</v>
      </c>
      <c r="C40" t="s">
        <v>6000</v>
      </c>
      <c r="D40" t="s">
        <v>10767</v>
      </c>
      <c r="E40" t="s">
        <v>10660</v>
      </c>
      <c r="F40" t="s">
        <v>10768</v>
      </c>
      <c r="G40" t="s">
        <v>10607</v>
      </c>
    </row>
    <row r="41" spans="1:7">
      <c r="A41" t="s">
        <v>6020</v>
      </c>
      <c r="B41" t="s">
        <v>10014</v>
      </c>
      <c r="C41" t="s">
        <v>5995</v>
      </c>
      <c r="D41" t="s">
        <v>10769</v>
      </c>
      <c r="F41" t="s">
        <v>10746</v>
      </c>
      <c r="G41" t="s">
        <v>10656</v>
      </c>
    </row>
    <row r="42" spans="1:7">
      <c r="A42" t="s">
        <v>6020</v>
      </c>
      <c r="B42" t="s">
        <v>10014</v>
      </c>
      <c r="C42" t="s">
        <v>5997</v>
      </c>
      <c r="D42" t="s">
        <v>10769</v>
      </c>
      <c r="F42" t="s">
        <v>10746</v>
      </c>
      <c r="G42" t="s">
        <v>10656</v>
      </c>
    </row>
    <row r="43" spans="1:7">
      <c r="A43" t="s">
        <v>5992</v>
      </c>
      <c r="B43" t="s">
        <v>10014</v>
      </c>
      <c r="C43" t="s">
        <v>5984</v>
      </c>
      <c r="D43" t="s">
        <v>10769</v>
      </c>
      <c r="F43" t="s">
        <v>10746</v>
      </c>
      <c r="G43" t="s">
        <v>10656</v>
      </c>
    </row>
    <row r="44" spans="1:7">
      <c r="A44" t="s">
        <v>5987</v>
      </c>
      <c r="B44" t="s">
        <v>10014</v>
      </c>
      <c r="C44" t="s">
        <v>5984</v>
      </c>
      <c r="D44" t="s">
        <v>10770</v>
      </c>
      <c r="F44" t="s">
        <v>10746</v>
      </c>
      <c r="G44" t="s">
        <v>10607</v>
      </c>
    </row>
    <row r="45" spans="1:7">
      <c r="A45" t="s">
        <v>5987</v>
      </c>
      <c r="B45" t="s">
        <v>6024</v>
      </c>
      <c r="C45" t="s">
        <v>6000</v>
      </c>
      <c r="D45" t="s">
        <v>10771</v>
      </c>
      <c r="F45" t="s">
        <v>10746</v>
      </c>
      <c r="G45" t="s">
        <v>10607</v>
      </c>
    </row>
    <row r="46" spans="1:7">
      <c r="A46" t="s">
        <v>6023</v>
      </c>
      <c r="B46" t="s">
        <v>10014</v>
      </c>
      <c r="C46" t="s">
        <v>5995</v>
      </c>
      <c r="D46" t="s">
        <v>10769</v>
      </c>
      <c r="F46" t="s">
        <v>10746</v>
      </c>
      <c r="G46" t="s">
        <v>10656</v>
      </c>
    </row>
    <row r="47" spans="1:7">
      <c r="A47" t="s">
        <v>6023</v>
      </c>
      <c r="B47" t="s">
        <v>6024</v>
      </c>
      <c r="C47" t="s">
        <v>6000</v>
      </c>
      <c r="D47" t="s">
        <v>10772</v>
      </c>
      <c r="F47" t="s">
        <v>10746</v>
      </c>
      <c r="G47" t="s">
        <v>10656</v>
      </c>
    </row>
    <row r="48" spans="1:7">
      <c r="A48" t="s">
        <v>5983</v>
      </c>
      <c r="B48" t="s">
        <v>10014</v>
      </c>
      <c r="C48" t="s">
        <v>5984</v>
      </c>
      <c r="D48" t="s">
        <v>10773</v>
      </c>
      <c r="E48" t="s">
        <v>10672</v>
      </c>
      <c r="F48" t="s">
        <v>10774</v>
      </c>
      <c r="G48" t="s">
        <v>10607</v>
      </c>
    </row>
    <row r="49" spans="1:7">
      <c r="A49" t="s">
        <v>5983</v>
      </c>
      <c r="B49" t="s">
        <v>6024</v>
      </c>
      <c r="C49" t="s">
        <v>6000</v>
      </c>
      <c r="D49" t="s">
        <v>10773</v>
      </c>
      <c r="E49" t="s">
        <v>10672</v>
      </c>
      <c r="F49" t="s">
        <v>10774</v>
      </c>
      <c r="G49" t="s">
        <v>10607</v>
      </c>
    </row>
    <row r="50" spans="1:7">
      <c r="A50" t="s">
        <v>6021</v>
      </c>
      <c r="B50" t="s">
        <v>10014</v>
      </c>
      <c r="C50" t="s">
        <v>5995</v>
      </c>
      <c r="D50" t="s">
        <v>10757</v>
      </c>
      <c r="F50" t="s">
        <v>10746</v>
      </c>
      <c r="G50" t="s">
        <v>10607</v>
      </c>
    </row>
    <row r="51" spans="1:7">
      <c r="A51" t="s">
        <v>6021</v>
      </c>
      <c r="B51" t="s">
        <v>10014</v>
      </c>
      <c r="C51" t="s">
        <v>5997</v>
      </c>
      <c r="D51" t="s">
        <v>10757</v>
      </c>
      <c r="F51" t="s">
        <v>10746</v>
      </c>
      <c r="G51" t="s">
        <v>10607</v>
      </c>
    </row>
    <row r="52" spans="1:7">
      <c r="A52" t="s">
        <v>6021</v>
      </c>
      <c r="B52" t="s">
        <v>6024</v>
      </c>
      <c r="C52" t="s">
        <v>6000</v>
      </c>
      <c r="D52" t="s">
        <v>10775</v>
      </c>
      <c r="F52" t="s">
        <v>10746</v>
      </c>
      <c r="G52" t="s">
        <v>10607</v>
      </c>
    </row>
    <row r="53" spans="1:7">
      <c r="A53" t="s">
        <v>6022</v>
      </c>
      <c r="B53" t="s">
        <v>10014</v>
      </c>
      <c r="C53" t="s">
        <v>5984</v>
      </c>
      <c r="D53" t="s">
        <v>10757</v>
      </c>
      <c r="F53" t="s">
        <v>10746</v>
      </c>
      <c r="G53" t="s">
        <v>10607</v>
      </c>
    </row>
    <row r="54" spans="1:7">
      <c r="A54" t="s">
        <v>6022</v>
      </c>
      <c r="B54" t="s">
        <v>6024</v>
      </c>
      <c r="C54" t="s">
        <v>6000</v>
      </c>
      <c r="D54" t="s">
        <v>10775</v>
      </c>
      <c r="F54" t="s">
        <v>10746</v>
      </c>
      <c r="G54" t="s">
        <v>10607</v>
      </c>
    </row>
    <row r="55" spans="1:7">
      <c r="A55" t="s">
        <v>6016</v>
      </c>
      <c r="B55" t="s">
        <v>10014</v>
      </c>
      <c r="C55" t="s">
        <v>5995</v>
      </c>
      <c r="D55" t="s">
        <v>10776</v>
      </c>
      <c r="E55" t="s">
        <v>10678</v>
      </c>
      <c r="F55" t="s">
        <v>10777</v>
      </c>
      <c r="G55" t="s">
        <v>10680</v>
      </c>
    </row>
    <row r="56" spans="1:7">
      <c r="A56" t="s">
        <v>6016</v>
      </c>
      <c r="B56" t="s">
        <v>10014</v>
      </c>
      <c r="C56" t="s">
        <v>5997</v>
      </c>
      <c r="D56" t="s">
        <v>10776</v>
      </c>
      <c r="E56" t="s">
        <v>10678</v>
      </c>
      <c r="F56" t="s">
        <v>10777</v>
      </c>
      <c r="G56" t="s">
        <v>10680</v>
      </c>
    </row>
    <row r="57" spans="1:7">
      <c r="A57" t="s">
        <v>6016</v>
      </c>
      <c r="B57" t="s">
        <v>6024</v>
      </c>
      <c r="C57" t="s">
        <v>6000</v>
      </c>
      <c r="D57" t="s">
        <v>10778</v>
      </c>
      <c r="E57" t="s">
        <v>10678</v>
      </c>
      <c r="F57" t="s">
        <v>10777</v>
      </c>
      <c r="G57" t="s">
        <v>10683</v>
      </c>
    </row>
    <row r="58" spans="1:7">
      <c r="A58" t="s">
        <v>6017</v>
      </c>
      <c r="B58" t="s">
        <v>10014</v>
      </c>
      <c r="C58" t="s">
        <v>5995</v>
      </c>
      <c r="D58" t="s">
        <v>10776</v>
      </c>
      <c r="E58" t="s">
        <v>10678</v>
      </c>
      <c r="F58" t="s">
        <v>10779</v>
      </c>
      <c r="G58" t="s">
        <v>10680</v>
      </c>
    </row>
    <row r="59" spans="1:7">
      <c r="A59" t="s">
        <v>6017</v>
      </c>
      <c r="B59" t="s">
        <v>10014</v>
      </c>
      <c r="C59" t="s">
        <v>5997</v>
      </c>
      <c r="D59" t="s">
        <v>10776</v>
      </c>
      <c r="E59" t="s">
        <v>10678</v>
      </c>
      <c r="F59" t="s">
        <v>10779</v>
      </c>
      <c r="G59" t="s">
        <v>10680</v>
      </c>
    </row>
    <row r="60" spans="1:7">
      <c r="A60" t="s">
        <v>6017</v>
      </c>
      <c r="B60" t="s">
        <v>6024</v>
      </c>
      <c r="C60" t="s">
        <v>6000</v>
      </c>
      <c r="D60" t="s">
        <v>10778</v>
      </c>
      <c r="E60" t="s">
        <v>10678</v>
      </c>
      <c r="F60" t="s">
        <v>10779</v>
      </c>
      <c r="G60" t="s">
        <v>10683</v>
      </c>
    </row>
    <row r="61" spans="1:7">
      <c r="A61" t="s">
        <v>6011</v>
      </c>
      <c r="B61" t="s">
        <v>10014</v>
      </c>
      <c r="C61" t="s">
        <v>6000</v>
      </c>
      <c r="D61" t="s">
        <v>10758</v>
      </c>
      <c r="E61" t="s">
        <v>10684</v>
      </c>
      <c r="F61" t="s">
        <v>10780</v>
      </c>
      <c r="G61" t="s">
        <v>10607</v>
      </c>
    </row>
    <row r="62" spans="1:7">
      <c r="A62" t="s">
        <v>6011</v>
      </c>
      <c r="B62" t="s">
        <v>10014</v>
      </c>
      <c r="C62" t="s">
        <v>5995</v>
      </c>
      <c r="D62" t="s">
        <v>10758</v>
      </c>
      <c r="E62" t="s">
        <v>10684</v>
      </c>
      <c r="F62" t="s">
        <v>10780</v>
      </c>
      <c r="G62" t="s">
        <v>10607</v>
      </c>
    </row>
    <row r="63" spans="1:7">
      <c r="A63" t="s">
        <v>6011</v>
      </c>
      <c r="B63" t="s">
        <v>10014</v>
      </c>
      <c r="C63" t="s">
        <v>5997</v>
      </c>
      <c r="D63" t="s">
        <v>10758</v>
      </c>
      <c r="E63" t="s">
        <v>10684</v>
      </c>
      <c r="F63" t="s">
        <v>10780</v>
      </c>
      <c r="G63" t="s">
        <v>10607</v>
      </c>
    </row>
    <row r="64" spans="1:7">
      <c r="A64" t="s">
        <v>6011</v>
      </c>
      <c r="B64" t="s">
        <v>10014</v>
      </c>
      <c r="C64" t="s">
        <v>6001</v>
      </c>
      <c r="D64" t="s">
        <v>10758</v>
      </c>
      <c r="E64" t="s">
        <v>10684</v>
      </c>
      <c r="F64" t="s">
        <v>10780</v>
      </c>
      <c r="G64" t="s">
        <v>10607</v>
      </c>
    </row>
    <row r="65" spans="1:7">
      <c r="A65" t="s">
        <v>6009</v>
      </c>
      <c r="B65" t="s">
        <v>10014</v>
      </c>
      <c r="C65" t="s">
        <v>5995</v>
      </c>
      <c r="D65" t="s">
        <v>10761</v>
      </c>
      <c r="E65" t="s">
        <v>10685</v>
      </c>
      <c r="F65" t="s">
        <v>10781</v>
      </c>
      <c r="G65" t="s">
        <v>10607</v>
      </c>
    </row>
    <row r="66" spans="1:7">
      <c r="A66" t="s">
        <v>6009</v>
      </c>
      <c r="B66" t="s">
        <v>10014</v>
      </c>
      <c r="C66" t="s">
        <v>5997</v>
      </c>
      <c r="D66" t="s">
        <v>10761</v>
      </c>
      <c r="E66" t="s">
        <v>10685</v>
      </c>
      <c r="F66" t="s">
        <v>10781</v>
      </c>
      <c r="G66" t="s">
        <v>10607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09"/>
  <sheetViews>
    <sheetView workbookViewId="0"/>
  </sheetViews>
  <sheetFormatPr baseColWidth="10" defaultColWidth="12.6640625" defaultRowHeight="13"/>
  <cols>
    <col min="1" max="1" width="11.83203125" customWidth="1"/>
    <col min="2" max="3" width="31.33203125" customWidth="1"/>
    <col min="4" max="4" width="10.5" customWidth="1"/>
    <col min="5" max="5" width="42.6640625" customWidth="1"/>
    <col min="6" max="6" width="13.33203125" customWidth="1"/>
  </cols>
  <sheetData>
    <row r="1" spans="1:5" ht="21" customHeight="1">
      <c r="A1" s="6" t="s">
        <v>6025</v>
      </c>
      <c r="B1" s="6" t="s">
        <v>6026</v>
      </c>
      <c r="C1" s="6" t="s">
        <v>6027</v>
      </c>
      <c r="D1" s="6" t="s">
        <v>6028</v>
      </c>
      <c r="E1" s="6" t="s">
        <v>6029</v>
      </c>
    </row>
    <row r="2" spans="1:5" ht="21" customHeight="1">
      <c r="A2" s="4" t="s">
        <v>6030</v>
      </c>
      <c r="B2" s="4" t="s">
        <v>6031</v>
      </c>
      <c r="C2" s="4" t="s">
        <v>6032</v>
      </c>
      <c r="D2" s="4" t="s">
        <v>6033</v>
      </c>
      <c r="E2" s="4" t="s">
        <v>6034</v>
      </c>
    </row>
    <row r="3" spans="1:5" ht="21" customHeight="1">
      <c r="A3" s="4" t="s">
        <v>6030</v>
      </c>
      <c r="B3" s="4" t="s">
        <v>6035</v>
      </c>
      <c r="C3" s="4" t="s">
        <v>6032</v>
      </c>
      <c r="D3" s="4" t="s">
        <v>6033</v>
      </c>
      <c r="E3" s="4" t="s">
        <v>6034</v>
      </c>
    </row>
    <row r="4" spans="1:5" ht="21" customHeight="1">
      <c r="A4" s="4" t="s">
        <v>6030</v>
      </c>
      <c r="B4" s="4" t="s">
        <v>6035</v>
      </c>
      <c r="C4" s="4" t="s">
        <v>6031</v>
      </c>
      <c r="D4" s="4" t="s">
        <v>6033</v>
      </c>
      <c r="E4" s="4" t="s">
        <v>6034</v>
      </c>
    </row>
    <row r="5" spans="1:5" ht="21" customHeight="1">
      <c r="A5" s="4" t="s">
        <v>6030</v>
      </c>
      <c r="B5" s="4" t="s">
        <v>6036</v>
      </c>
      <c r="C5" s="4" t="s">
        <v>6032</v>
      </c>
      <c r="D5" s="4" t="s">
        <v>6033</v>
      </c>
      <c r="E5" s="4" t="s">
        <v>6034</v>
      </c>
    </row>
    <row r="6" spans="1:5" ht="21" customHeight="1">
      <c r="A6" s="4" t="s">
        <v>6030</v>
      </c>
      <c r="B6" s="4" t="s">
        <v>6036</v>
      </c>
      <c r="C6" s="4" t="s">
        <v>6031</v>
      </c>
      <c r="D6" s="4" t="s">
        <v>6033</v>
      </c>
      <c r="E6" s="4" t="s">
        <v>6034</v>
      </c>
    </row>
    <row r="7" spans="1:5" ht="21" customHeight="1">
      <c r="A7" s="4" t="s">
        <v>6030</v>
      </c>
      <c r="B7" s="4" t="s">
        <v>6036</v>
      </c>
      <c r="C7" s="4" t="s">
        <v>6035</v>
      </c>
      <c r="D7" s="4" t="s">
        <v>6033</v>
      </c>
      <c r="E7" s="4" t="s">
        <v>6034</v>
      </c>
    </row>
    <row r="8" spans="1:5" ht="21" customHeight="1">
      <c r="A8" s="4" t="s">
        <v>6030</v>
      </c>
      <c r="B8" s="4" t="s">
        <v>6037</v>
      </c>
      <c r="C8" s="4" t="s">
        <v>6032</v>
      </c>
      <c r="D8" s="4" t="s">
        <v>6033</v>
      </c>
      <c r="E8" s="4" t="s">
        <v>6034</v>
      </c>
    </row>
    <row r="9" spans="1:5" ht="21" customHeight="1">
      <c r="A9" s="4" t="s">
        <v>6030</v>
      </c>
      <c r="B9" s="4" t="s">
        <v>6037</v>
      </c>
      <c r="C9" s="4" t="s">
        <v>6031</v>
      </c>
      <c r="D9" s="4" t="s">
        <v>6033</v>
      </c>
      <c r="E9" s="4" t="s">
        <v>6034</v>
      </c>
    </row>
    <row r="10" spans="1:5" ht="21" customHeight="1">
      <c r="A10" s="4" t="s">
        <v>6030</v>
      </c>
      <c r="B10" s="4" t="s">
        <v>6037</v>
      </c>
      <c r="C10" s="4" t="s">
        <v>6035</v>
      </c>
      <c r="D10" s="4" t="s">
        <v>6033</v>
      </c>
      <c r="E10" s="4" t="s">
        <v>6034</v>
      </c>
    </row>
    <row r="11" spans="1:5" ht="21" customHeight="1">
      <c r="A11" s="4" t="s">
        <v>6030</v>
      </c>
      <c r="B11" s="4" t="s">
        <v>6037</v>
      </c>
      <c r="C11" s="4" t="s">
        <v>6036</v>
      </c>
      <c r="D11" s="4" t="s">
        <v>6033</v>
      </c>
      <c r="E11" s="4" t="s">
        <v>6034</v>
      </c>
    </row>
    <row r="12" spans="1:5" ht="21" customHeight="1">
      <c r="A12" s="4" t="s">
        <v>6030</v>
      </c>
      <c r="B12" s="4" t="s">
        <v>6038</v>
      </c>
      <c r="C12" s="4" t="s">
        <v>6032</v>
      </c>
      <c r="D12" s="4" t="s">
        <v>6033</v>
      </c>
      <c r="E12" s="4" t="s">
        <v>6034</v>
      </c>
    </row>
    <row r="13" spans="1:5" ht="21" customHeight="1">
      <c r="A13" s="4" t="s">
        <v>6030</v>
      </c>
      <c r="B13" s="4" t="s">
        <v>6038</v>
      </c>
      <c r="C13" s="4" t="s">
        <v>6031</v>
      </c>
      <c r="D13" s="4" t="s">
        <v>6033</v>
      </c>
      <c r="E13" s="4" t="s">
        <v>6034</v>
      </c>
    </row>
    <row r="14" spans="1:5" ht="21" customHeight="1">
      <c r="A14" s="4" t="s">
        <v>6030</v>
      </c>
      <c r="B14" s="4" t="s">
        <v>6038</v>
      </c>
      <c r="C14" s="4" t="s">
        <v>6036</v>
      </c>
      <c r="D14" s="4" t="s">
        <v>6039</v>
      </c>
      <c r="E14" s="4" t="s">
        <v>6040</v>
      </c>
    </row>
    <row r="15" spans="1:5" ht="21" customHeight="1">
      <c r="A15" s="4" t="s">
        <v>6030</v>
      </c>
      <c r="B15" s="4" t="s">
        <v>6038</v>
      </c>
      <c r="C15" s="4" t="s">
        <v>6037</v>
      </c>
      <c r="D15" s="4" t="s">
        <v>6039</v>
      </c>
      <c r="E15" s="4" t="s">
        <v>6040</v>
      </c>
    </row>
    <row r="16" spans="1:5" ht="21" customHeight="1">
      <c r="A16" s="4" t="s">
        <v>6030</v>
      </c>
      <c r="B16" s="4" t="s">
        <v>6041</v>
      </c>
      <c r="C16" s="4" t="s">
        <v>6032</v>
      </c>
      <c r="D16" s="4" t="s">
        <v>6033</v>
      </c>
      <c r="E16" s="4" t="s">
        <v>6034</v>
      </c>
    </row>
    <row r="17" spans="1:5" ht="21" customHeight="1">
      <c r="A17" s="4" t="s">
        <v>6030</v>
      </c>
      <c r="B17" s="4" t="s">
        <v>6041</v>
      </c>
      <c r="C17" s="4" t="s">
        <v>6031</v>
      </c>
      <c r="D17" s="4" t="s">
        <v>6033</v>
      </c>
      <c r="E17" s="4" t="s">
        <v>6034</v>
      </c>
    </row>
    <row r="18" spans="1:5" ht="21" customHeight="1">
      <c r="A18" s="4" t="s">
        <v>6030</v>
      </c>
      <c r="B18" s="4" t="s">
        <v>6041</v>
      </c>
      <c r="C18" s="4" t="s">
        <v>6035</v>
      </c>
      <c r="D18" s="4" t="s">
        <v>6033</v>
      </c>
      <c r="E18" s="4" t="s">
        <v>6034</v>
      </c>
    </row>
    <row r="19" spans="1:5" ht="21" customHeight="1">
      <c r="A19" s="4" t="s">
        <v>6030</v>
      </c>
      <c r="B19" s="4" t="s">
        <v>6041</v>
      </c>
      <c r="C19" s="4" t="s">
        <v>6036</v>
      </c>
      <c r="D19" s="4" t="s">
        <v>6033</v>
      </c>
      <c r="E19" s="4" t="s">
        <v>6034</v>
      </c>
    </row>
    <row r="20" spans="1:5" ht="21" customHeight="1">
      <c r="A20" s="4" t="s">
        <v>6030</v>
      </c>
      <c r="B20" s="4" t="s">
        <v>6041</v>
      </c>
      <c r="C20" s="4" t="s">
        <v>6037</v>
      </c>
      <c r="D20" s="4" t="s">
        <v>6033</v>
      </c>
      <c r="E20" s="4" t="s">
        <v>6034</v>
      </c>
    </row>
    <row r="21" spans="1:5" ht="21" customHeight="1">
      <c r="A21" s="4" t="s">
        <v>6030</v>
      </c>
      <c r="B21" s="4" t="s">
        <v>6041</v>
      </c>
      <c r="C21" s="4" t="s">
        <v>6038</v>
      </c>
      <c r="D21" s="4" t="s">
        <v>6033</v>
      </c>
      <c r="E21" s="4" t="s">
        <v>6034</v>
      </c>
    </row>
    <row r="22" spans="1:5" ht="21" customHeight="1">
      <c r="A22" s="4" t="s">
        <v>6030</v>
      </c>
      <c r="B22" s="4" t="s">
        <v>6042</v>
      </c>
      <c r="C22" s="4" t="s">
        <v>6032</v>
      </c>
      <c r="D22" s="4" t="s">
        <v>6033</v>
      </c>
      <c r="E22" s="4" t="s">
        <v>6034</v>
      </c>
    </row>
    <row r="23" spans="1:5" ht="21" customHeight="1">
      <c r="A23" s="4" t="s">
        <v>6030</v>
      </c>
      <c r="B23" s="4" t="s">
        <v>6042</v>
      </c>
      <c r="C23" s="4" t="s">
        <v>6031</v>
      </c>
      <c r="D23" s="4" t="s">
        <v>6033</v>
      </c>
      <c r="E23" s="4" t="s">
        <v>6034</v>
      </c>
    </row>
    <row r="24" spans="1:5" ht="21" customHeight="1">
      <c r="A24" s="4" t="s">
        <v>6030</v>
      </c>
      <c r="B24" s="4" t="s">
        <v>6042</v>
      </c>
      <c r="C24" s="4" t="s">
        <v>6035</v>
      </c>
      <c r="D24" s="4" t="s">
        <v>6033</v>
      </c>
      <c r="E24" s="4" t="s">
        <v>6034</v>
      </c>
    </row>
    <row r="25" spans="1:5" ht="21" customHeight="1">
      <c r="A25" s="4" t="s">
        <v>6030</v>
      </c>
      <c r="B25" s="4" t="s">
        <v>6042</v>
      </c>
      <c r="C25" s="4" t="s">
        <v>6036</v>
      </c>
      <c r="D25" s="4" t="s">
        <v>6033</v>
      </c>
      <c r="E25" s="4" t="s">
        <v>6034</v>
      </c>
    </row>
    <row r="26" spans="1:5" ht="21" customHeight="1">
      <c r="A26" s="4" t="s">
        <v>6030</v>
      </c>
      <c r="B26" s="4" t="s">
        <v>6042</v>
      </c>
      <c r="C26" s="4" t="s">
        <v>6037</v>
      </c>
      <c r="D26" s="4" t="s">
        <v>6033</v>
      </c>
      <c r="E26" s="4" t="s">
        <v>6034</v>
      </c>
    </row>
    <row r="27" spans="1:5" ht="21" customHeight="1">
      <c r="A27" s="4" t="s">
        <v>6030</v>
      </c>
      <c r="B27" s="4" t="s">
        <v>6042</v>
      </c>
      <c r="C27" s="4" t="s">
        <v>6038</v>
      </c>
      <c r="D27" s="4" t="s">
        <v>6033</v>
      </c>
      <c r="E27" s="4" t="s">
        <v>6034</v>
      </c>
    </row>
    <row r="28" spans="1:5" ht="21" customHeight="1">
      <c r="A28" s="4" t="s">
        <v>6030</v>
      </c>
      <c r="B28" s="4" t="s">
        <v>6042</v>
      </c>
      <c r="C28" s="4" t="s">
        <v>6041</v>
      </c>
      <c r="D28" s="4" t="s">
        <v>6033</v>
      </c>
      <c r="E28" s="4" t="s">
        <v>6034</v>
      </c>
    </row>
    <row r="29" spans="1:5" ht="21" customHeight="1">
      <c r="A29" s="4" t="s">
        <v>6030</v>
      </c>
      <c r="B29" s="4" t="s">
        <v>6043</v>
      </c>
      <c r="C29" s="4" t="s">
        <v>6032</v>
      </c>
      <c r="D29" s="4" t="s">
        <v>6033</v>
      </c>
      <c r="E29" s="4" t="s">
        <v>6034</v>
      </c>
    </row>
    <row r="30" spans="1:5" ht="21" customHeight="1">
      <c r="A30" s="4" t="s">
        <v>6030</v>
      </c>
      <c r="B30" s="4" t="s">
        <v>6043</v>
      </c>
      <c r="C30" s="4" t="s">
        <v>6031</v>
      </c>
      <c r="D30" s="4" t="s">
        <v>6033</v>
      </c>
      <c r="E30" s="4" t="s">
        <v>6034</v>
      </c>
    </row>
    <row r="31" spans="1:5" ht="21" customHeight="1">
      <c r="A31" s="4" t="s">
        <v>6030</v>
      </c>
      <c r="B31" s="4" t="s">
        <v>6043</v>
      </c>
      <c r="C31" s="4" t="s">
        <v>6035</v>
      </c>
      <c r="D31" s="4" t="s">
        <v>6033</v>
      </c>
      <c r="E31" s="4" t="s">
        <v>6034</v>
      </c>
    </row>
    <row r="32" spans="1:5" ht="21" customHeight="1">
      <c r="A32" s="4" t="s">
        <v>6030</v>
      </c>
      <c r="B32" s="4" t="s">
        <v>6043</v>
      </c>
      <c r="C32" s="4" t="s">
        <v>6036</v>
      </c>
      <c r="D32" s="4" t="s">
        <v>6033</v>
      </c>
      <c r="E32" s="4" t="s">
        <v>6034</v>
      </c>
    </row>
    <row r="33" spans="1:5" ht="21" customHeight="1">
      <c r="A33" s="4" t="s">
        <v>6030</v>
      </c>
      <c r="B33" s="4" t="s">
        <v>6043</v>
      </c>
      <c r="C33" s="4" t="s">
        <v>6037</v>
      </c>
      <c r="D33" s="4" t="s">
        <v>6033</v>
      </c>
      <c r="E33" s="4" t="s">
        <v>6034</v>
      </c>
    </row>
    <row r="34" spans="1:5" ht="21" customHeight="1">
      <c r="A34" s="4" t="s">
        <v>6030</v>
      </c>
      <c r="B34" s="4" t="s">
        <v>6043</v>
      </c>
      <c r="C34" s="4" t="s">
        <v>6038</v>
      </c>
      <c r="D34" s="4" t="s">
        <v>6033</v>
      </c>
      <c r="E34" s="4" t="s">
        <v>6034</v>
      </c>
    </row>
    <row r="35" spans="1:5" ht="21" customHeight="1">
      <c r="A35" s="4" t="s">
        <v>6030</v>
      </c>
      <c r="B35" s="4" t="s">
        <v>6043</v>
      </c>
      <c r="C35" s="4" t="s">
        <v>6041</v>
      </c>
      <c r="D35" s="4" t="s">
        <v>6033</v>
      </c>
      <c r="E35" s="4" t="s">
        <v>6034</v>
      </c>
    </row>
    <row r="36" spans="1:5" ht="21" customHeight="1">
      <c r="A36" s="4" t="s">
        <v>6030</v>
      </c>
      <c r="B36" s="4" t="s">
        <v>6043</v>
      </c>
      <c r="C36" s="4" t="s">
        <v>6042</v>
      </c>
      <c r="D36" s="4" t="s">
        <v>6033</v>
      </c>
      <c r="E36" s="4" t="s">
        <v>6034</v>
      </c>
    </row>
    <row r="37" spans="1:5" ht="21" customHeight="1">
      <c r="A37" s="4" t="s">
        <v>6030</v>
      </c>
      <c r="B37" s="4" t="s">
        <v>6044</v>
      </c>
      <c r="C37" s="4" t="s">
        <v>6032</v>
      </c>
      <c r="D37" s="4" t="s">
        <v>6039</v>
      </c>
      <c r="E37" s="4" t="s">
        <v>6040</v>
      </c>
    </row>
    <row r="38" spans="1:5" ht="21" customHeight="1">
      <c r="A38" s="4" t="s">
        <v>6030</v>
      </c>
      <c r="B38" s="4" t="s">
        <v>6044</v>
      </c>
      <c r="C38" s="4" t="s">
        <v>6031</v>
      </c>
      <c r="D38" s="4" t="s">
        <v>6039</v>
      </c>
      <c r="E38" s="4" t="s">
        <v>6040</v>
      </c>
    </row>
    <row r="39" spans="1:5" ht="21" customHeight="1">
      <c r="A39" s="4" t="s">
        <v>6030</v>
      </c>
      <c r="B39" s="4" t="s">
        <v>6044</v>
      </c>
      <c r="C39" s="4" t="s">
        <v>6035</v>
      </c>
      <c r="D39" s="4" t="s">
        <v>6039</v>
      </c>
      <c r="E39" s="4" t="s">
        <v>6040</v>
      </c>
    </row>
    <row r="40" spans="1:5" ht="21" customHeight="1">
      <c r="A40" s="4" t="s">
        <v>6030</v>
      </c>
      <c r="B40" s="4" t="s">
        <v>6044</v>
      </c>
      <c r="C40" s="4" t="s">
        <v>6036</v>
      </c>
      <c r="D40" s="4" t="s">
        <v>6039</v>
      </c>
      <c r="E40" s="4" t="s">
        <v>6040</v>
      </c>
    </row>
    <row r="41" spans="1:5" ht="21" customHeight="1">
      <c r="A41" s="4" t="s">
        <v>6030</v>
      </c>
      <c r="B41" s="4" t="s">
        <v>6044</v>
      </c>
      <c r="C41" s="4" t="s">
        <v>6037</v>
      </c>
      <c r="D41" s="4" t="s">
        <v>6039</v>
      </c>
      <c r="E41" s="4" t="s">
        <v>6040</v>
      </c>
    </row>
    <row r="42" spans="1:5" ht="21" customHeight="1">
      <c r="A42" s="4" t="s">
        <v>6030</v>
      </c>
      <c r="B42" s="4" t="s">
        <v>6044</v>
      </c>
      <c r="C42" s="4" t="s">
        <v>6038</v>
      </c>
      <c r="D42" s="4" t="s">
        <v>6039</v>
      </c>
      <c r="E42" s="4" t="s">
        <v>6040</v>
      </c>
    </row>
    <row r="43" spans="1:5" ht="21" customHeight="1">
      <c r="A43" s="4" t="s">
        <v>6030</v>
      </c>
      <c r="B43" s="4" t="s">
        <v>6044</v>
      </c>
      <c r="C43" s="4" t="s">
        <v>6041</v>
      </c>
      <c r="D43" s="4" t="s">
        <v>6039</v>
      </c>
      <c r="E43" s="4" t="s">
        <v>6040</v>
      </c>
    </row>
    <row r="44" spans="1:5" ht="21" customHeight="1">
      <c r="A44" s="4" t="s">
        <v>6030</v>
      </c>
      <c r="B44" s="4" t="s">
        <v>6044</v>
      </c>
      <c r="C44" s="4" t="s">
        <v>6042</v>
      </c>
      <c r="D44" s="4" t="s">
        <v>6039</v>
      </c>
      <c r="E44" s="4" t="s">
        <v>6040</v>
      </c>
    </row>
    <row r="45" spans="1:5" ht="21" customHeight="1">
      <c r="A45" s="4" t="s">
        <v>6030</v>
      </c>
      <c r="B45" s="4" t="s">
        <v>6044</v>
      </c>
      <c r="C45" s="4" t="s">
        <v>6043</v>
      </c>
      <c r="D45" s="4" t="s">
        <v>6039</v>
      </c>
      <c r="E45" s="4" t="s">
        <v>6040</v>
      </c>
    </row>
    <row r="46" spans="1:5" ht="21" customHeight="1">
      <c r="A46" s="4" t="s">
        <v>6030</v>
      </c>
      <c r="B46" s="4" t="s">
        <v>6045</v>
      </c>
      <c r="C46" s="4" t="s">
        <v>6032</v>
      </c>
      <c r="D46" s="4" t="s">
        <v>6033</v>
      </c>
      <c r="E46" s="4" t="s">
        <v>6034</v>
      </c>
    </row>
    <row r="47" spans="1:5" ht="21" customHeight="1">
      <c r="A47" s="4" t="s">
        <v>6030</v>
      </c>
      <c r="B47" s="4" t="s">
        <v>6045</v>
      </c>
      <c r="C47" s="4" t="s">
        <v>6031</v>
      </c>
      <c r="D47" s="4" t="s">
        <v>6033</v>
      </c>
      <c r="E47" s="4" t="s">
        <v>6034</v>
      </c>
    </row>
    <row r="48" spans="1:5" ht="21" customHeight="1">
      <c r="A48" s="4" t="s">
        <v>6030</v>
      </c>
      <c r="B48" s="4" t="s">
        <v>6045</v>
      </c>
      <c r="C48" s="4" t="s">
        <v>6035</v>
      </c>
      <c r="D48" s="4" t="s">
        <v>6033</v>
      </c>
      <c r="E48" s="4" t="s">
        <v>6034</v>
      </c>
    </row>
    <row r="49" spans="1:5" ht="21" customHeight="1">
      <c r="A49" s="4" t="s">
        <v>6030</v>
      </c>
      <c r="B49" s="4" t="s">
        <v>6045</v>
      </c>
      <c r="C49" s="4" t="s">
        <v>6036</v>
      </c>
      <c r="D49" s="4" t="s">
        <v>6033</v>
      </c>
      <c r="E49" s="4" t="s">
        <v>6034</v>
      </c>
    </row>
    <row r="50" spans="1:5" ht="21" customHeight="1">
      <c r="A50" s="4" t="s">
        <v>6030</v>
      </c>
      <c r="B50" s="4" t="s">
        <v>6045</v>
      </c>
      <c r="C50" s="4" t="s">
        <v>6037</v>
      </c>
      <c r="D50" s="4" t="s">
        <v>6033</v>
      </c>
      <c r="E50" s="4" t="s">
        <v>6034</v>
      </c>
    </row>
    <row r="51" spans="1:5" ht="21" customHeight="1">
      <c r="A51" s="4" t="s">
        <v>6030</v>
      </c>
      <c r="B51" s="4" t="s">
        <v>6045</v>
      </c>
      <c r="C51" s="4" t="s">
        <v>6038</v>
      </c>
      <c r="D51" s="4" t="s">
        <v>6039</v>
      </c>
      <c r="E51" s="4" t="s">
        <v>6040</v>
      </c>
    </row>
    <row r="52" spans="1:5" ht="21" customHeight="1">
      <c r="A52" s="4" t="s">
        <v>6030</v>
      </c>
      <c r="B52" s="4" t="s">
        <v>6045</v>
      </c>
      <c r="C52" s="4" t="s">
        <v>6041</v>
      </c>
      <c r="D52" s="4" t="s">
        <v>6039</v>
      </c>
      <c r="E52" s="4" t="s">
        <v>6040</v>
      </c>
    </row>
    <row r="53" spans="1:5" ht="21" customHeight="1">
      <c r="A53" s="4" t="s">
        <v>6030</v>
      </c>
      <c r="B53" s="4" t="s">
        <v>6045</v>
      </c>
      <c r="C53" s="4" t="s">
        <v>6042</v>
      </c>
      <c r="D53" s="4" t="s">
        <v>6039</v>
      </c>
      <c r="E53" s="4" t="s">
        <v>6040</v>
      </c>
    </row>
    <row r="54" spans="1:5" ht="21" customHeight="1">
      <c r="A54" s="4" t="s">
        <v>6030</v>
      </c>
      <c r="B54" s="4" t="s">
        <v>6045</v>
      </c>
      <c r="C54" s="4" t="s">
        <v>6043</v>
      </c>
      <c r="D54" s="4" t="s">
        <v>6039</v>
      </c>
      <c r="E54" s="4" t="s">
        <v>6040</v>
      </c>
    </row>
    <row r="55" spans="1:5" ht="21" customHeight="1">
      <c r="A55" s="4" t="s">
        <v>6030</v>
      </c>
      <c r="B55" s="4" t="s">
        <v>6045</v>
      </c>
      <c r="C55" s="4" t="s">
        <v>6044</v>
      </c>
      <c r="D55" s="4" t="s">
        <v>6033</v>
      </c>
      <c r="E55" s="4" t="s">
        <v>6034</v>
      </c>
    </row>
    <row r="56" spans="1:5" ht="21" customHeight="1">
      <c r="A56" s="4" t="s">
        <v>6030</v>
      </c>
      <c r="B56" s="4" t="s">
        <v>6046</v>
      </c>
      <c r="C56" s="4" t="s">
        <v>6032</v>
      </c>
      <c r="D56" s="4" t="s">
        <v>6033</v>
      </c>
      <c r="E56" s="4" t="s">
        <v>6034</v>
      </c>
    </row>
    <row r="57" spans="1:5" ht="21" customHeight="1">
      <c r="A57" s="4" t="s">
        <v>6030</v>
      </c>
      <c r="B57" s="4" t="s">
        <v>6046</v>
      </c>
      <c r="C57" s="4" t="s">
        <v>6031</v>
      </c>
      <c r="D57" s="4" t="s">
        <v>6033</v>
      </c>
      <c r="E57" s="4" t="s">
        <v>6034</v>
      </c>
    </row>
    <row r="58" spans="1:5" ht="21" customHeight="1">
      <c r="A58" s="4" t="s">
        <v>6030</v>
      </c>
      <c r="B58" s="4" t="s">
        <v>6046</v>
      </c>
      <c r="C58" s="4" t="s">
        <v>6035</v>
      </c>
      <c r="D58" s="4" t="s">
        <v>6033</v>
      </c>
      <c r="E58" s="4" t="s">
        <v>6034</v>
      </c>
    </row>
    <row r="59" spans="1:5">
      <c r="A59" s="4" t="s">
        <v>6030</v>
      </c>
      <c r="B59" s="4" t="s">
        <v>6046</v>
      </c>
      <c r="C59" s="4" t="s">
        <v>6036</v>
      </c>
      <c r="D59" s="4" t="s">
        <v>6033</v>
      </c>
      <c r="E59" s="4" t="s">
        <v>6034</v>
      </c>
    </row>
    <row r="60" spans="1:5">
      <c r="A60" s="4" t="s">
        <v>6030</v>
      </c>
      <c r="B60" s="4" t="s">
        <v>6046</v>
      </c>
      <c r="C60" s="4" t="s">
        <v>6037</v>
      </c>
      <c r="D60" s="4" t="s">
        <v>6033</v>
      </c>
      <c r="E60" s="4" t="s">
        <v>6034</v>
      </c>
    </row>
    <row r="61" spans="1:5">
      <c r="A61" s="4" t="s">
        <v>6030</v>
      </c>
      <c r="B61" s="4" t="s">
        <v>6046</v>
      </c>
      <c r="C61" s="4" t="s">
        <v>6038</v>
      </c>
      <c r="D61" s="4" t="s">
        <v>6033</v>
      </c>
      <c r="E61" s="4" t="s">
        <v>6034</v>
      </c>
    </row>
    <row r="62" spans="1:5">
      <c r="A62" s="4" t="s">
        <v>6030</v>
      </c>
      <c r="B62" s="4" t="s">
        <v>6046</v>
      </c>
      <c r="C62" s="4" t="s">
        <v>6041</v>
      </c>
      <c r="D62" s="4" t="s">
        <v>6033</v>
      </c>
      <c r="E62" s="4" t="s">
        <v>6034</v>
      </c>
    </row>
    <row r="63" spans="1:5">
      <c r="A63" s="4" t="s">
        <v>6030</v>
      </c>
      <c r="B63" s="4" t="s">
        <v>6046</v>
      </c>
      <c r="C63" s="4" t="s">
        <v>6042</v>
      </c>
      <c r="D63" s="4" t="s">
        <v>6039</v>
      </c>
      <c r="E63" s="4" t="s">
        <v>6040</v>
      </c>
    </row>
    <row r="64" spans="1:5">
      <c r="A64" s="4" t="s">
        <v>6030</v>
      </c>
      <c r="B64" s="4" t="s">
        <v>6046</v>
      </c>
      <c r="C64" s="4" t="s">
        <v>6043</v>
      </c>
      <c r="D64" s="4" t="s">
        <v>6039</v>
      </c>
      <c r="E64" s="4" t="s">
        <v>6040</v>
      </c>
    </row>
    <row r="65" spans="1:5">
      <c r="A65" s="4" t="s">
        <v>6030</v>
      </c>
      <c r="B65" s="4" t="s">
        <v>6046</v>
      </c>
      <c r="C65" s="4" t="s">
        <v>6044</v>
      </c>
      <c r="D65" s="4" t="s">
        <v>6033</v>
      </c>
      <c r="E65" s="4" t="s">
        <v>6034</v>
      </c>
    </row>
    <row r="66" spans="1:5">
      <c r="A66" s="4" t="s">
        <v>6030</v>
      </c>
      <c r="B66" s="4" t="s">
        <v>6046</v>
      </c>
      <c r="C66" s="4" t="s">
        <v>6045</v>
      </c>
      <c r="D66" s="4" t="s">
        <v>6033</v>
      </c>
      <c r="E66" s="4" t="s">
        <v>6034</v>
      </c>
    </row>
    <row r="67" spans="1:5">
      <c r="A67" s="4" t="s">
        <v>6030</v>
      </c>
      <c r="B67" s="4" t="s">
        <v>6047</v>
      </c>
      <c r="C67" s="4" t="s">
        <v>6032</v>
      </c>
      <c r="D67" s="4" t="s">
        <v>6033</v>
      </c>
      <c r="E67" s="4" t="s">
        <v>6034</v>
      </c>
    </row>
    <row r="68" spans="1:5">
      <c r="A68" s="4" t="s">
        <v>6030</v>
      </c>
      <c r="B68" s="4" t="s">
        <v>6047</v>
      </c>
      <c r="C68" s="4" t="s">
        <v>6031</v>
      </c>
      <c r="D68" s="4" t="s">
        <v>6033</v>
      </c>
      <c r="E68" s="4" t="s">
        <v>6034</v>
      </c>
    </row>
    <row r="69" spans="1:5">
      <c r="A69" s="4" t="s">
        <v>6030</v>
      </c>
      <c r="B69" s="4" t="s">
        <v>6047</v>
      </c>
      <c r="C69" s="4" t="s">
        <v>6035</v>
      </c>
      <c r="D69" s="4" t="s">
        <v>6033</v>
      </c>
      <c r="E69" s="4" t="s">
        <v>6034</v>
      </c>
    </row>
    <row r="70" spans="1:5">
      <c r="A70" s="4" t="s">
        <v>6030</v>
      </c>
      <c r="B70" s="4" t="s">
        <v>6047</v>
      </c>
      <c r="C70" s="4" t="s">
        <v>6036</v>
      </c>
      <c r="D70" s="4" t="s">
        <v>6033</v>
      </c>
      <c r="E70" s="4" t="s">
        <v>6034</v>
      </c>
    </row>
    <row r="71" spans="1:5">
      <c r="A71" s="4" t="s">
        <v>6030</v>
      </c>
      <c r="B71" s="4" t="s">
        <v>6047</v>
      </c>
      <c r="C71" s="4" t="s">
        <v>6037</v>
      </c>
      <c r="D71" s="4" t="s">
        <v>6033</v>
      </c>
      <c r="E71" s="4" t="s">
        <v>6034</v>
      </c>
    </row>
    <row r="72" spans="1:5">
      <c r="A72" s="4" t="s">
        <v>6030</v>
      </c>
      <c r="B72" s="4" t="s">
        <v>6047</v>
      </c>
      <c r="C72" s="4" t="s">
        <v>6038</v>
      </c>
      <c r="D72" s="4" t="s">
        <v>6033</v>
      </c>
      <c r="E72" s="4" t="s">
        <v>6034</v>
      </c>
    </row>
    <row r="73" spans="1:5">
      <c r="A73" s="4" t="s">
        <v>6030</v>
      </c>
      <c r="B73" s="4" t="s">
        <v>6047</v>
      </c>
      <c r="C73" s="4" t="s">
        <v>6041</v>
      </c>
      <c r="D73" s="4" t="s">
        <v>6033</v>
      </c>
      <c r="E73" s="4" t="s">
        <v>6034</v>
      </c>
    </row>
    <row r="74" spans="1:5">
      <c r="A74" s="4" t="s">
        <v>6030</v>
      </c>
      <c r="B74" s="4" t="s">
        <v>6047</v>
      </c>
      <c r="C74" s="4" t="s">
        <v>6042</v>
      </c>
      <c r="D74" s="4" t="s">
        <v>6033</v>
      </c>
      <c r="E74" s="4" t="s">
        <v>6034</v>
      </c>
    </row>
    <row r="75" spans="1:5">
      <c r="A75" s="4" t="s">
        <v>6030</v>
      </c>
      <c r="B75" s="4" t="s">
        <v>6047</v>
      </c>
      <c r="C75" s="4" t="s">
        <v>6043</v>
      </c>
      <c r="D75" s="4" t="s">
        <v>6039</v>
      </c>
      <c r="E75" s="4" t="s">
        <v>6040</v>
      </c>
    </row>
    <row r="76" spans="1:5">
      <c r="A76" s="4" t="s">
        <v>6030</v>
      </c>
      <c r="B76" s="4" t="s">
        <v>6047</v>
      </c>
      <c r="C76" s="4" t="s">
        <v>6044</v>
      </c>
      <c r="D76" s="4" t="s">
        <v>6033</v>
      </c>
      <c r="E76" s="4" t="s">
        <v>6034</v>
      </c>
    </row>
    <row r="77" spans="1:5">
      <c r="A77" s="4" t="s">
        <v>6030</v>
      </c>
      <c r="B77" s="4" t="s">
        <v>6047</v>
      </c>
      <c r="C77" s="4" t="s">
        <v>6045</v>
      </c>
      <c r="D77" s="4" t="s">
        <v>6033</v>
      </c>
      <c r="E77" s="4" t="s">
        <v>6034</v>
      </c>
    </row>
    <row r="78" spans="1:5">
      <c r="A78" s="4" t="s">
        <v>6030</v>
      </c>
      <c r="B78" s="4" t="s">
        <v>6047</v>
      </c>
      <c r="C78" s="4" t="s">
        <v>6046</v>
      </c>
      <c r="D78" s="4" t="s">
        <v>6033</v>
      </c>
      <c r="E78" s="4" t="s">
        <v>6034</v>
      </c>
    </row>
    <row r="79" spans="1:5">
      <c r="A79" s="4" t="s">
        <v>6030</v>
      </c>
      <c r="B79" s="4" t="s">
        <v>6048</v>
      </c>
      <c r="C79" s="4" t="s">
        <v>6032</v>
      </c>
      <c r="D79" s="4" t="s">
        <v>6033</v>
      </c>
      <c r="E79" s="4" t="s">
        <v>6034</v>
      </c>
    </row>
    <row r="80" spans="1:5">
      <c r="A80" s="4" t="s">
        <v>6030</v>
      </c>
      <c r="B80" s="4" t="s">
        <v>6048</v>
      </c>
      <c r="C80" s="4" t="s">
        <v>6031</v>
      </c>
      <c r="D80" s="4" t="s">
        <v>6033</v>
      </c>
      <c r="E80" s="4" t="s">
        <v>6034</v>
      </c>
    </row>
    <row r="81" spans="1:5">
      <c r="A81" s="4" t="s">
        <v>6030</v>
      </c>
      <c r="B81" s="4" t="s">
        <v>6048</v>
      </c>
      <c r="C81" s="4" t="s">
        <v>6035</v>
      </c>
      <c r="D81" s="4" t="s">
        <v>6033</v>
      </c>
      <c r="E81" s="4" t="s">
        <v>6034</v>
      </c>
    </row>
    <row r="82" spans="1:5">
      <c r="A82" s="4" t="s">
        <v>6030</v>
      </c>
      <c r="B82" s="4" t="s">
        <v>6048</v>
      </c>
      <c r="C82" s="4" t="s">
        <v>6036</v>
      </c>
      <c r="D82" s="4" t="s">
        <v>6033</v>
      </c>
      <c r="E82" s="4" t="s">
        <v>6034</v>
      </c>
    </row>
    <row r="83" spans="1:5">
      <c r="A83" s="4" t="s">
        <v>6030</v>
      </c>
      <c r="B83" s="4" t="s">
        <v>6048</v>
      </c>
      <c r="C83" s="4" t="s">
        <v>6037</v>
      </c>
      <c r="D83" s="4" t="s">
        <v>6033</v>
      </c>
      <c r="E83" s="4" t="s">
        <v>6034</v>
      </c>
    </row>
    <row r="84" spans="1:5">
      <c r="A84" s="4" t="s">
        <v>6030</v>
      </c>
      <c r="B84" s="4" t="s">
        <v>6048</v>
      </c>
      <c r="C84" s="4" t="s">
        <v>6038</v>
      </c>
      <c r="D84" s="4" t="s">
        <v>6033</v>
      </c>
      <c r="E84" s="4" t="s">
        <v>6034</v>
      </c>
    </row>
    <row r="85" spans="1:5">
      <c r="A85" s="4" t="s">
        <v>6030</v>
      </c>
      <c r="B85" s="4" t="s">
        <v>6048</v>
      </c>
      <c r="C85" s="4" t="s">
        <v>6041</v>
      </c>
      <c r="D85" s="4" t="s">
        <v>6033</v>
      </c>
      <c r="E85" s="4" t="s">
        <v>6034</v>
      </c>
    </row>
    <row r="86" spans="1:5">
      <c r="A86" s="4" t="s">
        <v>6030</v>
      </c>
      <c r="B86" s="4" t="s">
        <v>6048</v>
      </c>
      <c r="C86" s="4" t="s">
        <v>6042</v>
      </c>
      <c r="D86" s="4" t="s">
        <v>6033</v>
      </c>
      <c r="E86" s="4" t="s">
        <v>6034</v>
      </c>
    </row>
    <row r="87" spans="1:5">
      <c r="A87" s="4" t="s">
        <v>6030</v>
      </c>
      <c r="B87" s="4" t="s">
        <v>6048</v>
      </c>
      <c r="C87" s="4" t="s">
        <v>6043</v>
      </c>
      <c r="D87" s="4" t="s">
        <v>6033</v>
      </c>
      <c r="E87" s="4" t="s">
        <v>6034</v>
      </c>
    </row>
    <row r="88" spans="1:5">
      <c r="A88" s="4" t="s">
        <v>6030</v>
      </c>
      <c r="B88" s="4" t="s">
        <v>6048</v>
      </c>
      <c r="C88" s="4" t="s">
        <v>6044</v>
      </c>
      <c r="D88" s="4" t="s">
        <v>6033</v>
      </c>
      <c r="E88" s="4" t="s">
        <v>6034</v>
      </c>
    </row>
    <row r="89" spans="1:5">
      <c r="A89" s="4" t="s">
        <v>6030</v>
      </c>
      <c r="B89" s="4" t="s">
        <v>6048</v>
      </c>
      <c r="C89" s="4" t="s">
        <v>6045</v>
      </c>
      <c r="D89" s="4" t="s">
        <v>6033</v>
      </c>
      <c r="E89" s="4" t="s">
        <v>6034</v>
      </c>
    </row>
    <row r="90" spans="1:5">
      <c r="A90" s="4" t="s">
        <v>6030</v>
      </c>
      <c r="B90" s="4" t="s">
        <v>6048</v>
      </c>
      <c r="C90" s="4" t="s">
        <v>6046</v>
      </c>
      <c r="D90" s="4" t="s">
        <v>6033</v>
      </c>
      <c r="E90" s="4" t="s">
        <v>6034</v>
      </c>
    </row>
    <row r="91" spans="1:5">
      <c r="A91" s="4" t="s">
        <v>6030</v>
      </c>
      <c r="B91" s="4" t="s">
        <v>6048</v>
      </c>
      <c r="C91" s="4" t="s">
        <v>6047</v>
      </c>
      <c r="D91" s="4" t="s">
        <v>6033</v>
      </c>
      <c r="E91" s="4" t="s">
        <v>6034</v>
      </c>
    </row>
    <row r="92" spans="1:5">
      <c r="A92" s="4" t="s">
        <v>6030</v>
      </c>
      <c r="B92" s="4" t="s">
        <v>6049</v>
      </c>
      <c r="C92" s="4" t="s">
        <v>6032</v>
      </c>
      <c r="D92" s="4" t="s">
        <v>6033</v>
      </c>
      <c r="E92" s="4" t="s">
        <v>6034</v>
      </c>
    </row>
    <row r="93" spans="1:5">
      <c r="A93" s="4" t="s">
        <v>6030</v>
      </c>
      <c r="B93" s="4" t="s">
        <v>6049</v>
      </c>
      <c r="C93" s="4" t="s">
        <v>6031</v>
      </c>
      <c r="D93" s="4" t="s">
        <v>6033</v>
      </c>
      <c r="E93" s="4" t="s">
        <v>6034</v>
      </c>
    </row>
    <row r="94" spans="1:5">
      <c r="A94" s="4" t="s">
        <v>6030</v>
      </c>
      <c r="B94" s="4" t="s">
        <v>6049</v>
      </c>
      <c r="C94" s="4" t="s">
        <v>6035</v>
      </c>
      <c r="D94" s="4" t="s">
        <v>6033</v>
      </c>
      <c r="E94" s="4" t="s">
        <v>6034</v>
      </c>
    </row>
    <row r="95" spans="1:5">
      <c r="A95" s="4" t="s">
        <v>6030</v>
      </c>
      <c r="B95" s="4" t="s">
        <v>6049</v>
      </c>
      <c r="C95" s="4" t="s">
        <v>6036</v>
      </c>
      <c r="D95" s="4" t="s">
        <v>6033</v>
      </c>
      <c r="E95" s="4" t="s">
        <v>6034</v>
      </c>
    </row>
    <row r="96" spans="1:5">
      <c r="A96" s="4" t="s">
        <v>6030</v>
      </c>
      <c r="B96" s="4" t="s">
        <v>6049</v>
      </c>
      <c r="C96" s="4" t="s">
        <v>6037</v>
      </c>
      <c r="D96" s="4" t="s">
        <v>6033</v>
      </c>
      <c r="E96" s="4" t="s">
        <v>6034</v>
      </c>
    </row>
    <row r="97" spans="1:5">
      <c r="A97" s="4" t="s">
        <v>6030</v>
      </c>
      <c r="B97" s="4" t="s">
        <v>6049</v>
      </c>
      <c r="C97" s="4" t="s">
        <v>6038</v>
      </c>
      <c r="D97" s="4" t="s">
        <v>6033</v>
      </c>
      <c r="E97" s="4" t="s">
        <v>6034</v>
      </c>
    </row>
    <row r="98" spans="1:5">
      <c r="A98" s="4" t="s">
        <v>6030</v>
      </c>
      <c r="B98" s="4" t="s">
        <v>6049</v>
      </c>
      <c r="C98" s="4" t="s">
        <v>6041</v>
      </c>
      <c r="D98" s="4" t="s">
        <v>6033</v>
      </c>
      <c r="E98" s="4" t="s">
        <v>6034</v>
      </c>
    </row>
    <row r="99" spans="1:5">
      <c r="A99" s="4" t="s">
        <v>6030</v>
      </c>
      <c r="B99" s="4" t="s">
        <v>6049</v>
      </c>
      <c r="C99" s="4" t="s">
        <v>6042</v>
      </c>
      <c r="D99" s="4" t="s">
        <v>6033</v>
      </c>
      <c r="E99" s="4" t="s">
        <v>6034</v>
      </c>
    </row>
    <row r="100" spans="1:5">
      <c r="A100" s="4" t="s">
        <v>6030</v>
      </c>
      <c r="B100" s="4" t="s">
        <v>6049</v>
      </c>
      <c r="C100" s="4" t="s">
        <v>6043</v>
      </c>
      <c r="D100" s="4" t="s">
        <v>6033</v>
      </c>
      <c r="E100" s="4" t="s">
        <v>6034</v>
      </c>
    </row>
    <row r="101" spans="1:5">
      <c r="A101" s="4" t="s">
        <v>6030</v>
      </c>
      <c r="B101" s="4" t="s">
        <v>6049</v>
      </c>
      <c r="C101" s="4" t="s">
        <v>6044</v>
      </c>
      <c r="D101" s="4" t="s">
        <v>6033</v>
      </c>
      <c r="E101" s="4" t="s">
        <v>6034</v>
      </c>
    </row>
    <row r="102" spans="1:5">
      <c r="A102" s="4" t="s">
        <v>6030</v>
      </c>
      <c r="B102" s="4" t="s">
        <v>6049</v>
      </c>
      <c r="C102" s="4" t="s">
        <v>6045</v>
      </c>
      <c r="D102" s="4" t="s">
        <v>6033</v>
      </c>
      <c r="E102" s="4" t="s">
        <v>6034</v>
      </c>
    </row>
    <row r="103" spans="1:5">
      <c r="A103" s="4" t="s">
        <v>6030</v>
      </c>
      <c r="B103" s="4" t="s">
        <v>6049</v>
      </c>
      <c r="C103" s="4" t="s">
        <v>6046</v>
      </c>
      <c r="D103" s="4" t="s">
        <v>6033</v>
      </c>
      <c r="E103" s="4" t="s">
        <v>6034</v>
      </c>
    </row>
    <row r="104" spans="1:5">
      <c r="A104" s="4" t="s">
        <v>6030</v>
      </c>
      <c r="B104" s="4" t="s">
        <v>6049</v>
      </c>
      <c r="C104" s="4" t="s">
        <v>6047</v>
      </c>
      <c r="D104" s="4" t="s">
        <v>6033</v>
      </c>
      <c r="E104" s="4" t="s">
        <v>6034</v>
      </c>
    </row>
    <row r="105" spans="1:5">
      <c r="A105" s="4" t="s">
        <v>6030</v>
      </c>
      <c r="B105" s="4" t="s">
        <v>6049</v>
      </c>
      <c r="C105" s="4" t="s">
        <v>6048</v>
      </c>
      <c r="D105" s="4" t="s">
        <v>6033</v>
      </c>
      <c r="E105" s="4" t="s">
        <v>6034</v>
      </c>
    </row>
    <row r="106" spans="1:5">
      <c r="A106" s="4" t="s">
        <v>6030</v>
      </c>
      <c r="B106" s="4" t="s">
        <v>6050</v>
      </c>
      <c r="C106" s="4" t="s">
        <v>6032</v>
      </c>
      <c r="D106" s="4" t="s">
        <v>6033</v>
      </c>
      <c r="E106" s="4" t="s">
        <v>6034</v>
      </c>
    </row>
    <row r="107" spans="1:5">
      <c r="A107" s="4" t="s">
        <v>6030</v>
      </c>
      <c r="B107" s="4" t="s">
        <v>6050</v>
      </c>
      <c r="C107" s="4" t="s">
        <v>6031</v>
      </c>
      <c r="D107" s="4" t="s">
        <v>6033</v>
      </c>
      <c r="E107" s="4" t="s">
        <v>6034</v>
      </c>
    </row>
    <row r="108" spans="1:5">
      <c r="A108" s="4" t="s">
        <v>6030</v>
      </c>
      <c r="B108" s="4" t="s">
        <v>6050</v>
      </c>
      <c r="C108" s="4" t="s">
        <v>6035</v>
      </c>
      <c r="D108" s="4" t="s">
        <v>6033</v>
      </c>
      <c r="E108" s="4" t="s">
        <v>6034</v>
      </c>
    </row>
    <row r="109" spans="1:5">
      <c r="A109" s="4" t="s">
        <v>6030</v>
      </c>
      <c r="B109" s="4" t="s">
        <v>6050</v>
      </c>
      <c r="C109" s="4" t="s">
        <v>6036</v>
      </c>
      <c r="D109" s="4" t="s">
        <v>6033</v>
      </c>
      <c r="E109" s="4" t="s">
        <v>6034</v>
      </c>
    </row>
    <row r="110" spans="1:5">
      <c r="A110" s="4" t="s">
        <v>6030</v>
      </c>
      <c r="B110" s="4" t="s">
        <v>6050</v>
      </c>
      <c r="C110" s="4" t="s">
        <v>6037</v>
      </c>
      <c r="D110" s="4" t="s">
        <v>6033</v>
      </c>
      <c r="E110" s="4" t="s">
        <v>6034</v>
      </c>
    </row>
    <row r="111" spans="1:5">
      <c r="A111" s="4" t="s">
        <v>6030</v>
      </c>
      <c r="B111" s="4" t="s">
        <v>6050</v>
      </c>
      <c r="C111" s="4" t="s">
        <v>6038</v>
      </c>
      <c r="D111" s="4" t="s">
        <v>6033</v>
      </c>
      <c r="E111" s="4" t="s">
        <v>6034</v>
      </c>
    </row>
    <row r="112" spans="1:5">
      <c r="A112" s="4" t="s">
        <v>6030</v>
      </c>
      <c r="B112" s="4" t="s">
        <v>6050</v>
      </c>
      <c r="C112" s="4" t="s">
        <v>6041</v>
      </c>
      <c r="D112" s="4" t="s">
        <v>6033</v>
      </c>
      <c r="E112" s="4" t="s">
        <v>6034</v>
      </c>
    </row>
    <row r="113" spans="1:5">
      <c r="A113" s="4" t="s">
        <v>6030</v>
      </c>
      <c r="B113" s="4" t="s">
        <v>6050</v>
      </c>
      <c r="C113" s="4" t="s">
        <v>6042</v>
      </c>
      <c r="D113" s="4" t="s">
        <v>6033</v>
      </c>
      <c r="E113" s="4" t="s">
        <v>6034</v>
      </c>
    </row>
    <row r="114" spans="1:5">
      <c r="A114" s="4" t="s">
        <v>6030</v>
      </c>
      <c r="B114" s="4" t="s">
        <v>6050</v>
      </c>
      <c r="C114" s="4" t="s">
        <v>6043</v>
      </c>
      <c r="D114" s="4" t="s">
        <v>6033</v>
      </c>
      <c r="E114" s="4" t="s">
        <v>6034</v>
      </c>
    </row>
    <row r="115" spans="1:5">
      <c r="A115" s="4" t="s">
        <v>6030</v>
      </c>
      <c r="B115" s="4" t="s">
        <v>6050</v>
      </c>
      <c r="C115" s="4" t="s">
        <v>6044</v>
      </c>
      <c r="D115" s="4" t="s">
        <v>6033</v>
      </c>
      <c r="E115" s="4" t="s">
        <v>6034</v>
      </c>
    </row>
    <row r="116" spans="1:5">
      <c r="A116" s="4" t="s">
        <v>6030</v>
      </c>
      <c r="B116" s="4" t="s">
        <v>6050</v>
      </c>
      <c r="C116" s="4" t="s">
        <v>6045</v>
      </c>
      <c r="D116" s="4" t="s">
        <v>6033</v>
      </c>
      <c r="E116" s="4" t="s">
        <v>6034</v>
      </c>
    </row>
    <row r="117" spans="1:5">
      <c r="A117" s="4" t="s">
        <v>6030</v>
      </c>
      <c r="B117" s="4" t="s">
        <v>6050</v>
      </c>
      <c r="C117" s="4" t="s">
        <v>6046</v>
      </c>
      <c r="D117" s="4" t="s">
        <v>6033</v>
      </c>
      <c r="E117" s="4" t="s">
        <v>6034</v>
      </c>
    </row>
    <row r="118" spans="1:5">
      <c r="A118" s="4" t="s">
        <v>6030</v>
      </c>
      <c r="B118" s="4" t="s">
        <v>6050</v>
      </c>
      <c r="C118" s="4" t="s">
        <v>6047</v>
      </c>
      <c r="D118" s="4" t="s">
        <v>6033</v>
      </c>
      <c r="E118" s="4" t="s">
        <v>6034</v>
      </c>
    </row>
    <row r="119" spans="1:5">
      <c r="A119" s="4" t="s">
        <v>6030</v>
      </c>
      <c r="B119" s="4" t="s">
        <v>6050</v>
      </c>
      <c r="C119" s="4" t="s">
        <v>6048</v>
      </c>
      <c r="D119" s="4" t="s">
        <v>6033</v>
      </c>
      <c r="E119" s="4" t="s">
        <v>6034</v>
      </c>
    </row>
    <row r="120" spans="1:5">
      <c r="A120" s="4" t="s">
        <v>6030</v>
      </c>
      <c r="B120" s="4" t="s">
        <v>6050</v>
      </c>
      <c r="C120" s="4" t="s">
        <v>6049</v>
      </c>
      <c r="D120" s="4" t="s">
        <v>6033</v>
      </c>
      <c r="E120" s="4" t="s">
        <v>6034</v>
      </c>
    </row>
    <row r="121" spans="1:5">
      <c r="A121" s="4" t="s">
        <v>6030</v>
      </c>
      <c r="B121" s="4" t="s">
        <v>6051</v>
      </c>
      <c r="C121" s="4" t="s">
        <v>6032</v>
      </c>
      <c r="D121" s="4" t="s">
        <v>6033</v>
      </c>
      <c r="E121" s="4" t="s">
        <v>6034</v>
      </c>
    </row>
    <row r="122" spans="1:5">
      <c r="A122" s="4" t="s">
        <v>6030</v>
      </c>
      <c r="B122" s="4" t="s">
        <v>6051</v>
      </c>
      <c r="C122" s="4" t="s">
        <v>6031</v>
      </c>
      <c r="D122" s="4" t="s">
        <v>6033</v>
      </c>
      <c r="E122" s="4" t="s">
        <v>6034</v>
      </c>
    </row>
    <row r="123" spans="1:5">
      <c r="A123" s="4" t="s">
        <v>6030</v>
      </c>
      <c r="B123" s="4" t="s">
        <v>6051</v>
      </c>
      <c r="C123" s="4" t="s">
        <v>6035</v>
      </c>
      <c r="D123" s="4" t="s">
        <v>6033</v>
      </c>
      <c r="E123" s="4" t="s">
        <v>6034</v>
      </c>
    </row>
    <row r="124" spans="1:5">
      <c r="A124" s="4" t="s">
        <v>6030</v>
      </c>
      <c r="B124" s="4" t="s">
        <v>6051</v>
      </c>
      <c r="C124" s="4" t="s">
        <v>6036</v>
      </c>
      <c r="D124" s="4" t="s">
        <v>6033</v>
      </c>
      <c r="E124" s="4" t="s">
        <v>6034</v>
      </c>
    </row>
    <row r="125" spans="1:5">
      <c r="A125" s="4" t="s">
        <v>6030</v>
      </c>
      <c r="B125" s="4" t="s">
        <v>6051</v>
      </c>
      <c r="C125" s="4" t="s">
        <v>6037</v>
      </c>
      <c r="D125" s="4" t="s">
        <v>6033</v>
      </c>
      <c r="E125" s="4" t="s">
        <v>6034</v>
      </c>
    </row>
    <row r="126" spans="1:5">
      <c r="A126" s="4" t="s">
        <v>6030</v>
      </c>
      <c r="B126" s="4" t="s">
        <v>6051</v>
      </c>
      <c r="C126" s="4" t="s">
        <v>6038</v>
      </c>
      <c r="D126" s="4" t="s">
        <v>6033</v>
      </c>
      <c r="E126" s="4" t="s">
        <v>6034</v>
      </c>
    </row>
    <row r="127" spans="1:5">
      <c r="A127" s="4" t="s">
        <v>6030</v>
      </c>
      <c r="B127" s="4" t="s">
        <v>6051</v>
      </c>
      <c r="C127" s="4" t="s">
        <v>6041</v>
      </c>
      <c r="D127" s="4" t="s">
        <v>6033</v>
      </c>
      <c r="E127" s="4" t="s">
        <v>6034</v>
      </c>
    </row>
    <row r="128" spans="1:5">
      <c r="A128" s="4" t="s">
        <v>6030</v>
      </c>
      <c r="B128" s="4" t="s">
        <v>6051</v>
      </c>
      <c r="C128" s="4" t="s">
        <v>6042</v>
      </c>
      <c r="D128" s="4" t="s">
        <v>6033</v>
      </c>
      <c r="E128" s="4" t="s">
        <v>6034</v>
      </c>
    </row>
    <row r="129" spans="1:5">
      <c r="A129" s="4" t="s">
        <v>6030</v>
      </c>
      <c r="B129" s="4" t="s">
        <v>6051</v>
      </c>
      <c r="C129" s="4" t="s">
        <v>6043</v>
      </c>
      <c r="D129" s="4" t="s">
        <v>6033</v>
      </c>
      <c r="E129" s="4" t="s">
        <v>6034</v>
      </c>
    </row>
    <row r="130" spans="1:5">
      <c r="A130" s="4" t="s">
        <v>6030</v>
      </c>
      <c r="B130" s="4" t="s">
        <v>6051</v>
      </c>
      <c r="C130" s="4" t="s">
        <v>6044</v>
      </c>
      <c r="D130" s="4" t="s">
        <v>6033</v>
      </c>
      <c r="E130" s="4" t="s">
        <v>6034</v>
      </c>
    </row>
    <row r="131" spans="1:5">
      <c r="A131" s="4" t="s">
        <v>6030</v>
      </c>
      <c r="B131" s="4" t="s">
        <v>6051</v>
      </c>
      <c r="C131" s="4" t="s">
        <v>6045</v>
      </c>
      <c r="D131" s="4" t="s">
        <v>6033</v>
      </c>
      <c r="E131" s="4" t="s">
        <v>6034</v>
      </c>
    </row>
    <row r="132" spans="1:5">
      <c r="A132" s="4" t="s">
        <v>6030</v>
      </c>
      <c r="B132" s="4" t="s">
        <v>6051</v>
      </c>
      <c r="C132" s="4" t="s">
        <v>6046</v>
      </c>
      <c r="D132" s="4" t="s">
        <v>6033</v>
      </c>
      <c r="E132" s="4" t="s">
        <v>6034</v>
      </c>
    </row>
    <row r="133" spans="1:5">
      <c r="A133" s="4" t="s">
        <v>6030</v>
      </c>
      <c r="B133" s="4" t="s">
        <v>6051</v>
      </c>
      <c r="C133" s="4" t="s">
        <v>6047</v>
      </c>
      <c r="D133" s="4" t="s">
        <v>6033</v>
      </c>
      <c r="E133" s="4" t="s">
        <v>6034</v>
      </c>
    </row>
    <row r="134" spans="1:5">
      <c r="A134" s="4" t="s">
        <v>6030</v>
      </c>
      <c r="B134" s="4" t="s">
        <v>6051</v>
      </c>
      <c r="C134" s="4" t="s">
        <v>6048</v>
      </c>
      <c r="D134" s="4" t="s">
        <v>6033</v>
      </c>
      <c r="E134" s="4" t="s">
        <v>6034</v>
      </c>
    </row>
    <row r="135" spans="1:5">
      <c r="A135" s="4" t="s">
        <v>6030</v>
      </c>
      <c r="B135" s="4" t="s">
        <v>6051</v>
      </c>
      <c r="C135" s="4" t="s">
        <v>6049</v>
      </c>
      <c r="D135" s="4" t="s">
        <v>6033</v>
      </c>
      <c r="E135" s="4" t="s">
        <v>6034</v>
      </c>
    </row>
    <row r="136" spans="1:5">
      <c r="A136" s="4" t="s">
        <v>6030</v>
      </c>
      <c r="B136" s="4" t="s">
        <v>6051</v>
      </c>
      <c r="C136" s="4" t="s">
        <v>6050</v>
      </c>
      <c r="D136" s="4" t="s">
        <v>6033</v>
      </c>
      <c r="E136" s="4" t="s">
        <v>6034</v>
      </c>
    </row>
    <row r="137" spans="1:5">
      <c r="A137" s="4" t="s">
        <v>6052</v>
      </c>
      <c r="B137" s="4" t="s">
        <v>6053</v>
      </c>
      <c r="C137" s="4" t="s">
        <v>6054</v>
      </c>
      <c r="D137" s="4" t="s">
        <v>6033</v>
      </c>
      <c r="E137" s="4" t="s">
        <v>6034</v>
      </c>
    </row>
    <row r="138" spans="1:5">
      <c r="A138" s="4" t="s">
        <v>6052</v>
      </c>
      <c r="B138" s="4" t="s">
        <v>6055</v>
      </c>
      <c r="C138" s="4" t="s">
        <v>6054</v>
      </c>
      <c r="D138" s="4" t="s">
        <v>6033</v>
      </c>
      <c r="E138" s="4" t="s">
        <v>6034</v>
      </c>
    </row>
    <row r="139" spans="1:5">
      <c r="A139" s="4" t="s">
        <v>6052</v>
      </c>
      <c r="B139" s="4" t="s">
        <v>6055</v>
      </c>
      <c r="C139" s="4" t="s">
        <v>6053</v>
      </c>
      <c r="D139" s="4" t="s">
        <v>6033</v>
      </c>
      <c r="E139" s="4" t="s">
        <v>6034</v>
      </c>
    </row>
    <row r="140" spans="1:5">
      <c r="A140" s="4" t="s">
        <v>6052</v>
      </c>
      <c r="B140" s="4" t="s">
        <v>6056</v>
      </c>
      <c r="C140" s="4" t="s">
        <v>6054</v>
      </c>
      <c r="D140" s="4" t="s">
        <v>6033</v>
      </c>
      <c r="E140" s="4" t="s">
        <v>6034</v>
      </c>
    </row>
    <row r="141" spans="1:5">
      <c r="A141" s="4" t="s">
        <v>6052</v>
      </c>
      <c r="B141" s="4" t="s">
        <v>6056</v>
      </c>
      <c r="C141" s="4" t="s">
        <v>6053</v>
      </c>
      <c r="D141" s="4" t="s">
        <v>6033</v>
      </c>
      <c r="E141" s="4" t="s">
        <v>6034</v>
      </c>
    </row>
    <row r="142" spans="1:5">
      <c r="A142" s="4" t="s">
        <v>6052</v>
      </c>
      <c r="B142" s="4" t="s">
        <v>6056</v>
      </c>
      <c r="C142" s="4" t="s">
        <v>6055</v>
      </c>
      <c r="D142" s="4" t="s">
        <v>6033</v>
      </c>
      <c r="E142" s="4" t="s">
        <v>6034</v>
      </c>
    </row>
    <row r="143" spans="1:5">
      <c r="A143" s="4" t="s">
        <v>6052</v>
      </c>
      <c r="B143" s="4" t="s">
        <v>6057</v>
      </c>
      <c r="C143" s="4" t="s">
        <v>6054</v>
      </c>
      <c r="D143" s="4" t="s">
        <v>6033</v>
      </c>
      <c r="E143" s="4" t="s">
        <v>6034</v>
      </c>
    </row>
    <row r="144" spans="1:5">
      <c r="A144" s="4" t="s">
        <v>6052</v>
      </c>
      <c r="B144" s="4" t="s">
        <v>6057</v>
      </c>
      <c r="C144" s="4" t="s">
        <v>6053</v>
      </c>
      <c r="D144" s="4" t="s">
        <v>6033</v>
      </c>
      <c r="E144" s="4" t="s">
        <v>6034</v>
      </c>
    </row>
    <row r="145" spans="1:5">
      <c r="A145" s="4" t="s">
        <v>6052</v>
      </c>
      <c r="B145" s="4" t="s">
        <v>6057</v>
      </c>
      <c r="C145" s="4" t="s">
        <v>6055</v>
      </c>
      <c r="D145" s="4" t="s">
        <v>6033</v>
      </c>
      <c r="E145" s="4" t="s">
        <v>6034</v>
      </c>
    </row>
    <row r="146" spans="1:5">
      <c r="A146" s="4" t="s">
        <v>6052</v>
      </c>
      <c r="B146" s="4" t="s">
        <v>6057</v>
      </c>
      <c r="C146" s="4" t="s">
        <v>6056</v>
      </c>
      <c r="D146" s="4" t="s">
        <v>6033</v>
      </c>
      <c r="E146" s="4" t="s">
        <v>6034</v>
      </c>
    </row>
    <row r="147" spans="1:5">
      <c r="A147" s="4" t="s">
        <v>6052</v>
      </c>
      <c r="B147" s="4" t="s">
        <v>6058</v>
      </c>
      <c r="C147" s="4" t="s">
        <v>6054</v>
      </c>
      <c r="D147" s="4" t="s">
        <v>6033</v>
      </c>
      <c r="E147" s="4" t="s">
        <v>6034</v>
      </c>
    </row>
    <row r="148" spans="1:5">
      <c r="A148" s="4" t="s">
        <v>6052</v>
      </c>
      <c r="B148" s="4" t="s">
        <v>6058</v>
      </c>
      <c r="C148" s="4" t="s">
        <v>6053</v>
      </c>
      <c r="D148" s="4" t="s">
        <v>6033</v>
      </c>
      <c r="E148" s="4" t="s">
        <v>6034</v>
      </c>
    </row>
    <row r="149" spans="1:5">
      <c r="A149" s="4" t="s">
        <v>6052</v>
      </c>
      <c r="B149" s="4" t="s">
        <v>6058</v>
      </c>
      <c r="C149" s="4" t="s">
        <v>6055</v>
      </c>
      <c r="D149" s="4" t="s">
        <v>6033</v>
      </c>
      <c r="E149" s="4" t="s">
        <v>6034</v>
      </c>
    </row>
    <row r="150" spans="1:5">
      <c r="A150" s="4" t="s">
        <v>6052</v>
      </c>
      <c r="B150" s="4" t="s">
        <v>6058</v>
      </c>
      <c r="C150" s="4" t="s">
        <v>6056</v>
      </c>
      <c r="D150" s="4" t="s">
        <v>6033</v>
      </c>
      <c r="E150" s="4" t="s">
        <v>6034</v>
      </c>
    </row>
    <row r="151" spans="1:5">
      <c r="A151" s="4" t="s">
        <v>6052</v>
      </c>
      <c r="B151" s="4" t="s">
        <v>6058</v>
      </c>
      <c r="C151" s="4" t="s">
        <v>6057</v>
      </c>
      <c r="D151" s="4" t="s">
        <v>6033</v>
      </c>
      <c r="E151" s="4" t="s">
        <v>6034</v>
      </c>
    </row>
    <row r="152" spans="1:5">
      <c r="A152" s="4" t="s">
        <v>6052</v>
      </c>
      <c r="B152" s="4" t="s">
        <v>6059</v>
      </c>
      <c r="C152" s="4" t="s">
        <v>6055</v>
      </c>
      <c r="D152" s="4" t="s">
        <v>6039</v>
      </c>
      <c r="E152" s="4" t="s">
        <v>6040</v>
      </c>
    </row>
    <row r="153" spans="1:5">
      <c r="A153" s="4" t="s">
        <v>6052</v>
      </c>
      <c r="B153" s="4" t="s">
        <v>6059</v>
      </c>
      <c r="C153" s="4" t="s">
        <v>6056</v>
      </c>
      <c r="D153" s="4" t="s">
        <v>6039</v>
      </c>
      <c r="E153" s="4" t="s">
        <v>6040</v>
      </c>
    </row>
    <row r="154" spans="1:5">
      <c r="A154" s="4" t="s">
        <v>6052</v>
      </c>
      <c r="B154" s="4" t="s">
        <v>6059</v>
      </c>
      <c r="C154" s="4" t="s">
        <v>6057</v>
      </c>
      <c r="D154" s="4" t="s">
        <v>6039</v>
      </c>
      <c r="E154" s="4" t="s">
        <v>6040</v>
      </c>
    </row>
    <row r="155" spans="1:5">
      <c r="A155" s="4" t="s">
        <v>6052</v>
      </c>
      <c r="B155" s="4" t="s">
        <v>6059</v>
      </c>
      <c r="C155" s="4" t="s">
        <v>6058</v>
      </c>
      <c r="D155" s="4" t="s">
        <v>6039</v>
      </c>
      <c r="E155" s="4" t="s">
        <v>6040</v>
      </c>
    </row>
    <row r="156" spans="1:5">
      <c r="A156" s="4" t="s">
        <v>6052</v>
      </c>
      <c r="B156" s="4" t="s">
        <v>6060</v>
      </c>
      <c r="C156" s="4" t="s">
        <v>6054</v>
      </c>
      <c r="D156" s="4" t="s">
        <v>6033</v>
      </c>
      <c r="E156" s="4" t="s">
        <v>6034</v>
      </c>
    </row>
    <row r="157" spans="1:5">
      <c r="A157" s="4" t="s">
        <v>6052</v>
      </c>
      <c r="B157" s="4" t="s">
        <v>6060</v>
      </c>
      <c r="C157" s="4" t="s">
        <v>6053</v>
      </c>
      <c r="D157" s="4" t="s">
        <v>6033</v>
      </c>
      <c r="E157" s="4" t="s">
        <v>6034</v>
      </c>
    </row>
    <row r="158" spans="1:5">
      <c r="A158" s="4" t="s">
        <v>6052</v>
      </c>
      <c r="B158" s="4" t="s">
        <v>6060</v>
      </c>
      <c r="C158" s="4" t="s">
        <v>6055</v>
      </c>
      <c r="D158" s="4" t="s">
        <v>6033</v>
      </c>
      <c r="E158" s="4" t="s">
        <v>6034</v>
      </c>
    </row>
    <row r="159" spans="1:5">
      <c r="A159" s="4" t="s">
        <v>6052</v>
      </c>
      <c r="B159" s="4" t="s">
        <v>6060</v>
      </c>
      <c r="C159" s="4" t="s">
        <v>6056</v>
      </c>
      <c r="D159" s="4" t="s">
        <v>6039</v>
      </c>
      <c r="E159" s="4" t="s">
        <v>6040</v>
      </c>
    </row>
    <row r="160" spans="1:5">
      <c r="A160" s="4" t="s">
        <v>6052</v>
      </c>
      <c r="B160" s="4" t="s">
        <v>6060</v>
      </c>
      <c r="C160" s="4" t="s">
        <v>6057</v>
      </c>
      <c r="D160" s="4" t="s">
        <v>6039</v>
      </c>
      <c r="E160" s="4" t="s">
        <v>6040</v>
      </c>
    </row>
    <row r="161" spans="1:5">
      <c r="A161" s="4" t="s">
        <v>6052</v>
      </c>
      <c r="B161" s="4" t="s">
        <v>6060</v>
      </c>
      <c r="C161" s="4" t="s">
        <v>6058</v>
      </c>
      <c r="D161" s="4" t="s">
        <v>6039</v>
      </c>
      <c r="E161" s="4" t="s">
        <v>6040</v>
      </c>
    </row>
    <row r="162" spans="1:5">
      <c r="A162" s="4" t="s">
        <v>6052</v>
      </c>
      <c r="B162" s="4" t="s">
        <v>6060</v>
      </c>
      <c r="C162" s="4" t="s">
        <v>6059</v>
      </c>
      <c r="D162" s="4" t="s">
        <v>6033</v>
      </c>
      <c r="E162" s="4" t="s">
        <v>6034</v>
      </c>
    </row>
    <row r="163" spans="1:5">
      <c r="A163" s="4" t="s">
        <v>6052</v>
      </c>
      <c r="B163" s="4" t="s">
        <v>6061</v>
      </c>
      <c r="C163" s="4" t="s">
        <v>6053</v>
      </c>
      <c r="D163" s="4" t="s">
        <v>6033</v>
      </c>
      <c r="E163" s="4" t="s">
        <v>6034</v>
      </c>
    </row>
    <row r="164" spans="1:5">
      <c r="A164" s="4" t="s">
        <v>6052</v>
      </c>
      <c r="B164" s="4" t="s">
        <v>6061</v>
      </c>
      <c r="C164" s="4" t="s">
        <v>6055</v>
      </c>
      <c r="D164" s="4" t="s">
        <v>6033</v>
      </c>
      <c r="E164" s="4" t="s">
        <v>6034</v>
      </c>
    </row>
    <row r="165" spans="1:5">
      <c r="A165" s="4" t="s">
        <v>6052</v>
      </c>
      <c r="B165" s="4" t="s">
        <v>6061</v>
      </c>
      <c r="C165" s="4" t="s">
        <v>6056</v>
      </c>
      <c r="D165" s="4" t="s">
        <v>6033</v>
      </c>
      <c r="E165" s="4" t="s">
        <v>6034</v>
      </c>
    </row>
    <row r="166" spans="1:5">
      <c r="A166" s="4" t="s">
        <v>6052</v>
      </c>
      <c r="B166" s="4" t="s">
        <v>6061</v>
      </c>
      <c r="C166" s="4" t="s">
        <v>6057</v>
      </c>
      <c r="D166" s="4" t="s">
        <v>6033</v>
      </c>
      <c r="E166" s="4" t="s">
        <v>6034</v>
      </c>
    </row>
    <row r="167" spans="1:5">
      <c r="A167" s="4" t="s">
        <v>6052</v>
      </c>
      <c r="B167" s="4" t="s">
        <v>6061</v>
      </c>
      <c r="C167" s="4" t="s">
        <v>6058</v>
      </c>
      <c r="D167" s="4" t="s">
        <v>6039</v>
      </c>
      <c r="E167" s="4" t="s">
        <v>6040</v>
      </c>
    </row>
    <row r="168" spans="1:5">
      <c r="A168" s="4" t="s">
        <v>6052</v>
      </c>
      <c r="B168" s="4" t="s">
        <v>6061</v>
      </c>
      <c r="C168" s="4" t="s">
        <v>6059</v>
      </c>
      <c r="D168" s="4" t="s">
        <v>6033</v>
      </c>
      <c r="E168" s="4" t="s">
        <v>6034</v>
      </c>
    </row>
    <row r="169" spans="1:5">
      <c r="A169" s="4" t="s">
        <v>6052</v>
      </c>
      <c r="B169" s="4" t="s">
        <v>6061</v>
      </c>
      <c r="C169" s="4" t="s">
        <v>6060</v>
      </c>
      <c r="D169" s="4" t="s">
        <v>6033</v>
      </c>
      <c r="E169" s="4" t="s">
        <v>6034</v>
      </c>
    </row>
    <row r="170" spans="1:5">
      <c r="A170" s="4" t="s">
        <v>6052</v>
      </c>
      <c r="B170" s="4" t="s">
        <v>6062</v>
      </c>
      <c r="C170" s="4" t="s">
        <v>6056</v>
      </c>
      <c r="D170" s="4" t="s">
        <v>6033</v>
      </c>
      <c r="E170" s="4" t="s">
        <v>6034</v>
      </c>
    </row>
    <row r="171" spans="1:5">
      <c r="A171" s="4" t="s">
        <v>6052</v>
      </c>
      <c r="B171" s="4" t="s">
        <v>6062</v>
      </c>
      <c r="C171" s="4" t="s">
        <v>6057</v>
      </c>
      <c r="D171" s="4" t="s">
        <v>6033</v>
      </c>
      <c r="E171" s="4" t="s">
        <v>6034</v>
      </c>
    </row>
    <row r="172" spans="1:5">
      <c r="A172" s="4" t="s">
        <v>6052</v>
      </c>
      <c r="B172" s="4" t="s">
        <v>6062</v>
      </c>
      <c r="C172" s="4" t="s">
        <v>6058</v>
      </c>
      <c r="D172" s="4" t="s">
        <v>6033</v>
      </c>
      <c r="E172" s="4" t="s">
        <v>6034</v>
      </c>
    </row>
    <row r="173" spans="1:5">
      <c r="A173" s="4" t="s">
        <v>6052</v>
      </c>
      <c r="B173" s="4" t="s">
        <v>6062</v>
      </c>
      <c r="C173" s="4" t="s">
        <v>6059</v>
      </c>
      <c r="D173" s="4" t="s">
        <v>6033</v>
      </c>
      <c r="E173" s="4" t="s">
        <v>6034</v>
      </c>
    </row>
    <row r="174" spans="1:5">
      <c r="A174" s="4" t="s">
        <v>6052</v>
      </c>
      <c r="B174" s="4" t="s">
        <v>6062</v>
      </c>
      <c r="C174" s="4" t="s">
        <v>6060</v>
      </c>
      <c r="D174" s="4" t="s">
        <v>6033</v>
      </c>
      <c r="E174" s="4" t="s">
        <v>6034</v>
      </c>
    </row>
    <row r="175" spans="1:5">
      <c r="A175" s="4" t="s">
        <v>6052</v>
      </c>
      <c r="B175" s="4" t="s">
        <v>6062</v>
      </c>
      <c r="C175" s="4" t="s">
        <v>6061</v>
      </c>
      <c r="D175" s="4" t="s">
        <v>6033</v>
      </c>
      <c r="E175" s="4" t="s">
        <v>6034</v>
      </c>
    </row>
    <row r="176" spans="1:5">
      <c r="A176" s="4" t="s">
        <v>6052</v>
      </c>
      <c r="B176" s="4" t="s">
        <v>6063</v>
      </c>
      <c r="C176" s="4" t="s">
        <v>6057</v>
      </c>
      <c r="D176" s="4" t="s">
        <v>6033</v>
      </c>
      <c r="E176" s="4" t="s">
        <v>6034</v>
      </c>
    </row>
    <row r="177" spans="1:5">
      <c r="A177" s="4" t="s">
        <v>6052</v>
      </c>
      <c r="B177" s="4" t="s">
        <v>6063</v>
      </c>
      <c r="C177" s="4" t="s">
        <v>6058</v>
      </c>
      <c r="D177" s="4" t="s">
        <v>6033</v>
      </c>
      <c r="E177" s="4" t="s">
        <v>6034</v>
      </c>
    </row>
    <row r="178" spans="1:5">
      <c r="A178" s="4" t="s">
        <v>6052</v>
      </c>
      <c r="B178" s="4" t="s">
        <v>6063</v>
      </c>
      <c r="C178" s="4" t="s">
        <v>6059</v>
      </c>
      <c r="D178" s="4" t="s">
        <v>6033</v>
      </c>
      <c r="E178" s="4" t="s">
        <v>6034</v>
      </c>
    </row>
    <row r="179" spans="1:5">
      <c r="A179" s="4" t="s">
        <v>6052</v>
      </c>
      <c r="B179" s="4" t="s">
        <v>6063</v>
      </c>
      <c r="C179" s="4" t="s">
        <v>6060</v>
      </c>
      <c r="D179" s="4" t="s">
        <v>6033</v>
      </c>
      <c r="E179" s="4" t="s">
        <v>6034</v>
      </c>
    </row>
    <row r="180" spans="1:5">
      <c r="A180" s="4" t="s">
        <v>6052</v>
      </c>
      <c r="B180" s="4" t="s">
        <v>6063</v>
      </c>
      <c r="C180" s="4" t="s">
        <v>6061</v>
      </c>
      <c r="D180" s="4" t="s">
        <v>6033</v>
      </c>
      <c r="E180" s="4" t="s">
        <v>6034</v>
      </c>
    </row>
    <row r="181" spans="1:5">
      <c r="A181" s="4" t="s">
        <v>6052</v>
      </c>
      <c r="B181" s="4" t="s">
        <v>6063</v>
      </c>
      <c r="C181" s="4" t="s">
        <v>6062</v>
      </c>
      <c r="D181" s="4" t="s">
        <v>6033</v>
      </c>
      <c r="E181" s="4" t="s">
        <v>6034</v>
      </c>
    </row>
    <row r="182" spans="1:5">
      <c r="A182" s="4" t="s">
        <v>6064</v>
      </c>
      <c r="B182" s="4" t="s">
        <v>6065</v>
      </c>
      <c r="C182" s="4" t="s">
        <v>6066</v>
      </c>
      <c r="D182" s="4" t="s">
        <v>6033</v>
      </c>
      <c r="E182" s="4" t="s">
        <v>6034</v>
      </c>
    </row>
    <row r="183" spans="1:5">
      <c r="A183" s="4" t="s">
        <v>6064</v>
      </c>
      <c r="B183" s="4" t="s">
        <v>6067</v>
      </c>
      <c r="C183" s="4" t="s">
        <v>6066</v>
      </c>
      <c r="D183" s="4" t="s">
        <v>6033</v>
      </c>
      <c r="E183" s="4" t="s">
        <v>6034</v>
      </c>
    </row>
    <row r="184" spans="1:5">
      <c r="A184" s="4" t="s">
        <v>6064</v>
      </c>
      <c r="B184" s="4" t="s">
        <v>6067</v>
      </c>
      <c r="C184" s="4" t="s">
        <v>6065</v>
      </c>
      <c r="D184" s="4" t="s">
        <v>6033</v>
      </c>
      <c r="E184" s="4" t="s">
        <v>6034</v>
      </c>
    </row>
    <row r="185" spans="1:5">
      <c r="A185" s="4" t="s">
        <v>6064</v>
      </c>
      <c r="B185" s="4" t="s">
        <v>6068</v>
      </c>
      <c r="C185" s="4" t="s">
        <v>6066</v>
      </c>
      <c r="D185" s="4" t="s">
        <v>6033</v>
      </c>
      <c r="E185" s="4" t="s">
        <v>6034</v>
      </c>
    </row>
    <row r="186" spans="1:5">
      <c r="A186" s="4" t="s">
        <v>6064</v>
      </c>
      <c r="B186" s="4" t="s">
        <v>6068</v>
      </c>
      <c r="C186" s="4" t="s">
        <v>6065</v>
      </c>
      <c r="D186" s="4" t="s">
        <v>6033</v>
      </c>
      <c r="E186" s="4" t="s">
        <v>6034</v>
      </c>
    </row>
    <row r="187" spans="1:5">
      <c r="A187" s="4" t="s">
        <v>6064</v>
      </c>
      <c r="B187" s="4" t="s">
        <v>6068</v>
      </c>
      <c r="C187" s="4" t="s">
        <v>6067</v>
      </c>
      <c r="D187" s="4" t="s">
        <v>6033</v>
      </c>
      <c r="E187" s="4" t="s">
        <v>6034</v>
      </c>
    </row>
    <row r="188" spans="1:5">
      <c r="A188" s="4" t="s">
        <v>6064</v>
      </c>
      <c r="B188" s="4" t="s">
        <v>6069</v>
      </c>
      <c r="C188" s="4" t="s">
        <v>6066</v>
      </c>
      <c r="D188" s="4" t="s">
        <v>6033</v>
      </c>
      <c r="E188" s="4" t="s">
        <v>6034</v>
      </c>
    </row>
    <row r="189" spans="1:5">
      <c r="A189" s="4" t="s">
        <v>6064</v>
      </c>
      <c r="B189" s="4" t="s">
        <v>6069</v>
      </c>
      <c r="C189" s="4" t="s">
        <v>6065</v>
      </c>
      <c r="D189" s="4" t="s">
        <v>6033</v>
      </c>
      <c r="E189" s="4" t="s">
        <v>6034</v>
      </c>
    </row>
    <row r="190" spans="1:5">
      <c r="A190" s="4" t="s">
        <v>6064</v>
      </c>
      <c r="B190" s="4" t="s">
        <v>6069</v>
      </c>
      <c r="C190" s="4" t="s">
        <v>6067</v>
      </c>
      <c r="D190" s="4" t="s">
        <v>6033</v>
      </c>
      <c r="E190" s="4" t="s">
        <v>6034</v>
      </c>
    </row>
    <row r="191" spans="1:5">
      <c r="A191" s="4" t="s">
        <v>6064</v>
      </c>
      <c r="B191" s="4" t="s">
        <v>6069</v>
      </c>
      <c r="C191" s="4" t="s">
        <v>6068</v>
      </c>
      <c r="D191" s="4" t="s">
        <v>6033</v>
      </c>
      <c r="E191" s="4" t="s">
        <v>6034</v>
      </c>
    </row>
    <row r="192" spans="1:5">
      <c r="A192" s="4" t="s">
        <v>6064</v>
      </c>
      <c r="B192" s="4" t="s">
        <v>6070</v>
      </c>
      <c r="C192" s="4" t="s">
        <v>6066</v>
      </c>
      <c r="D192" s="4" t="s">
        <v>6033</v>
      </c>
      <c r="E192" s="4" t="s">
        <v>6034</v>
      </c>
    </row>
    <row r="193" spans="1:5">
      <c r="A193" s="4" t="s">
        <v>6064</v>
      </c>
      <c r="B193" s="4" t="s">
        <v>6070</v>
      </c>
      <c r="C193" s="4" t="s">
        <v>6065</v>
      </c>
      <c r="D193" s="4" t="s">
        <v>6033</v>
      </c>
      <c r="E193" s="4" t="s">
        <v>6034</v>
      </c>
    </row>
    <row r="194" spans="1:5">
      <c r="A194" s="4" t="s">
        <v>6064</v>
      </c>
      <c r="B194" s="4" t="s">
        <v>6070</v>
      </c>
      <c r="C194" s="4" t="s">
        <v>6067</v>
      </c>
      <c r="D194" s="4" t="s">
        <v>6033</v>
      </c>
      <c r="E194" s="4" t="s">
        <v>6034</v>
      </c>
    </row>
    <row r="195" spans="1:5">
      <c r="A195" s="4" t="s">
        <v>6064</v>
      </c>
      <c r="B195" s="4" t="s">
        <v>6070</v>
      </c>
      <c r="C195" s="4" t="s">
        <v>6068</v>
      </c>
      <c r="D195" s="4" t="s">
        <v>6033</v>
      </c>
      <c r="E195" s="4" t="s">
        <v>6034</v>
      </c>
    </row>
    <row r="196" spans="1:5">
      <c r="A196" s="4" t="s">
        <v>6064</v>
      </c>
      <c r="B196" s="4" t="s">
        <v>6070</v>
      </c>
      <c r="C196" s="4" t="s">
        <v>6069</v>
      </c>
      <c r="D196" s="4" t="s">
        <v>6033</v>
      </c>
      <c r="E196" s="4" t="s">
        <v>6034</v>
      </c>
    </row>
    <row r="197" spans="1:5">
      <c r="A197" s="4" t="s">
        <v>6064</v>
      </c>
      <c r="B197" s="4" t="s">
        <v>6071</v>
      </c>
      <c r="C197" s="4" t="s">
        <v>6065</v>
      </c>
      <c r="D197" s="4" t="s">
        <v>6039</v>
      </c>
      <c r="E197" s="4" t="s">
        <v>6040</v>
      </c>
    </row>
    <row r="198" spans="1:5">
      <c r="A198" s="4" t="s">
        <v>6064</v>
      </c>
      <c r="B198" s="4" t="s">
        <v>6071</v>
      </c>
      <c r="C198" s="4" t="s">
        <v>6067</v>
      </c>
      <c r="D198" s="4" t="s">
        <v>6039</v>
      </c>
      <c r="E198" s="4" t="s">
        <v>6040</v>
      </c>
    </row>
    <row r="199" spans="1:5">
      <c r="A199" s="4" t="s">
        <v>6064</v>
      </c>
      <c r="B199" s="4" t="s">
        <v>6071</v>
      </c>
      <c r="C199" s="4" t="s">
        <v>6068</v>
      </c>
      <c r="D199" s="4" t="s">
        <v>6039</v>
      </c>
      <c r="E199" s="4" t="s">
        <v>6040</v>
      </c>
    </row>
    <row r="200" spans="1:5">
      <c r="A200" s="4" t="s">
        <v>6064</v>
      </c>
      <c r="B200" s="4" t="s">
        <v>6071</v>
      </c>
      <c r="C200" s="4" t="s">
        <v>6069</v>
      </c>
      <c r="D200" s="4" t="s">
        <v>6039</v>
      </c>
      <c r="E200" s="4" t="s">
        <v>6040</v>
      </c>
    </row>
    <row r="201" spans="1:5">
      <c r="A201" s="4" t="s">
        <v>6064</v>
      </c>
      <c r="B201" s="4" t="s">
        <v>6071</v>
      </c>
      <c r="C201" s="4" t="s">
        <v>6070</v>
      </c>
      <c r="D201" s="4" t="s">
        <v>6039</v>
      </c>
      <c r="E201" s="4" t="s">
        <v>6040</v>
      </c>
    </row>
    <row r="202" spans="1:5">
      <c r="A202" s="4" t="s">
        <v>6064</v>
      </c>
      <c r="B202" s="4" t="s">
        <v>6072</v>
      </c>
      <c r="C202" s="4" t="s">
        <v>6067</v>
      </c>
      <c r="D202" s="4" t="s">
        <v>6039</v>
      </c>
      <c r="E202" s="4" t="s">
        <v>6040</v>
      </c>
    </row>
    <row r="203" spans="1:5">
      <c r="A203" s="4" t="s">
        <v>6064</v>
      </c>
      <c r="B203" s="4" t="s">
        <v>6072</v>
      </c>
      <c r="C203" s="4" t="s">
        <v>6068</v>
      </c>
      <c r="D203" s="4" t="s">
        <v>6039</v>
      </c>
      <c r="E203" s="4" t="s">
        <v>6040</v>
      </c>
    </row>
    <row r="204" spans="1:5">
      <c r="A204" s="4" t="s">
        <v>6064</v>
      </c>
      <c r="B204" s="4" t="s">
        <v>6072</v>
      </c>
      <c r="C204" s="4" t="s">
        <v>6069</v>
      </c>
      <c r="D204" s="4" t="s">
        <v>6039</v>
      </c>
      <c r="E204" s="4" t="s">
        <v>6040</v>
      </c>
    </row>
    <row r="205" spans="1:5">
      <c r="A205" s="4" t="s">
        <v>6064</v>
      </c>
      <c r="B205" s="4" t="s">
        <v>6072</v>
      </c>
      <c r="C205" s="4" t="s">
        <v>6070</v>
      </c>
      <c r="D205" s="4" t="s">
        <v>6039</v>
      </c>
      <c r="E205" s="4" t="s">
        <v>6040</v>
      </c>
    </row>
    <row r="206" spans="1:5">
      <c r="A206" s="4" t="s">
        <v>6064</v>
      </c>
      <c r="B206" s="4" t="s">
        <v>6072</v>
      </c>
      <c r="C206" s="4" t="s">
        <v>6071</v>
      </c>
      <c r="D206" s="4" t="s">
        <v>6033</v>
      </c>
      <c r="E206" s="4" t="s">
        <v>6034</v>
      </c>
    </row>
    <row r="207" spans="1:5">
      <c r="A207" s="4" t="s">
        <v>6064</v>
      </c>
      <c r="B207" s="4" t="s">
        <v>6073</v>
      </c>
      <c r="C207" s="4" t="s">
        <v>6066</v>
      </c>
      <c r="D207" s="4" t="s">
        <v>6033</v>
      </c>
      <c r="E207" s="4" t="s">
        <v>6034</v>
      </c>
    </row>
    <row r="208" spans="1:5">
      <c r="A208" s="4" t="s">
        <v>6064</v>
      </c>
      <c r="B208" s="4" t="s">
        <v>6073</v>
      </c>
      <c r="C208" s="4" t="s">
        <v>6065</v>
      </c>
      <c r="D208" s="4" t="s">
        <v>6033</v>
      </c>
      <c r="E208" s="4" t="s">
        <v>6034</v>
      </c>
    </row>
    <row r="209" spans="1:5">
      <c r="A209" s="4" t="s">
        <v>6064</v>
      </c>
      <c r="B209" s="4" t="s">
        <v>6073</v>
      </c>
      <c r="C209" s="4" t="s">
        <v>6067</v>
      </c>
      <c r="D209" s="4" t="s">
        <v>6033</v>
      </c>
      <c r="E209" s="4" t="s">
        <v>6034</v>
      </c>
    </row>
    <row r="210" spans="1:5">
      <c r="A210" s="4" t="s">
        <v>6064</v>
      </c>
      <c r="B210" s="4" t="s">
        <v>6073</v>
      </c>
      <c r="C210" s="4" t="s">
        <v>6068</v>
      </c>
      <c r="D210" s="4" t="s">
        <v>6039</v>
      </c>
      <c r="E210" s="4" t="s">
        <v>6040</v>
      </c>
    </row>
    <row r="211" spans="1:5">
      <c r="A211" s="4" t="s">
        <v>6064</v>
      </c>
      <c r="B211" s="4" t="s">
        <v>6073</v>
      </c>
      <c r="C211" s="4" t="s">
        <v>6069</v>
      </c>
      <c r="D211" s="4" t="s">
        <v>6039</v>
      </c>
      <c r="E211" s="4" t="s">
        <v>6040</v>
      </c>
    </row>
    <row r="212" spans="1:5">
      <c r="A212" s="4" t="s">
        <v>6064</v>
      </c>
      <c r="B212" s="4" t="s">
        <v>6073</v>
      </c>
      <c r="C212" s="4" t="s">
        <v>6070</v>
      </c>
      <c r="D212" s="4" t="s">
        <v>6039</v>
      </c>
      <c r="E212" s="4" t="s">
        <v>6040</v>
      </c>
    </row>
    <row r="213" spans="1:5">
      <c r="A213" s="4" t="s">
        <v>6064</v>
      </c>
      <c r="B213" s="4" t="s">
        <v>6073</v>
      </c>
      <c r="C213" s="4" t="s">
        <v>6071</v>
      </c>
      <c r="D213" s="4" t="s">
        <v>6033</v>
      </c>
      <c r="E213" s="4" t="s">
        <v>6034</v>
      </c>
    </row>
    <row r="214" spans="1:5">
      <c r="A214" s="4" t="s">
        <v>6064</v>
      </c>
      <c r="B214" s="4" t="s">
        <v>6073</v>
      </c>
      <c r="C214" s="4" t="s">
        <v>6072</v>
      </c>
      <c r="D214" s="4" t="s">
        <v>6033</v>
      </c>
      <c r="E214" s="4" t="s">
        <v>6034</v>
      </c>
    </row>
    <row r="215" spans="1:5">
      <c r="A215" s="4" t="s">
        <v>6064</v>
      </c>
      <c r="B215" s="4" t="s">
        <v>6074</v>
      </c>
      <c r="C215" s="4" t="s">
        <v>6066</v>
      </c>
      <c r="D215" s="4" t="s">
        <v>6033</v>
      </c>
      <c r="E215" s="4" t="s">
        <v>6034</v>
      </c>
    </row>
    <row r="216" spans="1:5">
      <c r="A216" s="4" t="s">
        <v>6064</v>
      </c>
      <c r="B216" s="4" t="s">
        <v>6074</v>
      </c>
      <c r="C216" s="4" t="s">
        <v>6065</v>
      </c>
      <c r="D216" s="4" t="s">
        <v>6033</v>
      </c>
      <c r="E216" s="4" t="s">
        <v>6034</v>
      </c>
    </row>
    <row r="217" spans="1:5">
      <c r="A217" s="4" t="s">
        <v>6064</v>
      </c>
      <c r="B217" s="4" t="s">
        <v>6074</v>
      </c>
      <c r="C217" s="4" t="s">
        <v>6067</v>
      </c>
      <c r="D217" s="4" t="s">
        <v>6033</v>
      </c>
      <c r="E217" s="4" t="s">
        <v>6034</v>
      </c>
    </row>
    <row r="218" spans="1:5">
      <c r="A218" s="4" t="s">
        <v>6064</v>
      </c>
      <c r="B218" s="4" t="s">
        <v>6074</v>
      </c>
      <c r="C218" s="4" t="s">
        <v>6068</v>
      </c>
      <c r="D218" s="4" t="s">
        <v>6033</v>
      </c>
      <c r="E218" s="4" t="s">
        <v>6034</v>
      </c>
    </row>
    <row r="219" spans="1:5">
      <c r="A219" s="4" t="s">
        <v>6064</v>
      </c>
      <c r="B219" s="4" t="s">
        <v>6074</v>
      </c>
      <c r="C219" s="4" t="s">
        <v>6069</v>
      </c>
      <c r="D219" s="4" t="s">
        <v>6039</v>
      </c>
      <c r="E219" s="4" t="s">
        <v>6040</v>
      </c>
    </row>
    <row r="220" spans="1:5">
      <c r="A220" s="4" t="s">
        <v>6064</v>
      </c>
      <c r="B220" s="4" t="s">
        <v>6074</v>
      </c>
      <c r="C220" s="4" t="s">
        <v>6070</v>
      </c>
      <c r="D220" s="4" t="s">
        <v>6039</v>
      </c>
      <c r="E220" s="4" t="s">
        <v>6040</v>
      </c>
    </row>
    <row r="221" spans="1:5">
      <c r="A221" s="4" t="s">
        <v>6064</v>
      </c>
      <c r="B221" s="4" t="s">
        <v>6074</v>
      </c>
      <c r="C221" s="4" t="s">
        <v>6071</v>
      </c>
      <c r="D221" s="4" t="s">
        <v>6033</v>
      </c>
      <c r="E221" s="4" t="s">
        <v>6034</v>
      </c>
    </row>
    <row r="222" spans="1:5">
      <c r="A222" s="4" t="s">
        <v>6064</v>
      </c>
      <c r="B222" s="4" t="s">
        <v>6074</v>
      </c>
      <c r="C222" s="4" t="s">
        <v>6072</v>
      </c>
      <c r="D222" s="4" t="s">
        <v>6033</v>
      </c>
      <c r="E222" s="4" t="s">
        <v>6034</v>
      </c>
    </row>
    <row r="223" spans="1:5">
      <c r="A223" s="4" t="s">
        <v>6064</v>
      </c>
      <c r="B223" s="4" t="s">
        <v>6074</v>
      </c>
      <c r="C223" s="4" t="s">
        <v>6073</v>
      </c>
      <c r="D223" s="4" t="s">
        <v>6033</v>
      </c>
      <c r="E223" s="4" t="s">
        <v>6034</v>
      </c>
    </row>
    <row r="224" spans="1:5">
      <c r="A224" s="4" t="s">
        <v>6064</v>
      </c>
      <c r="B224" s="4" t="s">
        <v>6075</v>
      </c>
      <c r="C224" s="4" t="s">
        <v>6066</v>
      </c>
      <c r="D224" s="4" t="s">
        <v>6033</v>
      </c>
      <c r="E224" s="4" t="s">
        <v>6034</v>
      </c>
    </row>
    <row r="225" spans="1:5">
      <c r="A225" s="4" t="s">
        <v>6064</v>
      </c>
      <c r="B225" s="4" t="s">
        <v>6075</v>
      </c>
      <c r="C225" s="4" t="s">
        <v>6065</v>
      </c>
      <c r="D225" s="4" t="s">
        <v>6033</v>
      </c>
      <c r="E225" s="4" t="s">
        <v>6034</v>
      </c>
    </row>
    <row r="226" spans="1:5">
      <c r="A226" s="4" t="s">
        <v>6064</v>
      </c>
      <c r="B226" s="4" t="s">
        <v>6075</v>
      </c>
      <c r="C226" s="4" t="s">
        <v>6067</v>
      </c>
      <c r="D226" s="4" t="s">
        <v>6033</v>
      </c>
      <c r="E226" s="4" t="s">
        <v>6034</v>
      </c>
    </row>
    <row r="227" spans="1:5">
      <c r="A227" s="4" t="s">
        <v>6064</v>
      </c>
      <c r="B227" s="4" t="s">
        <v>6075</v>
      </c>
      <c r="C227" s="4" t="s">
        <v>6068</v>
      </c>
      <c r="D227" s="4" t="s">
        <v>6033</v>
      </c>
      <c r="E227" s="4" t="s">
        <v>6034</v>
      </c>
    </row>
    <row r="228" spans="1:5">
      <c r="A228" s="4" t="s">
        <v>6064</v>
      </c>
      <c r="B228" s="4" t="s">
        <v>6075</v>
      </c>
      <c r="C228" s="4" t="s">
        <v>6069</v>
      </c>
      <c r="D228" s="4" t="s">
        <v>6033</v>
      </c>
      <c r="E228" s="4" t="s">
        <v>6034</v>
      </c>
    </row>
    <row r="229" spans="1:5">
      <c r="A229" s="4" t="s">
        <v>6064</v>
      </c>
      <c r="B229" s="4" t="s">
        <v>6075</v>
      </c>
      <c r="C229" s="4" t="s">
        <v>6070</v>
      </c>
      <c r="D229" s="4" t="s">
        <v>6039</v>
      </c>
      <c r="E229" s="4" t="s">
        <v>6040</v>
      </c>
    </row>
    <row r="230" spans="1:5">
      <c r="A230" s="4" t="s">
        <v>6064</v>
      </c>
      <c r="B230" s="4" t="s">
        <v>6075</v>
      </c>
      <c r="C230" s="4" t="s">
        <v>6071</v>
      </c>
      <c r="D230" s="4" t="s">
        <v>6033</v>
      </c>
      <c r="E230" s="4" t="s">
        <v>6034</v>
      </c>
    </row>
    <row r="231" spans="1:5">
      <c r="A231" s="4" t="s">
        <v>6064</v>
      </c>
      <c r="B231" s="4" t="s">
        <v>6075</v>
      </c>
      <c r="C231" s="4" t="s">
        <v>6072</v>
      </c>
      <c r="D231" s="4" t="s">
        <v>6033</v>
      </c>
      <c r="E231" s="4" t="s">
        <v>6034</v>
      </c>
    </row>
    <row r="232" spans="1:5">
      <c r="A232" s="4" t="s">
        <v>6064</v>
      </c>
      <c r="B232" s="4" t="s">
        <v>6075</v>
      </c>
      <c r="C232" s="4" t="s">
        <v>6073</v>
      </c>
      <c r="D232" s="4" t="s">
        <v>6033</v>
      </c>
      <c r="E232" s="4" t="s">
        <v>6034</v>
      </c>
    </row>
    <row r="233" spans="1:5">
      <c r="A233" s="4" t="s">
        <v>6064</v>
      </c>
      <c r="B233" s="4" t="s">
        <v>6075</v>
      </c>
      <c r="C233" s="4" t="s">
        <v>6074</v>
      </c>
      <c r="D233" s="4" t="s">
        <v>6033</v>
      </c>
      <c r="E233" s="4" t="s">
        <v>6034</v>
      </c>
    </row>
    <row r="234" spans="1:5">
      <c r="A234" s="4" t="s">
        <v>6064</v>
      </c>
      <c r="B234" s="4" t="s">
        <v>6076</v>
      </c>
      <c r="C234" s="4" t="s">
        <v>6066</v>
      </c>
      <c r="D234" s="4" t="s">
        <v>6033</v>
      </c>
      <c r="E234" s="4" t="s">
        <v>6034</v>
      </c>
    </row>
    <row r="235" spans="1:5">
      <c r="A235" s="4" t="s">
        <v>6064</v>
      </c>
      <c r="B235" s="4" t="s">
        <v>6076</v>
      </c>
      <c r="C235" s="4" t="s">
        <v>6065</v>
      </c>
      <c r="D235" s="4" t="s">
        <v>6033</v>
      </c>
      <c r="E235" s="4" t="s">
        <v>6034</v>
      </c>
    </row>
    <row r="236" spans="1:5">
      <c r="A236" s="4" t="s">
        <v>6064</v>
      </c>
      <c r="B236" s="4" t="s">
        <v>6076</v>
      </c>
      <c r="C236" s="4" t="s">
        <v>6067</v>
      </c>
      <c r="D236" s="4" t="s">
        <v>6033</v>
      </c>
      <c r="E236" s="4" t="s">
        <v>6034</v>
      </c>
    </row>
    <row r="237" spans="1:5">
      <c r="A237" s="4" t="s">
        <v>6064</v>
      </c>
      <c r="B237" s="4" t="s">
        <v>6076</v>
      </c>
      <c r="C237" s="4" t="s">
        <v>6068</v>
      </c>
      <c r="D237" s="4" t="s">
        <v>6033</v>
      </c>
      <c r="E237" s="4" t="s">
        <v>6034</v>
      </c>
    </row>
    <row r="238" spans="1:5">
      <c r="A238" s="4" t="s">
        <v>6064</v>
      </c>
      <c r="B238" s="4" t="s">
        <v>6076</v>
      </c>
      <c r="C238" s="4" t="s">
        <v>6069</v>
      </c>
      <c r="D238" s="4" t="s">
        <v>6033</v>
      </c>
      <c r="E238" s="4" t="s">
        <v>6034</v>
      </c>
    </row>
    <row r="239" spans="1:5">
      <c r="A239" s="4" t="s">
        <v>6064</v>
      </c>
      <c r="B239" s="4" t="s">
        <v>6076</v>
      </c>
      <c r="C239" s="4" t="s">
        <v>6070</v>
      </c>
      <c r="D239" s="4" t="s">
        <v>6039</v>
      </c>
      <c r="E239" s="4" t="s">
        <v>6040</v>
      </c>
    </row>
    <row r="240" spans="1:5">
      <c r="A240" s="4" t="s">
        <v>6064</v>
      </c>
      <c r="B240" s="4" t="s">
        <v>6076</v>
      </c>
      <c r="C240" s="4" t="s">
        <v>6071</v>
      </c>
      <c r="D240" s="4" t="s">
        <v>6033</v>
      </c>
      <c r="E240" s="4" t="s">
        <v>6034</v>
      </c>
    </row>
    <row r="241" spans="1:5">
      <c r="A241" s="4" t="s">
        <v>6064</v>
      </c>
      <c r="B241" s="4" t="s">
        <v>6076</v>
      </c>
      <c r="C241" s="4" t="s">
        <v>6072</v>
      </c>
      <c r="D241" s="4" t="s">
        <v>6033</v>
      </c>
      <c r="E241" s="4" t="s">
        <v>6034</v>
      </c>
    </row>
    <row r="242" spans="1:5">
      <c r="A242" s="4" t="s">
        <v>6064</v>
      </c>
      <c r="B242" s="4" t="s">
        <v>6076</v>
      </c>
      <c r="C242" s="4" t="s">
        <v>6073</v>
      </c>
      <c r="D242" s="4" t="s">
        <v>6033</v>
      </c>
      <c r="E242" s="4" t="s">
        <v>6034</v>
      </c>
    </row>
    <row r="243" spans="1:5">
      <c r="A243" s="4" t="s">
        <v>6064</v>
      </c>
      <c r="B243" s="4" t="s">
        <v>6076</v>
      </c>
      <c r="C243" s="4" t="s">
        <v>6074</v>
      </c>
      <c r="D243" s="4" t="s">
        <v>6033</v>
      </c>
      <c r="E243" s="4" t="s">
        <v>6034</v>
      </c>
    </row>
    <row r="244" spans="1:5">
      <c r="A244" s="4" t="s">
        <v>6064</v>
      </c>
      <c r="B244" s="4" t="s">
        <v>6076</v>
      </c>
      <c r="C244" s="4" t="s">
        <v>6075</v>
      </c>
      <c r="D244" s="4" t="s">
        <v>6033</v>
      </c>
      <c r="E244" s="4" t="s">
        <v>6034</v>
      </c>
    </row>
    <row r="245" spans="1:5">
      <c r="A245" s="4" t="s">
        <v>6064</v>
      </c>
      <c r="B245" s="4" t="s">
        <v>6077</v>
      </c>
      <c r="C245" s="4" t="s">
        <v>6066</v>
      </c>
      <c r="D245" s="4" t="s">
        <v>6033</v>
      </c>
      <c r="E245" s="4" t="s">
        <v>6034</v>
      </c>
    </row>
    <row r="246" spans="1:5">
      <c r="A246" s="4" t="s">
        <v>6064</v>
      </c>
      <c r="B246" s="4" t="s">
        <v>6077</v>
      </c>
      <c r="C246" s="4" t="s">
        <v>6065</v>
      </c>
      <c r="D246" s="4" t="s">
        <v>6033</v>
      </c>
      <c r="E246" s="4" t="s">
        <v>6034</v>
      </c>
    </row>
    <row r="247" spans="1:5">
      <c r="A247" s="4" t="s">
        <v>6064</v>
      </c>
      <c r="B247" s="4" t="s">
        <v>6077</v>
      </c>
      <c r="C247" s="4" t="s">
        <v>6067</v>
      </c>
      <c r="D247" s="4" t="s">
        <v>6033</v>
      </c>
      <c r="E247" s="4" t="s">
        <v>6034</v>
      </c>
    </row>
    <row r="248" spans="1:5">
      <c r="A248" s="4" t="s">
        <v>6064</v>
      </c>
      <c r="B248" s="4" t="s">
        <v>6077</v>
      </c>
      <c r="C248" s="4" t="s">
        <v>6068</v>
      </c>
      <c r="D248" s="4" t="s">
        <v>6033</v>
      </c>
      <c r="E248" s="4" t="s">
        <v>6034</v>
      </c>
    </row>
    <row r="249" spans="1:5">
      <c r="A249" s="4" t="s">
        <v>6064</v>
      </c>
      <c r="B249" s="4" t="s">
        <v>6077</v>
      </c>
      <c r="C249" s="4" t="s">
        <v>6069</v>
      </c>
      <c r="D249" s="4" t="s">
        <v>6033</v>
      </c>
      <c r="E249" s="4" t="s">
        <v>6034</v>
      </c>
    </row>
    <row r="250" spans="1:5">
      <c r="A250" s="4" t="s">
        <v>6064</v>
      </c>
      <c r="B250" s="4" t="s">
        <v>6077</v>
      </c>
      <c r="C250" s="4" t="s">
        <v>6070</v>
      </c>
      <c r="D250" s="4" t="s">
        <v>6039</v>
      </c>
      <c r="E250" s="4" t="s">
        <v>6040</v>
      </c>
    </row>
    <row r="251" spans="1:5">
      <c r="A251" s="4" t="s">
        <v>6064</v>
      </c>
      <c r="B251" s="4" t="s">
        <v>6077</v>
      </c>
      <c r="C251" s="4" t="s">
        <v>6071</v>
      </c>
      <c r="D251" s="4" t="s">
        <v>6033</v>
      </c>
      <c r="E251" s="4" t="s">
        <v>6034</v>
      </c>
    </row>
    <row r="252" spans="1:5">
      <c r="A252" s="4" t="s">
        <v>6064</v>
      </c>
      <c r="B252" s="4" t="s">
        <v>6077</v>
      </c>
      <c r="C252" s="4" t="s">
        <v>6072</v>
      </c>
      <c r="D252" s="4" t="s">
        <v>6033</v>
      </c>
      <c r="E252" s="4" t="s">
        <v>6034</v>
      </c>
    </row>
    <row r="253" spans="1:5">
      <c r="A253" s="4" t="s">
        <v>6064</v>
      </c>
      <c r="B253" s="4" t="s">
        <v>6077</v>
      </c>
      <c r="C253" s="4" t="s">
        <v>6073</v>
      </c>
      <c r="D253" s="4" t="s">
        <v>6033</v>
      </c>
      <c r="E253" s="4" t="s">
        <v>6034</v>
      </c>
    </row>
    <row r="254" spans="1:5">
      <c r="A254" s="4" t="s">
        <v>6064</v>
      </c>
      <c r="B254" s="4" t="s">
        <v>6077</v>
      </c>
      <c r="C254" s="4" t="s">
        <v>6074</v>
      </c>
      <c r="D254" s="4" t="s">
        <v>6033</v>
      </c>
      <c r="E254" s="4" t="s">
        <v>6034</v>
      </c>
    </row>
    <row r="255" spans="1:5">
      <c r="A255" s="4" t="s">
        <v>6064</v>
      </c>
      <c r="B255" s="4" t="s">
        <v>6077</v>
      </c>
      <c r="C255" s="4" t="s">
        <v>6075</v>
      </c>
      <c r="D255" s="4" t="s">
        <v>6033</v>
      </c>
      <c r="E255" s="4" t="s">
        <v>6034</v>
      </c>
    </row>
    <row r="256" spans="1:5">
      <c r="A256" s="4" t="s">
        <v>6064</v>
      </c>
      <c r="B256" s="4" t="s">
        <v>6077</v>
      </c>
      <c r="C256" s="4" t="s">
        <v>6076</v>
      </c>
      <c r="D256" s="4" t="s">
        <v>6039</v>
      </c>
      <c r="E256" s="4" t="s">
        <v>6040</v>
      </c>
    </row>
    <row r="257" spans="1:5">
      <c r="A257" s="4" t="s">
        <v>6064</v>
      </c>
      <c r="B257" s="4" t="s">
        <v>6078</v>
      </c>
      <c r="C257" s="4" t="s">
        <v>6066</v>
      </c>
      <c r="D257" s="4" t="s">
        <v>6033</v>
      </c>
      <c r="E257" s="4" t="s">
        <v>6034</v>
      </c>
    </row>
    <row r="258" spans="1:5">
      <c r="A258" s="4" t="s">
        <v>6064</v>
      </c>
      <c r="B258" s="4" t="s">
        <v>6078</v>
      </c>
      <c r="C258" s="4" t="s">
        <v>6065</v>
      </c>
      <c r="D258" s="4" t="s">
        <v>6033</v>
      </c>
      <c r="E258" s="4" t="s">
        <v>6034</v>
      </c>
    </row>
    <row r="259" spans="1:5">
      <c r="A259" s="4" t="s">
        <v>6064</v>
      </c>
      <c r="B259" s="4" t="s">
        <v>6078</v>
      </c>
      <c r="C259" s="4" t="s">
        <v>6067</v>
      </c>
      <c r="D259" s="4" t="s">
        <v>6033</v>
      </c>
      <c r="E259" s="4" t="s">
        <v>6034</v>
      </c>
    </row>
    <row r="260" spans="1:5">
      <c r="A260" s="4" t="s">
        <v>6064</v>
      </c>
      <c r="B260" s="4" t="s">
        <v>6078</v>
      </c>
      <c r="C260" s="4" t="s">
        <v>6068</v>
      </c>
      <c r="D260" s="4" t="s">
        <v>6033</v>
      </c>
      <c r="E260" s="4" t="s">
        <v>6034</v>
      </c>
    </row>
    <row r="261" spans="1:5">
      <c r="A261" s="4" t="s">
        <v>6064</v>
      </c>
      <c r="B261" s="4" t="s">
        <v>6078</v>
      </c>
      <c r="C261" s="4" t="s">
        <v>6069</v>
      </c>
      <c r="D261" s="4" t="s">
        <v>6033</v>
      </c>
      <c r="E261" s="4" t="s">
        <v>6034</v>
      </c>
    </row>
    <row r="262" spans="1:5">
      <c r="A262" s="4" t="s">
        <v>6064</v>
      </c>
      <c r="B262" s="4" t="s">
        <v>6078</v>
      </c>
      <c r="C262" s="4" t="s">
        <v>6070</v>
      </c>
      <c r="D262" s="4" t="s">
        <v>6039</v>
      </c>
      <c r="E262" s="4" t="s">
        <v>6040</v>
      </c>
    </row>
    <row r="263" spans="1:5">
      <c r="A263" s="4" t="s">
        <v>6064</v>
      </c>
      <c r="B263" s="4" t="s">
        <v>6078</v>
      </c>
      <c r="C263" s="4" t="s">
        <v>6071</v>
      </c>
      <c r="D263" s="4" t="s">
        <v>6033</v>
      </c>
      <c r="E263" s="4" t="s">
        <v>6034</v>
      </c>
    </row>
    <row r="264" spans="1:5">
      <c r="A264" s="4" t="s">
        <v>6064</v>
      </c>
      <c r="B264" s="4" t="s">
        <v>6078</v>
      </c>
      <c r="C264" s="4" t="s">
        <v>6072</v>
      </c>
      <c r="D264" s="4" t="s">
        <v>6033</v>
      </c>
      <c r="E264" s="4" t="s">
        <v>6034</v>
      </c>
    </row>
    <row r="265" spans="1:5">
      <c r="A265" s="4" t="s">
        <v>6064</v>
      </c>
      <c r="B265" s="4" t="s">
        <v>6078</v>
      </c>
      <c r="C265" s="4" t="s">
        <v>6073</v>
      </c>
      <c r="D265" s="4" t="s">
        <v>6033</v>
      </c>
      <c r="E265" s="4" t="s">
        <v>6034</v>
      </c>
    </row>
    <row r="266" spans="1:5">
      <c r="A266" s="4" t="s">
        <v>6064</v>
      </c>
      <c r="B266" s="4" t="s">
        <v>6078</v>
      </c>
      <c r="C266" s="4" t="s">
        <v>6074</v>
      </c>
      <c r="D266" s="4" t="s">
        <v>6033</v>
      </c>
      <c r="E266" s="4" t="s">
        <v>6034</v>
      </c>
    </row>
    <row r="267" spans="1:5">
      <c r="A267" s="4" t="s">
        <v>6064</v>
      </c>
      <c r="B267" s="4" t="s">
        <v>6078</v>
      </c>
      <c r="C267" s="4" t="s">
        <v>6075</v>
      </c>
      <c r="D267" s="4" t="s">
        <v>6033</v>
      </c>
      <c r="E267" s="4" t="s">
        <v>6034</v>
      </c>
    </row>
    <row r="268" spans="1:5">
      <c r="A268" s="4" t="s">
        <v>6064</v>
      </c>
      <c r="B268" s="4" t="s">
        <v>6078</v>
      </c>
      <c r="C268" s="4" t="s">
        <v>6076</v>
      </c>
      <c r="D268" s="4" t="s">
        <v>6033</v>
      </c>
      <c r="E268" s="4" t="s">
        <v>6034</v>
      </c>
    </row>
    <row r="269" spans="1:5">
      <c r="A269" s="4" t="s">
        <v>6064</v>
      </c>
      <c r="B269" s="4" t="s">
        <v>6078</v>
      </c>
      <c r="C269" s="4" t="s">
        <v>6077</v>
      </c>
      <c r="D269" s="4" t="s">
        <v>6033</v>
      </c>
      <c r="E269" s="4" t="s">
        <v>6034</v>
      </c>
    </row>
    <row r="270" spans="1:5">
      <c r="A270" s="4" t="s">
        <v>6064</v>
      </c>
      <c r="B270" s="4" t="s">
        <v>6079</v>
      </c>
      <c r="C270" s="4" t="s">
        <v>6066</v>
      </c>
      <c r="D270" s="4" t="s">
        <v>6033</v>
      </c>
      <c r="E270" s="4" t="s">
        <v>6034</v>
      </c>
    </row>
    <row r="271" spans="1:5">
      <c r="A271" s="4" t="s">
        <v>6064</v>
      </c>
      <c r="B271" s="4" t="s">
        <v>6079</v>
      </c>
      <c r="C271" s="4" t="s">
        <v>6065</v>
      </c>
      <c r="D271" s="4" t="s">
        <v>6033</v>
      </c>
      <c r="E271" s="4" t="s">
        <v>6034</v>
      </c>
    </row>
    <row r="272" spans="1:5">
      <c r="A272" s="4" t="s">
        <v>6064</v>
      </c>
      <c r="B272" s="4" t="s">
        <v>6079</v>
      </c>
      <c r="C272" s="4" t="s">
        <v>6067</v>
      </c>
      <c r="D272" s="4" t="s">
        <v>6033</v>
      </c>
      <c r="E272" s="4" t="s">
        <v>6034</v>
      </c>
    </row>
    <row r="273" spans="1:5">
      <c r="A273" s="4" t="s">
        <v>6064</v>
      </c>
      <c r="B273" s="4" t="s">
        <v>6079</v>
      </c>
      <c r="C273" s="4" t="s">
        <v>6068</v>
      </c>
      <c r="D273" s="4" t="s">
        <v>6033</v>
      </c>
      <c r="E273" s="4" t="s">
        <v>6034</v>
      </c>
    </row>
    <row r="274" spans="1:5">
      <c r="A274" s="4" t="s">
        <v>6064</v>
      </c>
      <c r="B274" s="4" t="s">
        <v>6079</v>
      </c>
      <c r="C274" s="4" t="s">
        <v>6069</v>
      </c>
      <c r="D274" s="4" t="s">
        <v>6033</v>
      </c>
      <c r="E274" s="4" t="s">
        <v>6034</v>
      </c>
    </row>
    <row r="275" spans="1:5">
      <c r="A275" s="4" t="s">
        <v>6064</v>
      </c>
      <c r="B275" s="4" t="s">
        <v>6079</v>
      </c>
      <c r="C275" s="4" t="s">
        <v>6070</v>
      </c>
      <c r="D275" s="4" t="s">
        <v>6039</v>
      </c>
      <c r="E275" s="4" t="s">
        <v>6040</v>
      </c>
    </row>
    <row r="276" spans="1:5">
      <c r="A276" s="4" t="s">
        <v>6064</v>
      </c>
      <c r="B276" s="4" t="s">
        <v>6079</v>
      </c>
      <c r="C276" s="4" t="s">
        <v>6071</v>
      </c>
      <c r="D276" s="4" t="s">
        <v>6033</v>
      </c>
      <c r="E276" s="4" t="s">
        <v>6034</v>
      </c>
    </row>
    <row r="277" spans="1:5">
      <c r="A277" s="4" t="s">
        <v>6064</v>
      </c>
      <c r="B277" s="4" t="s">
        <v>6079</v>
      </c>
      <c r="C277" s="4" t="s">
        <v>6072</v>
      </c>
      <c r="D277" s="4" t="s">
        <v>6033</v>
      </c>
      <c r="E277" s="4" t="s">
        <v>6034</v>
      </c>
    </row>
    <row r="278" spans="1:5">
      <c r="A278" s="4" t="s">
        <v>6064</v>
      </c>
      <c r="B278" s="4" t="s">
        <v>6079</v>
      </c>
      <c r="C278" s="4" t="s">
        <v>6073</v>
      </c>
      <c r="D278" s="4" t="s">
        <v>6033</v>
      </c>
      <c r="E278" s="4" t="s">
        <v>6034</v>
      </c>
    </row>
    <row r="279" spans="1:5">
      <c r="A279" s="4" t="s">
        <v>6064</v>
      </c>
      <c r="B279" s="4" t="s">
        <v>6079</v>
      </c>
      <c r="C279" s="4" t="s">
        <v>6074</v>
      </c>
      <c r="D279" s="4" t="s">
        <v>6033</v>
      </c>
      <c r="E279" s="4" t="s">
        <v>6034</v>
      </c>
    </row>
    <row r="280" spans="1:5">
      <c r="A280" s="4" t="s">
        <v>6064</v>
      </c>
      <c r="B280" s="4" t="s">
        <v>6079</v>
      </c>
      <c r="C280" s="4" t="s">
        <v>6075</v>
      </c>
      <c r="D280" s="4" t="s">
        <v>6033</v>
      </c>
      <c r="E280" s="4" t="s">
        <v>6034</v>
      </c>
    </row>
    <row r="281" spans="1:5">
      <c r="A281" s="4" t="s">
        <v>6064</v>
      </c>
      <c r="B281" s="4" t="s">
        <v>6079</v>
      </c>
      <c r="C281" s="4" t="s">
        <v>6076</v>
      </c>
      <c r="D281" s="4" t="s">
        <v>6033</v>
      </c>
      <c r="E281" s="4" t="s">
        <v>6034</v>
      </c>
    </row>
    <row r="282" spans="1:5">
      <c r="A282" s="4" t="s">
        <v>6064</v>
      </c>
      <c r="B282" s="4" t="s">
        <v>6079</v>
      </c>
      <c r="C282" s="4" t="s">
        <v>6077</v>
      </c>
      <c r="D282" s="4" t="s">
        <v>6033</v>
      </c>
      <c r="E282" s="4" t="s">
        <v>6034</v>
      </c>
    </row>
    <row r="283" spans="1:5">
      <c r="A283" s="4" t="s">
        <v>6064</v>
      </c>
      <c r="B283" s="4" t="s">
        <v>6079</v>
      </c>
      <c r="C283" s="4" t="s">
        <v>6078</v>
      </c>
      <c r="D283" s="4" t="s">
        <v>6033</v>
      </c>
      <c r="E283" s="4" t="s">
        <v>6034</v>
      </c>
    </row>
    <row r="284" spans="1:5">
      <c r="A284" s="4" t="s">
        <v>6064</v>
      </c>
      <c r="B284" s="4" t="s">
        <v>6080</v>
      </c>
      <c r="C284" s="4" t="s">
        <v>6066</v>
      </c>
      <c r="D284" s="4" t="s">
        <v>6033</v>
      </c>
      <c r="E284" s="4" t="s">
        <v>6034</v>
      </c>
    </row>
    <row r="285" spans="1:5">
      <c r="A285" s="4" t="s">
        <v>6064</v>
      </c>
      <c r="B285" s="4" t="s">
        <v>6080</v>
      </c>
      <c r="C285" s="4" t="s">
        <v>6065</v>
      </c>
      <c r="D285" s="4" t="s">
        <v>6033</v>
      </c>
      <c r="E285" s="4" t="s">
        <v>6034</v>
      </c>
    </row>
    <row r="286" spans="1:5">
      <c r="A286" s="4" t="s">
        <v>6064</v>
      </c>
      <c r="B286" s="4" t="s">
        <v>6080</v>
      </c>
      <c r="C286" s="4" t="s">
        <v>6067</v>
      </c>
      <c r="D286" s="4" t="s">
        <v>6033</v>
      </c>
      <c r="E286" s="4" t="s">
        <v>6034</v>
      </c>
    </row>
    <row r="287" spans="1:5">
      <c r="A287" s="4" t="s">
        <v>6064</v>
      </c>
      <c r="B287" s="4" t="s">
        <v>6080</v>
      </c>
      <c r="C287" s="4" t="s">
        <v>6068</v>
      </c>
      <c r="D287" s="4" t="s">
        <v>6033</v>
      </c>
      <c r="E287" s="4" t="s">
        <v>6034</v>
      </c>
    </row>
    <row r="288" spans="1:5">
      <c r="A288" s="4" t="s">
        <v>6064</v>
      </c>
      <c r="B288" s="4" t="s">
        <v>6080</v>
      </c>
      <c r="C288" s="4" t="s">
        <v>6069</v>
      </c>
      <c r="D288" s="4" t="s">
        <v>6033</v>
      </c>
      <c r="E288" s="4" t="s">
        <v>6034</v>
      </c>
    </row>
    <row r="289" spans="1:5">
      <c r="A289" s="4" t="s">
        <v>6064</v>
      </c>
      <c r="B289" s="4" t="s">
        <v>6080</v>
      </c>
      <c r="C289" s="4" t="s">
        <v>6070</v>
      </c>
      <c r="D289" s="4" t="s">
        <v>6033</v>
      </c>
      <c r="E289" s="4" t="s">
        <v>6034</v>
      </c>
    </row>
    <row r="290" spans="1:5">
      <c r="A290" s="4" t="s">
        <v>6064</v>
      </c>
      <c r="B290" s="4" t="s">
        <v>6080</v>
      </c>
      <c r="C290" s="4" t="s">
        <v>6071</v>
      </c>
      <c r="D290" s="4" t="s">
        <v>6033</v>
      </c>
      <c r="E290" s="4" t="s">
        <v>6034</v>
      </c>
    </row>
    <row r="291" spans="1:5">
      <c r="A291" s="4" t="s">
        <v>6064</v>
      </c>
      <c r="B291" s="4" t="s">
        <v>6080</v>
      </c>
      <c r="C291" s="4" t="s">
        <v>6072</v>
      </c>
      <c r="D291" s="4" t="s">
        <v>6033</v>
      </c>
      <c r="E291" s="4" t="s">
        <v>6034</v>
      </c>
    </row>
    <row r="292" spans="1:5">
      <c r="A292" s="4" t="s">
        <v>6064</v>
      </c>
      <c r="B292" s="4" t="s">
        <v>6080</v>
      </c>
      <c r="C292" s="4" t="s">
        <v>6073</v>
      </c>
      <c r="D292" s="4" t="s">
        <v>6033</v>
      </c>
      <c r="E292" s="4" t="s">
        <v>6034</v>
      </c>
    </row>
    <row r="293" spans="1:5">
      <c r="A293" s="4" t="s">
        <v>6064</v>
      </c>
      <c r="B293" s="4" t="s">
        <v>6080</v>
      </c>
      <c r="C293" s="4" t="s">
        <v>6074</v>
      </c>
      <c r="D293" s="4" t="s">
        <v>6033</v>
      </c>
      <c r="E293" s="4" t="s">
        <v>6034</v>
      </c>
    </row>
    <row r="294" spans="1:5">
      <c r="A294" s="4" t="s">
        <v>6064</v>
      </c>
      <c r="B294" s="4" t="s">
        <v>6080</v>
      </c>
      <c r="C294" s="4" t="s">
        <v>6075</v>
      </c>
      <c r="D294" s="4" t="s">
        <v>6033</v>
      </c>
      <c r="E294" s="4" t="s">
        <v>6034</v>
      </c>
    </row>
    <row r="295" spans="1:5">
      <c r="A295" s="4" t="s">
        <v>6064</v>
      </c>
      <c r="B295" s="4" t="s">
        <v>6080</v>
      </c>
      <c r="C295" s="4" t="s">
        <v>6076</v>
      </c>
      <c r="D295" s="4" t="s">
        <v>6033</v>
      </c>
      <c r="E295" s="4" t="s">
        <v>6034</v>
      </c>
    </row>
    <row r="296" spans="1:5">
      <c r="A296" s="4" t="s">
        <v>6064</v>
      </c>
      <c r="B296" s="4" t="s">
        <v>6080</v>
      </c>
      <c r="C296" s="4" t="s">
        <v>6077</v>
      </c>
      <c r="D296" s="4" t="s">
        <v>6033</v>
      </c>
      <c r="E296" s="4" t="s">
        <v>6034</v>
      </c>
    </row>
    <row r="297" spans="1:5">
      <c r="A297" s="4" t="s">
        <v>6064</v>
      </c>
      <c r="B297" s="4" t="s">
        <v>6080</v>
      </c>
      <c r="C297" s="4" t="s">
        <v>6078</v>
      </c>
      <c r="D297" s="4" t="s">
        <v>6033</v>
      </c>
      <c r="E297" s="4" t="s">
        <v>6034</v>
      </c>
    </row>
    <row r="298" spans="1:5">
      <c r="A298" s="4" t="s">
        <v>6064</v>
      </c>
      <c r="B298" s="4" t="s">
        <v>6080</v>
      </c>
      <c r="C298" s="4" t="s">
        <v>6079</v>
      </c>
      <c r="D298" s="4" t="s">
        <v>6039</v>
      </c>
      <c r="E298" s="4" t="s">
        <v>6040</v>
      </c>
    </row>
    <row r="299" spans="1:5">
      <c r="A299" s="4" t="s">
        <v>6064</v>
      </c>
      <c r="B299" s="4" t="s">
        <v>6081</v>
      </c>
      <c r="C299" s="4" t="s">
        <v>6066</v>
      </c>
      <c r="D299" s="4" t="s">
        <v>6033</v>
      </c>
      <c r="E299" s="4" t="s">
        <v>6034</v>
      </c>
    </row>
    <row r="300" spans="1:5">
      <c r="A300" s="4" t="s">
        <v>6064</v>
      </c>
      <c r="B300" s="4" t="s">
        <v>6081</v>
      </c>
      <c r="C300" s="4" t="s">
        <v>6065</v>
      </c>
      <c r="D300" s="4" t="s">
        <v>6033</v>
      </c>
      <c r="E300" s="4" t="s">
        <v>6034</v>
      </c>
    </row>
    <row r="301" spans="1:5">
      <c r="A301" s="4" t="s">
        <v>6064</v>
      </c>
      <c r="B301" s="4" t="s">
        <v>6081</v>
      </c>
      <c r="C301" s="4" t="s">
        <v>6067</v>
      </c>
      <c r="D301" s="4" t="s">
        <v>6033</v>
      </c>
      <c r="E301" s="4" t="s">
        <v>6034</v>
      </c>
    </row>
    <row r="302" spans="1:5">
      <c r="A302" s="4" t="s">
        <v>6064</v>
      </c>
      <c r="B302" s="4" t="s">
        <v>6081</v>
      </c>
      <c r="C302" s="4" t="s">
        <v>6068</v>
      </c>
      <c r="D302" s="4" t="s">
        <v>6033</v>
      </c>
      <c r="E302" s="4" t="s">
        <v>6034</v>
      </c>
    </row>
    <row r="303" spans="1:5">
      <c r="A303" s="4" t="s">
        <v>6064</v>
      </c>
      <c r="B303" s="4" t="s">
        <v>6081</v>
      </c>
      <c r="C303" s="4" t="s">
        <v>6069</v>
      </c>
      <c r="D303" s="4" t="s">
        <v>6033</v>
      </c>
      <c r="E303" s="4" t="s">
        <v>6034</v>
      </c>
    </row>
    <row r="304" spans="1:5">
      <c r="A304" s="4" t="s">
        <v>6064</v>
      </c>
      <c r="B304" s="4" t="s">
        <v>6081</v>
      </c>
      <c r="C304" s="4" t="s">
        <v>6070</v>
      </c>
      <c r="D304" s="4" t="s">
        <v>6033</v>
      </c>
      <c r="E304" s="4" t="s">
        <v>6034</v>
      </c>
    </row>
    <row r="305" spans="1:5">
      <c r="A305" s="4" t="s">
        <v>6064</v>
      </c>
      <c r="B305" s="4" t="s">
        <v>6081</v>
      </c>
      <c r="C305" s="4" t="s">
        <v>6071</v>
      </c>
      <c r="D305" s="4" t="s">
        <v>6033</v>
      </c>
      <c r="E305" s="4" t="s">
        <v>6034</v>
      </c>
    </row>
    <row r="306" spans="1:5">
      <c r="A306" s="4" t="s">
        <v>6064</v>
      </c>
      <c r="B306" s="4" t="s">
        <v>6081</v>
      </c>
      <c r="C306" s="4" t="s">
        <v>6072</v>
      </c>
      <c r="D306" s="4" t="s">
        <v>6033</v>
      </c>
      <c r="E306" s="4" t="s">
        <v>6034</v>
      </c>
    </row>
    <row r="307" spans="1:5">
      <c r="A307" s="4" t="s">
        <v>6064</v>
      </c>
      <c r="B307" s="4" t="s">
        <v>6081</v>
      </c>
      <c r="C307" s="4" t="s">
        <v>6073</v>
      </c>
      <c r="D307" s="4" t="s">
        <v>6033</v>
      </c>
      <c r="E307" s="4" t="s">
        <v>6034</v>
      </c>
    </row>
    <row r="308" spans="1:5">
      <c r="A308" s="4" t="s">
        <v>6064</v>
      </c>
      <c r="B308" s="4" t="s">
        <v>6081</v>
      </c>
      <c r="C308" s="4" t="s">
        <v>6074</v>
      </c>
      <c r="D308" s="4" t="s">
        <v>6033</v>
      </c>
      <c r="E308" s="4" t="s">
        <v>6034</v>
      </c>
    </row>
    <row r="309" spans="1:5">
      <c r="A309" s="4" t="s">
        <v>6064</v>
      </c>
      <c r="B309" s="4" t="s">
        <v>6081</v>
      </c>
      <c r="C309" s="4" t="s">
        <v>6075</v>
      </c>
      <c r="D309" s="4" t="s">
        <v>6033</v>
      </c>
      <c r="E309" s="4" t="s">
        <v>6034</v>
      </c>
    </row>
    <row r="310" spans="1:5">
      <c r="A310" s="4" t="s">
        <v>6064</v>
      </c>
      <c r="B310" s="4" t="s">
        <v>6081</v>
      </c>
      <c r="C310" s="4" t="s">
        <v>6076</v>
      </c>
      <c r="D310" s="4" t="s">
        <v>6033</v>
      </c>
      <c r="E310" s="4" t="s">
        <v>6034</v>
      </c>
    </row>
    <row r="311" spans="1:5">
      <c r="A311" s="4" t="s">
        <v>6064</v>
      </c>
      <c r="B311" s="4" t="s">
        <v>6081</v>
      </c>
      <c r="C311" s="4" t="s">
        <v>6077</v>
      </c>
      <c r="D311" s="4" t="s">
        <v>6033</v>
      </c>
      <c r="E311" s="4" t="s">
        <v>6034</v>
      </c>
    </row>
    <row r="312" spans="1:5">
      <c r="A312" s="4" t="s">
        <v>6064</v>
      </c>
      <c r="B312" s="4" t="s">
        <v>6081</v>
      </c>
      <c r="C312" s="4" t="s">
        <v>6078</v>
      </c>
      <c r="D312" s="4" t="s">
        <v>6033</v>
      </c>
      <c r="E312" s="4" t="s">
        <v>6034</v>
      </c>
    </row>
    <row r="313" spans="1:5">
      <c r="A313" s="4" t="s">
        <v>6064</v>
      </c>
      <c r="B313" s="4" t="s">
        <v>6081</v>
      </c>
      <c r="C313" s="4" t="s">
        <v>6079</v>
      </c>
      <c r="D313" s="4" t="s">
        <v>6033</v>
      </c>
      <c r="E313" s="4" t="s">
        <v>6034</v>
      </c>
    </row>
    <row r="314" spans="1:5">
      <c r="A314" s="4" t="s">
        <v>6064</v>
      </c>
      <c r="B314" s="4" t="s">
        <v>6081</v>
      </c>
      <c r="C314" s="4" t="s">
        <v>6080</v>
      </c>
      <c r="D314" s="4" t="s">
        <v>6033</v>
      </c>
      <c r="E314" s="4" t="s">
        <v>6034</v>
      </c>
    </row>
    <row r="315" spans="1:5">
      <c r="A315" s="4" t="s">
        <v>6064</v>
      </c>
      <c r="B315" s="4" t="s">
        <v>6082</v>
      </c>
      <c r="C315" s="4" t="s">
        <v>6066</v>
      </c>
      <c r="D315" s="4" t="s">
        <v>6033</v>
      </c>
      <c r="E315" s="4" t="s">
        <v>6034</v>
      </c>
    </row>
    <row r="316" spans="1:5">
      <c r="A316" s="4" t="s">
        <v>6064</v>
      </c>
      <c r="B316" s="4" t="s">
        <v>6082</v>
      </c>
      <c r="C316" s="4" t="s">
        <v>6065</v>
      </c>
      <c r="D316" s="4" t="s">
        <v>6033</v>
      </c>
      <c r="E316" s="4" t="s">
        <v>6034</v>
      </c>
    </row>
    <row r="317" spans="1:5">
      <c r="A317" s="4" t="s">
        <v>6064</v>
      </c>
      <c r="B317" s="4" t="s">
        <v>6082</v>
      </c>
      <c r="C317" s="4" t="s">
        <v>6067</v>
      </c>
      <c r="D317" s="4" t="s">
        <v>6033</v>
      </c>
      <c r="E317" s="4" t="s">
        <v>6034</v>
      </c>
    </row>
    <row r="318" spans="1:5">
      <c r="A318" s="4" t="s">
        <v>6064</v>
      </c>
      <c r="B318" s="4" t="s">
        <v>6082</v>
      </c>
      <c r="C318" s="4" t="s">
        <v>6068</v>
      </c>
      <c r="D318" s="4" t="s">
        <v>6033</v>
      </c>
      <c r="E318" s="4" t="s">
        <v>6034</v>
      </c>
    </row>
    <row r="319" spans="1:5">
      <c r="A319" s="4" t="s">
        <v>6064</v>
      </c>
      <c r="B319" s="4" t="s">
        <v>6082</v>
      </c>
      <c r="C319" s="4" t="s">
        <v>6069</v>
      </c>
      <c r="D319" s="4" t="s">
        <v>6033</v>
      </c>
      <c r="E319" s="4" t="s">
        <v>6034</v>
      </c>
    </row>
    <row r="320" spans="1:5">
      <c r="A320" s="4" t="s">
        <v>6064</v>
      </c>
      <c r="B320" s="4" t="s">
        <v>6082</v>
      </c>
      <c r="C320" s="4" t="s">
        <v>6070</v>
      </c>
      <c r="D320" s="4" t="s">
        <v>6033</v>
      </c>
      <c r="E320" s="4" t="s">
        <v>6034</v>
      </c>
    </row>
    <row r="321" spans="1:5">
      <c r="A321" s="4" t="s">
        <v>6064</v>
      </c>
      <c r="B321" s="4" t="s">
        <v>6082</v>
      </c>
      <c r="C321" s="4" t="s">
        <v>6071</v>
      </c>
      <c r="D321" s="4" t="s">
        <v>6033</v>
      </c>
      <c r="E321" s="4" t="s">
        <v>6034</v>
      </c>
    </row>
    <row r="322" spans="1:5">
      <c r="A322" s="4" t="s">
        <v>6064</v>
      </c>
      <c r="B322" s="4" t="s">
        <v>6082</v>
      </c>
      <c r="C322" s="4" t="s">
        <v>6072</v>
      </c>
      <c r="D322" s="4" t="s">
        <v>6033</v>
      </c>
      <c r="E322" s="4" t="s">
        <v>6034</v>
      </c>
    </row>
    <row r="323" spans="1:5">
      <c r="A323" s="4" t="s">
        <v>6064</v>
      </c>
      <c r="B323" s="4" t="s">
        <v>6082</v>
      </c>
      <c r="C323" s="4" t="s">
        <v>6073</v>
      </c>
      <c r="D323" s="4" t="s">
        <v>6033</v>
      </c>
      <c r="E323" s="4" t="s">
        <v>6034</v>
      </c>
    </row>
    <row r="324" spans="1:5">
      <c r="A324" s="4" t="s">
        <v>6064</v>
      </c>
      <c r="B324" s="4" t="s">
        <v>6082</v>
      </c>
      <c r="C324" s="4" t="s">
        <v>6074</v>
      </c>
      <c r="D324" s="4" t="s">
        <v>6033</v>
      </c>
      <c r="E324" s="4" t="s">
        <v>6034</v>
      </c>
    </row>
    <row r="325" spans="1:5">
      <c r="A325" s="4" t="s">
        <v>6064</v>
      </c>
      <c r="B325" s="4" t="s">
        <v>6082</v>
      </c>
      <c r="C325" s="4" t="s">
        <v>6075</v>
      </c>
      <c r="D325" s="4" t="s">
        <v>6033</v>
      </c>
      <c r="E325" s="4" t="s">
        <v>6034</v>
      </c>
    </row>
    <row r="326" spans="1:5">
      <c r="A326" s="4" t="s">
        <v>6064</v>
      </c>
      <c r="B326" s="4" t="s">
        <v>6082</v>
      </c>
      <c r="C326" s="4" t="s">
        <v>6076</v>
      </c>
      <c r="D326" s="4" t="s">
        <v>6033</v>
      </c>
      <c r="E326" s="4" t="s">
        <v>6034</v>
      </c>
    </row>
    <row r="327" spans="1:5">
      <c r="A327" s="4" t="s">
        <v>6064</v>
      </c>
      <c r="B327" s="4" t="s">
        <v>6082</v>
      </c>
      <c r="C327" s="4" t="s">
        <v>6077</v>
      </c>
      <c r="D327" s="4" t="s">
        <v>6033</v>
      </c>
      <c r="E327" s="4" t="s">
        <v>6034</v>
      </c>
    </row>
    <row r="328" spans="1:5">
      <c r="A328" s="4" t="s">
        <v>6064</v>
      </c>
      <c r="B328" s="4" t="s">
        <v>6082</v>
      </c>
      <c r="C328" s="4" t="s">
        <v>6078</v>
      </c>
      <c r="D328" s="4" t="s">
        <v>6033</v>
      </c>
      <c r="E328" s="4" t="s">
        <v>6034</v>
      </c>
    </row>
    <row r="329" spans="1:5">
      <c r="A329" s="4" t="s">
        <v>6064</v>
      </c>
      <c r="B329" s="4" t="s">
        <v>6082</v>
      </c>
      <c r="C329" s="4" t="s">
        <v>6079</v>
      </c>
      <c r="D329" s="4" t="s">
        <v>6033</v>
      </c>
      <c r="E329" s="4" t="s">
        <v>6034</v>
      </c>
    </row>
    <row r="330" spans="1:5">
      <c r="A330" s="4" t="s">
        <v>6064</v>
      </c>
      <c r="B330" s="4" t="s">
        <v>6082</v>
      </c>
      <c r="C330" s="4" t="s">
        <v>6080</v>
      </c>
      <c r="D330" s="4" t="s">
        <v>6033</v>
      </c>
      <c r="E330" s="4" t="s">
        <v>6034</v>
      </c>
    </row>
    <row r="331" spans="1:5">
      <c r="A331" s="4" t="s">
        <v>6064</v>
      </c>
      <c r="B331" s="4" t="s">
        <v>6082</v>
      </c>
      <c r="C331" s="4" t="s">
        <v>6081</v>
      </c>
      <c r="D331" s="4" t="s">
        <v>6033</v>
      </c>
      <c r="E331" s="4" t="s">
        <v>6034</v>
      </c>
    </row>
    <row r="332" spans="1:5">
      <c r="A332" s="4" t="s">
        <v>6064</v>
      </c>
      <c r="B332" s="4" t="s">
        <v>6083</v>
      </c>
      <c r="C332" s="4" t="s">
        <v>6066</v>
      </c>
      <c r="D332" s="4" t="s">
        <v>6033</v>
      </c>
      <c r="E332" s="4" t="s">
        <v>6034</v>
      </c>
    </row>
    <row r="333" spans="1:5">
      <c r="A333" s="4" t="s">
        <v>6064</v>
      </c>
      <c r="B333" s="4" t="s">
        <v>6083</v>
      </c>
      <c r="C333" s="4" t="s">
        <v>6065</v>
      </c>
      <c r="D333" s="4" t="s">
        <v>6033</v>
      </c>
      <c r="E333" s="4" t="s">
        <v>6034</v>
      </c>
    </row>
    <row r="334" spans="1:5">
      <c r="A334" s="4" t="s">
        <v>6064</v>
      </c>
      <c r="B334" s="4" t="s">
        <v>6083</v>
      </c>
      <c r="C334" s="4" t="s">
        <v>6067</v>
      </c>
      <c r="D334" s="4" t="s">
        <v>6033</v>
      </c>
      <c r="E334" s="4" t="s">
        <v>6034</v>
      </c>
    </row>
    <row r="335" spans="1:5">
      <c r="A335" s="4" t="s">
        <v>6064</v>
      </c>
      <c r="B335" s="4" t="s">
        <v>6083</v>
      </c>
      <c r="C335" s="4" t="s">
        <v>6068</v>
      </c>
      <c r="D335" s="4" t="s">
        <v>6033</v>
      </c>
      <c r="E335" s="4" t="s">
        <v>6034</v>
      </c>
    </row>
    <row r="336" spans="1:5">
      <c r="A336" s="4" t="s">
        <v>6064</v>
      </c>
      <c r="B336" s="4" t="s">
        <v>6083</v>
      </c>
      <c r="C336" s="4" t="s">
        <v>6069</v>
      </c>
      <c r="D336" s="4" t="s">
        <v>6033</v>
      </c>
      <c r="E336" s="4" t="s">
        <v>6034</v>
      </c>
    </row>
    <row r="337" spans="1:5">
      <c r="A337" s="4" t="s">
        <v>6064</v>
      </c>
      <c r="B337" s="4" t="s">
        <v>6083</v>
      </c>
      <c r="C337" s="4" t="s">
        <v>6070</v>
      </c>
      <c r="D337" s="4" t="s">
        <v>6033</v>
      </c>
      <c r="E337" s="4" t="s">
        <v>6034</v>
      </c>
    </row>
    <row r="338" spans="1:5">
      <c r="A338" s="4" t="s">
        <v>6064</v>
      </c>
      <c r="B338" s="4" t="s">
        <v>6083</v>
      </c>
      <c r="C338" s="4" t="s">
        <v>6071</v>
      </c>
      <c r="D338" s="4" t="s">
        <v>6033</v>
      </c>
      <c r="E338" s="4" t="s">
        <v>6034</v>
      </c>
    </row>
    <row r="339" spans="1:5">
      <c r="A339" s="4" t="s">
        <v>6064</v>
      </c>
      <c r="B339" s="4" t="s">
        <v>6083</v>
      </c>
      <c r="C339" s="4" t="s">
        <v>6072</v>
      </c>
      <c r="D339" s="4" t="s">
        <v>6033</v>
      </c>
      <c r="E339" s="4" t="s">
        <v>6034</v>
      </c>
    </row>
    <row r="340" spans="1:5">
      <c r="A340" s="4" t="s">
        <v>6064</v>
      </c>
      <c r="B340" s="4" t="s">
        <v>6083</v>
      </c>
      <c r="C340" s="4" t="s">
        <v>6073</v>
      </c>
      <c r="D340" s="4" t="s">
        <v>6033</v>
      </c>
      <c r="E340" s="4" t="s">
        <v>6034</v>
      </c>
    </row>
    <row r="341" spans="1:5">
      <c r="A341" s="4" t="s">
        <v>6064</v>
      </c>
      <c r="B341" s="4" t="s">
        <v>6083</v>
      </c>
      <c r="C341" s="4" t="s">
        <v>6074</v>
      </c>
      <c r="D341" s="4" t="s">
        <v>6033</v>
      </c>
      <c r="E341" s="4" t="s">
        <v>6034</v>
      </c>
    </row>
    <row r="342" spans="1:5">
      <c r="A342" s="4" t="s">
        <v>6064</v>
      </c>
      <c r="B342" s="4" t="s">
        <v>6083</v>
      </c>
      <c r="C342" s="4" t="s">
        <v>6075</v>
      </c>
      <c r="D342" s="4" t="s">
        <v>6033</v>
      </c>
      <c r="E342" s="4" t="s">
        <v>6034</v>
      </c>
    </row>
    <row r="343" spans="1:5">
      <c r="A343" s="4" t="s">
        <v>6064</v>
      </c>
      <c r="B343" s="4" t="s">
        <v>6083</v>
      </c>
      <c r="C343" s="4" t="s">
        <v>6076</v>
      </c>
      <c r="D343" s="4" t="s">
        <v>6033</v>
      </c>
      <c r="E343" s="4" t="s">
        <v>6034</v>
      </c>
    </row>
    <row r="344" spans="1:5">
      <c r="A344" s="4" t="s">
        <v>6064</v>
      </c>
      <c r="B344" s="4" t="s">
        <v>6083</v>
      </c>
      <c r="C344" s="4" t="s">
        <v>6077</v>
      </c>
      <c r="D344" s="4" t="s">
        <v>6033</v>
      </c>
      <c r="E344" s="4" t="s">
        <v>6034</v>
      </c>
    </row>
    <row r="345" spans="1:5">
      <c r="A345" s="4" t="s">
        <v>6064</v>
      </c>
      <c r="B345" s="4" t="s">
        <v>6083</v>
      </c>
      <c r="C345" s="4" t="s">
        <v>6078</v>
      </c>
      <c r="D345" s="4" t="s">
        <v>6033</v>
      </c>
      <c r="E345" s="4" t="s">
        <v>6034</v>
      </c>
    </row>
    <row r="346" spans="1:5">
      <c r="A346" s="4" t="s">
        <v>6064</v>
      </c>
      <c r="B346" s="4" t="s">
        <v>6083</v>
      </c>
      <c r="C346" s="4" t="s">
        <v>6079</v>
      </c>
      <c r="D346" s="4" t="s">
        <v>6033</v>
      </c>
      <c r="E346" s="4" t="s">
        <v>6034</v>
      </c>
    </row>
    <row r="347" spans="1:5">
      <c r="A347" s="4" t="s">
        <v>6064</v>
      </c>
      <c r="B347" s="4" t="s">
        <v>6083</v>
      </c>
      <c r="C347" s="4" t="s">
        <v>6080</v>
      </c>
      <c r="D347" s="4" t="s">
        <v>6033</v>
      </c>
      <c r="E347" s="4" t="s">
        <v>6034</v>
      </c>
    </row>
    <row r="348" spans="1:5">
      <c r="A348" s="4" t="s">
        <v>6064</v>
      </c>
      <c r="B348" s="4" t="s">
        <v>6083</v>
      </c>
      <c r="C348" s="4" t="s">
        <v>6081</v>
      </c>
      <c r="D348" s="4" t="s">
        <v>6033</v>
      </c>
      <c r="E348" s="4" t="s">
        <v>6034</v>
      </c>
    </row>
    <row r="349" spans="1:5">
      <c r="A349" s="4" t="s">
        <v>6064</v>
      </c>
      <c r="B349" s="4" t="s">
        <v>6083</v>
      </c>
      <c r="C349" s="4" t="s">
        <v>6082</v>
      </c>
      <c r="D349" s="4" t="s">
        <v>6033</v>
      </c>
      <c r="E349" s="4" t="s">
        <v>6034</v>
      </c>
    </row>
    <row r="350" spans="1:5">
      <c r="A350" s="4" t="s">
        <v>6064</v>
      </c>
      <c r="B350" s="4" t="s">
        <v>6084</v>
      </c>
      <c r="C350" s="4" t="s">
        <v>6066</v>
      </c>
      <c r="D350" s="4" t="s">
        <v>6033</v>
      </c>
      <c r="E350" s="4" t="s">
        <v>6034</v>
      </c>
    </row>
    <row r="351" spans="1:5">
      <c r="A351" s="4" t="s">
        <v>6064</v>
      </c>
      <c r="B351" s="4" t="s">
        <v>6084</v>
      </c>
      <c r="C351" s="4" t="s">
        <v>6065</v>
      </c>
      <c r="D351" s="4" t="s">
        <v>6033</v>
      </c>
      <c r="E351" s="4" t="s">
        <v>6034</v>
      </c>
    </row>
    <row r="352" spans="1:5">
      <c r="A352" s="4" t="s">
        <v>6064</v>
      </c>
      <c r="B352" s="4" t="s">
        <v>6084</v>
      </c>
      <c r="C352" s="4" t="s">
        <v>6067</v>
      </c>
      <c r="D352" s="4" t="s">
        <v>6033</v>
      </c>
      <c r="E352" s="4" t="s">
        <v>6034</v>
      </c>
    </row>
    <row r="353" spans="1:5">
      <c r="A353" s="4" t="s">
        <v>6064</v>
      </c>
      <c r="B353" s="4" t="s">
        <v>6084</v>
      </c>
      <c r="C353" s="4" t="s">
        <v>6068</v>
      </c>
      <c r="D353" s="4" t="s">
        <v>6033</v>
      </c>
      <c r="E353" s="4" t="s">
        <v>6034</v>
      </c>
    </row>
    <row r="354" spans="1:5">
      <c r="A354" s="4" t="s">
        <v>6064</v>
      </c>
      <c r="B354" s="4" t="s">
        <v>6084</v>
      </c>
      <c r="C354" s="4" t="s">
        <v>6069</v>
      </c>
      <c r="D354" s="4" t="s">
        <v>6033</v>
      </c>
      <c r="E354" s="4" t="s">
        <v>6034</v>
      </c>
    </row>
    <row r="355" spans="1:5">
      <c r="A355" s="4" t="s">
        <v>6064</v>
      </c>
      <c r="B355" s="4" t="s">
        <v>6084</v>
      </c>
      <c r="C355" s="4" t="s">
        <v>6070</v>
      </c>
      <c r="D355" s="4" t="s">
        <v>6033</v>
      </c>
      <c r="E355" s="4" t="s">
        <v>6034</v>
      </c>
    </row>
    <row r="356" spans="1:5">
      <c r="A356" s="4" t="s">
        <v>6064</v>
      </c>
      <c r="B356" s="4" t="s">
        <v>6084</v>
      </c>
      <c r="C356" s="4" t="s">
        <v>6071</v>
      </c>
      <c r="D356" s="4" t="s">
        <v>6033</v>
      </c>
      <c r="E356" s="4" t="s">
        <v>6034</v>
      </c>
    </row>
    <row r="357" spans="1:5">
      <c r="A357" s="4" t="s">
        <v>6064</v>
      </c>
      <c r="B357" s="4" t="s">
        <v>6084</v>
      </c>
      <c r="C357" s="4" t="s">
        <v>6072</v>
      </c>
      <c r="D357" s="4" t="s">
        <v>6033</v>
      </c>
      <c r="E357" s="4" t="s">
        <v>6034</v>
      </c>
    </row>
    <row r="358" spans="1:5">
      <c r="A358" s="4" t="s">
        <v>6064</v>
      </c>
      <c r="B358" s="4" t="s">
        <v>6084</v>
      </c>
      <c r="C358" s="4" t="s">
        <v>6073</v>
      </c>
      <c r="D358" s="4" t="s">
        <v>6033</v>
      </c>
      <c r="E358" s="4" t="s">
        <v>6034</v>
      </c>
    </row>
    <row r="359" spans="1:5">
      <c r="A359" s="4" t="s">
        <v>6064</v>
      </c>
      <c r="B359" s="4" t="s">
        <v>6084</v>
      </c>
      <c r="C359" s="4" t="s">
        <v>6074</v>
      </c>
      <c r="D359" s="4" t="s">
        <v>6033</v>
      </c>
      <c r="E359" s="4" t="s">
        <v>6034</v>
      </c>
    </row>
    <row r="360" spans="1:5">
      <c r="A360" s="4" t="s">
        <v>6064</v>
      </c>
      <c r="B360" s="4" t="s">
        <v>6084</v>
      </c>
      <c r="C360" s="4" t="s">
        <v>6075</v>
      </c>
      <c r="D360" s="4" t="s">
        <v>6033</v>
      </c>
      <c r="E360" s="4" t="s">
        <v>6034</v>
      </c>
    </row>
    <row r="361" spans="1:5">
      <c r="A361" s="4" t="s">
        <v>6064</v>
      </c>
      <c r="B361" s="4" t="s">
        <v>6084</v>
      </c>
      <c r="C361" s="4" t="s">
        <v>6076</v>
      </c>
      <c r="D361" s="4" t="s">
        <v>6033</v>
      </c>
      <c r="E361" s="4" t="s">
        <v>6034</v>
      </c>
    </row>
    <row r="362" spans="1:5">
      <c r="A362" s="4" t="s">
        <v>6064</v>
      </c>
      <c r="B362" s="4" t="s">
        <v>6084</v>
      </c>
      <c r="C362" s="4" t="s">
        <v>6077</v>
      </c>
      <c r="D362" s="4" t="s">
        <v>6033</v>
      </c>
      <c r="E362" s="4" t="s">
        <v>6034</v>
      </c>
    </row>
    <row r="363" spans="1:5">
      <c r="A363" s="4" t="s">
        <v>6064</v>
      </c>
      <c r="B363" s="4" t="s">
        <v>6084</v>
      </c>
      <c r="C363" s="4" t="s">
        <v>6078</v>
      </c>
      <c r="D363" s="4" t="s">
        <v>6033</v>
      </c>
      <c r="E363" s="4" t="s">
        <v>6034</v>
      </c>
    </row>
    <row r="364" spans="1:5">
      <c r="A364" s="4" t="s">
        <v>6064</v>
      </c>
      <c r="B364" s="4" t="s">
        <v>6084</v>
      </c>
      <c r="C364" s="4" t="s">
        <v>6079</v>
      </c>
      <c r="D364" s="4" t="s">
        <v>6033</v>
      </c>
      <c r="E364" s="4" t="s">
        <v>6034</v>
      </c>
    </row>
    <row r="365" spans="1:5">
      <c r="A365" s="4" t="s">
        <v>6064</v>
      </c>
      <c r="B365" s="4" t="s">
        <v>6084</v>
      </c>
      <c r="C365" s="4" t="s">
        <v>6080</v>
      </c>
      <c r="D365" s="4" t="s">
        <v>6033</v>
      </c>
      <c r="E365" s="4" t="s">
        <v>6034</v>
      </c>
    </row>
    <row r="366" spans="1:5">
      <c r="A366" s="4" t="s">
        <v>6064</v>
      </c>
      <c r="B366" s="4" t="s">
        <v>6084</v>
      </c>
      <c r="C366" s="4" t="s">
        <v>6081</v>
      </c>
      <c r="D366" s="4" t="s">
        <v>6033</v>
      </c>
      <c r="E366" s="4" t="s">
        <v>6034</v>
      </c>
    </row>
    <row r="367" spans="1:5">
      <c r="A367" s="4" t="s">
        <v>6064</v>
      </c>
      <c r="B367" s="4" t="s">
        <v>6084</v>
      </c>
      <c r="C367" s="4" t="s">
        <v>6082</v>
      </c>
      <c r="D367" s="4" t="s">
        <v>6033</v>
      </c>
      <c r="E367" s="4" t="s">
        <v>6034</v>
      </c>
    </row>
    <row r="368" spans="1:5">
      <c r="A368" s="4" t="s">
        <v>6064</v>
      </c>
      <c r="B368" s="4" t="s">
        <v>6084</v>
      </c>
      <c r="C368" s="4" t="s">
        <v>6083</v>
      </c>
      <c r="D368" s="4" t="s">
        <v>6033</v>
      </c>
      <c r="E368" s="4" t="s">
        <v>6034</v>
      </c>
    </row>
    <row r="369" spans="1:5">
      <c r="A369" s="4" t="s">
        <v>6064</v>
      </c>
      <c r="B369" s="4" t="s">
        <v>6085</v>
      </c>
      <c r="C369" s="4" t="s">
        <v>6066</v>
      </c>
      <c r="D369" s="4" t="s">
        <v>6033</v>
      </c>
      <c r="E369" s="4" t="s">
        <v>6034</v>
      </c>
    </row>
    <row r="370" spans="1:5">
      <c r="A370" s="4" t="s">
        <v>6064</v>
      </c>
      <c r="B370" s="4" t="s">
        <v>6085</v>
      </c>
      <c r="C370" s="4" t="s">
        <v>6065</v>
      </c>
      <c r="D370" s="4" t="s">
        <v>6033</v>
      </c>
      <c r="E370" s="4" t="s">
        <v>6034</v>
      </c>
    </row>
    <row r="371" spans="1:5">
      <c r="A371" s="4" t="s">
        <v>6064</v>
      </c>
      <c r="B371" s="4" t="s">
        <v>6085</v>
      </c>
      <c r="C371" s="4" t="s">
        <v>6067</v>
      </c>
      <c r="D371" s="4" t="s">
        <v>6033</v>
      </c>
      <c r="E371" s="4" t="s">
        <v>6034</v>
      </c>
    </row>
    <row r="372" spans="1:5">
      <c r="A372" s="4" t="s">
        <v>6064</v>
      </c>
      <c r="B372" s="4" t="s">
        <v>6085</v>
      </c>
      <c r="C372" s="4" t="s">
        <v>6068</v>
      </c>
      <c r="D372" s="4" t="s">
        <v>6033</v>
      </c>
      <c r="E372" s="4" t="s">
        <v>6034</v>
      </c>
    </row>
    <row r="373" spans="1:5">
      <c r="A373" s="4" t="s">
        <v>6064</v>
      </c>
      <c r="B373" s="4" t="s">
        <v>6085</v>
      </c>
      <c r="C373" s="4" t="s">
        <v>6069</v>
      </c>
      <c r="D373" s="4" t="s">
        <v>6033</v>
      </c>
      <c r="E373" s="4" t="s">
        <v>6034</v>
      </c>
    </row>
    <row r="374" spans="1:5">
      <c r="A374" s="4" t="s">
        <v>6064</v>
      </c>
      <c r="B374" s="4" t="s">
        <v>6085</v>
      </c>
      <c r="C374" s="4" t="s">
        <v>6070</v>
      </c>
      <c r="D374" s="4" t="s">
        <v>6033</v>
      </c>
      <c r="E374" s="4" t="s">
        <v>6034</v>
      </c>
    </row>
    <row r="375" spans="1:5">
      <c r="A375" s="4" t="s">
        <v>6064</v>
      </c>
      <c r="B375" s="4" t="s">
        <v>6085</v>
      </c>
      <c r="C375" s="4" t="s">
        <v>6071</v>
      </c>
      <c r="D375" s="4" t="s">
        <v>6033</v>
      </c>
      <c r="E375" s="4" t="s">
        <v>6034</v>
      </c>
    </row>
    <row r="376" spans="1:5">
      <c r="A376" s="4" t="s">
        <v>6064</v>
      </c>
      <c r="B376" s="4" t="s">
        <v>6085</v>
      </c>
      <c r="C376" s="4" t="s">
        <v>6072</v>
      </c>
      <c r="D376" s="4" t="s">
        <v>6033</v>
      </c>
      <c r="E376" s="4" t="s">
        <v>6034</v>
      </c>
    </row>
    <row r="377" spans="1:5">
      <c r="A377" s="4" t="s">
        <v>6064</v>
      </c>
      <c r="B377" s="4" t="s">
        <v>6085</v>
      </c>
      <c r="C377" s="4" t="s">
        <v>6073</v>
      </c>
      <c r="D377" s="4" t="s">
        <v>6033</v>
      </c>
      <c r="E377" s="4" t="s">
        <v>6034</v>
      </c>
    </row>
    <row r="378" spans="1:5">
      <c r="A378" s="4" t="s">
        <v>6064</v>
      </c>
      <c r="B378" s="4" t="s">
        <v>6085</v>
      </c>
      <c r="C378" s="4" t="s">
        <v>6074</v>
      </c>
      <c r="D378" s="4" t="s">
        <v>6033</v>
      </c>
      <c r="E378" s="4" t="s">
        <v>6034</v>
      </c>
    </row>
    <row r="379" spans="1:5">
      <c r="A379" s="4" t="s">
        <v>6064</v>
      </c>
      <c r="B379" s="4" t="s">
        <v>6085</v>
      </c>
      <c r="C379" s="4" t="s">
        <v>6075</v>
      </c>
      <c r="D379" s="4" t="s">
        <v>6033</v>
      </c>
      <c r="E379" s="4" t="s">
        <v>6034</v>
      </c>
    </row>
    <row r="380" spans="1:5">
      <c r="A380" s="4" t="s">
        <v>6064</v>
      </c>
      <c r="B380" s="4" t="s">
        <v>6085</v>
      </c>
      <c r="C380" s="4" t="s">
        <v>6076</v>
      </c>
      <c r="D380" s="4" t="s">
        <v>6033</v>
      </c>
      <c r="E380" s="4" t="s">
        <v>6034</v>
      </c>
    </row>
    <row r="381" spans="1:5">
      <c r="A381" s="4" t="s">
        <v>6064</v>
      </c>
      <c r="B381" s="4" t="s">
        <v>6085</v>
      </c>
      <c r="C381" s="4" t="s">
        <v>6077</v>
      </c>
      <c r="D381" s="4" t="s">
        <v>6033</v>
      </c>
      <c r="E381" s="4" t="s">
        <v>6034</v>
      </c>
    </row>
    <row r="382" spans="1:5">
      <c r="A382" s="4" t="s">
        <v>6064</v>
      </c>
      <c r="B382" s="4" t="s">
        <v>6085</v>
      </c>
      <c r="C382" s="4" t="s">
        <v>6078</v>
      </c>
      <c r="D382" s="4" t="s">
        <v>6033</v>
      </c>
      <c r="E382" s="4" t="s">
        <v>6034</v>
      </c>
    </row>
    <row r="383" spans="1:5">
      <c r="A383" s="4" t="s">
        <v>6064</v>
      </c>
      <c r="B383" s="4" t="s">
        <v>6085</v>
      </c>
      <c r="C383" s="4" t="s">
        <v>6079</v>
      </c>
      <c r="D383" s="4" t="s">
        <v>6033</v>
      </c>
      <c r="E383" s="4" t="s">
        <v>6034</v>
      </c>
    </row>
    <row r="384" spans="1:5">
      <c r="A384" s="4" t="s">
        <v>6064</v>
      </c>
      <c r="B384" s="4" t="s">
        <v>6085</v>
      </c>
      <c r="C384" s="4" t="s">
        <v>6080</v>
      </c>
      <c r="D384" s="4" t="s">
        <v>6033</v>
      </c>
      <c r="E384" s="4" t="s">
        <v>6034</v>
      </c>
    </row>
    <row r="385" spans="1:5">
      <c r="A385" s="4" t="s">
        <v>6064</v>
      </c>
      <c r="B385" s="4" t="s">
        <v>6085</v>
      </c>
      <c r="C385" s="4" t="s">
        <v>6081</v>
      </c>
      <c r="D385" s="4" t="s">
        <v>6033</v>
      </c>
      <c r="E385" s="4" t="s">
        <v>6034</v>
      </c>
    </row>
    <row r="386" spans="1:5">
      <c r="A386" s="4" t="s">
        <v>6064</v>
      </c>
      <c r="B386" s="4" t="s">
        <v>6085</v>
      </c>
      <c r="C386" s="4" t="s">
        <v>6082</v>
      </c>
      <c r="D386" s="4" t="s">
        <v>6033</v>
      </c>
      <c r="E386" s="4" t="s">
        <v>6034</v>
      </c>
    </row>
    <row r="387" spans="1:5">
      <c r="A387" s="4" t="s">
        <v>6064</v>
      </c>
      <c r="B387" s="4" t="s">
        <v>6085</v>
      </c>
      <c r="C387" s="4" t="s">
        <v>6083</v>
      </c>
      <c r="D387" s="4" t="s">
        <v>6033</v>
      </c>
      <c r="E387" s="4" t="s">
        <v>6034</v>
      </c>
    </row>
    <row r="388" spans="1:5">
      <c r="A388" s="4" t="s">
        <v>6064</v>
      </c>
      <c r="B388" s="4" t="s">
        <v>6085</v>
      </c>
      <c r="C388" s="4" t="s">
        <v>6084</v>
      </c>
      <c r="D388" s="4" t="s">
        <v>6033</v>
      </c>
      <c r="E388" s="4" t="s">
        <v>6034</v>
      </c>
    </row>
    <row r="389" spans="1:5">
      <c r="A389" s="4" t="s">
        <v>6064</v>
      </c>
      <c r="B389" s="4" t="s">
        <v>6086</v>
      </c>
      <c r="C389" s="4" t="s">
        <v>6066</v>
      </c>
      <c r="D389" s="4" t="s">
        <v>6033</v>
      </c>
      <c r="E389" s="4" t="s">
        <v>6034</v>
      </c>
    </row>
    <row r="390" spans="1:5">
      <c r="A390" s="4" t="s">
        <v>6064</v>
      </c>
      <c r="B390" s="4" t="s">
        <v>6086</v>
      </c>
      <c r="C390" s="4" t="s">
        <v>6065</v>
      </c>
      <c r="D390" s="4" t="s">
        <v>6033</v>
      </c>
      <c r="E390" s="4" t="s">
        <v>6034</v>
      </c>
    </row>
    <row r="391" spans="1:5">
      <c r="A391" s="4" t="s">
        <v>6064</v>
      </c>
      <c r="B391" s="4" t="s">
        <v>6086</v>
      </c>
      <c r="C391" s="4" t="s">
        <v>6067</v>
      </c>
      <c r="D391" s="4" t="s">
        <v>6033</v>
      </c>
      <c r="E391" s="4" t="s">
        <v>6034</v>
      </c>
    </row>
    <row r="392" spans="1:5">
      <c r="A392" s="4" t="s">
        <v>6064</v>
      </c>
      <c r="B392" s="4" t="s">
        <v>6086</v>
      </c>
      <c r="C392" s="4" t="s">
        <v>6068</v>
      </c>
      <c r="D392" s="4" t="s">
        <v>6033</v>
      </c>
      <c r="E392" s="4" t="s">
        <v>6034</v>
      </c>
    </row>
    <row r="393" spans="1:5">
      <c r="A393" s="4" t="s">
        <v>6064</v>
      </c>
      <c r="B393" s="4" t="s">
        <v>6086</v>
      </c>
      <c r="C393" s="4" t="s">
        <v>6069</v>
      </c>
      <c r="D393" s="4" t="s">
        <v>6033</v>
      </c>
      <c r="E393" s="4" t="s">
        <v>6034</v>
      </c>
    </row>
    <row r="394" spans="1:5">
      <c r="A394" s="4" t="s">
        <v>6064</v>
      </c>
      <c r="B394" s="4" t="s">
        <v>6086</v>
      </c>
      <c r="C394" s="4" t="s">
        <v>6070</v>
      </c>
      <c r="D394" s="4" t="s">
        <v>6033</v>
      </c>
      <c r="E394" s="4" t="s">
        <v>6034</v>
      </c>
    </row>
    <row r="395" spans="1:5">
      <c r="A395" s="4" t="s">
        <v>6064</v>
      </c>
      <c r="B395" s="4" t="s">
        <v>6086</v>
      </c>
      <c r="C395" s="4" t="s">
        <v>6071</v>
      </c>
      <c r="D395" s="4" t="s">
        <v>6033</v>
      </c>
      <c r="E395" s="4" t="s">
        <v>6034</v>
      </c>
    </row>
    <row r="396" spans="1:5">
      <c r="A396" s="4" t="s">
        <v>6064</v>
      </c>
      <c r="B396" s="4" t="s">
        <v>6086</v>
      </c>
      <c r="C396" s="4" t="s">
        <v>6072</v>
      </c>
      <c r="D396" s="4" t="s">
        <v>6033</v>
      </c>
      <c r="E396" s="4" t="s">
        <v>6034</v>
      </c>
    </row>
    <row r="397" spans="1:5">
      <c r="A397" s="4" t="s">
        <v>6064</v>
      </c>
      <c r="B397" s="4" t="s">
        <v>6086</v>
      </c>
      <c r="C397" s="4" t="s">
        <v>6073</v>
      </c>
      <c r="D397" s="4" t="s">
        <v>6033</v>
      </c>
      <c r="E397" s="4" t="s">
        <v>6034</v>
      </c>
    </row>
    <row r="398" spans="1:5">
      <c r="A398" s="4" t="s">
        <v>6064</v>
      </c>
      <c r="B398" s="4" t="s">
        <v>6086</v>
      </c>
      <c r="C398" s="4" t="s">
        <v>6074</v>
      </c>
      <c r="D398" s="4" t="s">
        <v>6033</v>
      </c>
      <c r="E398" s="4" t="s">
        <v>6034</v>
      </c>
    </row>
    <row r="399" spans="1:5">
      <c r="A399" s="4" t="s">
        <v>6064</v>
      </c>
      <c r="B399" s="4" t="s">
        <v>6086</v>
      </c>
      <c r="C399" s="4" t="s">
        <v>6075</v>
      </c>
      <c r="D399" s="4" t="s">
        <v>6033</v>
      </c>
      <c r="E399" s="4" t="s">
        <v>6034</v>
      </c>
    </row>
    <row r="400" spans="1:5">
      <c r="A400" s="4" t="s">
        <v>6064</v>
      </c>
      <c r="B400" s="4" t="s">
        <v>6086</v>
      </c>
      <c r="C400" s="4" t="s">
        <v>6076</v>
      </c>
      <c r="D400" s="4" t="s">
        <v>6033</v>
      </c>
      <c r="E400" s="4" t="s">
        <v>6034</v>
      </c>
    </row>
    <row r="401" spans="1:5">
      <c r="A401" s="4" t="s">
        <v>6064</v>
      </c>
      <c r="B401" s="4" t="s">
        <v>6086</v>
      </c>
      <c r="C401" s="4" t="s">
        <v>6077</v>
      </c>
      <c r="D401" s="4" t="s">
        <v>6033</v>
      </c>
      <c r="E401" s="4" t="s">
        <v>6034</v>
      </c>
    </row>
    <row r="402" spans="1:5">
      <c r="A402" s="4" t="s">
        <v>6064</v>
      </c>
      <c r="B402" s="4" t="s">
        <v>6086</v>
      </c>
      <c r="C402" s="4" t="s">
        <v>6078</v>
      </c>
      <c r="D402" s="4" t="s">
        <v>6033</v>
      </c>
      <c r="E402" s="4" t="s">
        <v>6034</v>
      </c>
    </row>
    <row r="403" spans="1:5">
      <c r="A403" s="4" t="s">
        <v>6064</v>
      </c>
      <c r="B403" s="4" t="s">
        <v>6086</v>
      </c>
      <c r="C403" s="4" t="s">
        <v>6079</v>
      </c>
      <c r="D403" s="4" t="s">
        <v>6033</v>
      </c>
      <c r="E403" s="4" t="s">
        <v>6034</v>
      </c>
    </row>
    <row r="404" spans="1:5">
      <c r="A404" s="4" t="s">
        <v>6064</v>
      </c>
      <c r="B404" s="4" t="s">
        <v>6086</v>
      </c>
      <c r="C404" s="4" t="s">
        <v>6080</v>
      </c>
      <c r="D404" s="4" t="s">
        <v>6033</v>
      </c>
      <c r="E404" s="4" t="s">
        <v>6034</v>
      </c>
    </row>
    <row r="405" spans="1:5">
      <c r="A405" s="4" t="s">
        <v>6064</v>
      </c>
      <c r="B405" s="4" t="s">
        <v>6086</v>
      </c>
      <c r="C405" s="4" t="s">
        <v>6081</v>
      </c>
      <c r="D405" s="4" t="s">
        <v>6033</v>
      </c>
      <c r="E405" s="4" t="s">
        <v>6034</v>
      </c>
    </row>
    <row r="406" spans="1:5">
      <c r="A406" s="4" t="s">
        <v>6064</v>
      </c>
      <c r="B406" s="4" t="s">
        <v>6086</v>
      </c>
      <c r="C406" s="4" t="s">
        <v>6082</v>
      </c>
      <c r="D406" s="4" t="s">
        <v>6033</v>
      </c>
      <c r="E406" s="4" t="s">
        <v>6034</v>
      </c>
    </row>
    <row r="407" spans="1:5">
      <c r="A407" s="4" t="s">
        <v>6064</v>
      </c>
      <c r="B407" s="4" t="s">
        <v>6086</v>
      </c>
      <c r="C407" s="4" t="s">
        <v>6083</v>
      </c>
      <c r="D407" s="4" t="s">
        <v>6033</v>
      </c>
      <c r="E407" s="4" t="s">
        <v>6034</v>
      </c>
    </row>
    <row r="408" spans="1:5">
      <c r="A408" s="4" t="s">
        <v>6064</v>
      </c>
      <c r="B408" s="4" t="s">
        <v>6086</v>
      </c>
      <c r="C408" s="4" t="s">
        <v>6084</v>
      </c>
      <c r="D408" s="4" t="s">
        <v>6033</v>
      </c>
      <c r="E408" s="4" t="s">
        <v>6034</v>
      </c>
    </row>
    <row r="409" spans="1:5">
      <c r="A409" s="4" t="s">
        <v>6064</v>
      </c>
      <c r="B409" s="4" t="s">
        <v>6086</v>
      </c>
      <c r="C409" s="4" t="s">
        <v>6085</v>
      </c>
      <c r="D409" s="4" t="s">
        <v>6033</v>
      </c>
      <c r="E409" s="4" t="s">
        <v>6034</v>
      </c>
    </row>
    <row r="410" spans="1:5">
      <c r="A410" s="4" t="s">
        <v>6064</v>
      </c>
      <c r="B410" s="4" t="s">
        <v>6087</v>
      </c>
      <c r="C410" s="4" t="s">
        <v>6066</v>
      </c>
      <c r="D410" s="4" t="s">
        <v>6033</v>
      </c>
      <c r="E410" s="4" t="s">
        <v>6034</v>
      </c>
    </row>
    <row r="411" spans="1:5">
      <c r="A411" s="4" t="s">
        <v>6064</v>
      </c>
      <c r="B411" s="4" t="s">
        <v>6087</v>
      </c>
      <c r="C411" s="4" t="s">
        <v>6065</v>
      </c>
      <c r="D411" s="4" t="s">
        <v>6033</v>
      </c>
      <c r="E411" s="4" t="s">
        <v>6034</v>
      </c>
    </row>
    <row r="412" spans="1:5">
      <c r="A412" s="4" t="s">
        <v>6064</v>
      </c>
      <c r="B412" s="4" t="s">
        <v>6087</v>
      </c>
      <c r="C412" s="4" t="s">
        <v>6067</v>
      </c>
      <c r="D412" s="4" t="s">
        <v>6033</v>
      </c>
      <c r="E412" s="4" t="s">
        <v>6034</v>
      </c>
    </row>
    <row r="413" spans="1:5">
      <c r="A413" s="4" t="s">
        <v>6064</v>
      </c>
      <c r="B413" s="4" t="s">
        <v>6087</v>
      </c>
      <c r="C413" s="4" t="s">
        <v>6068</v>
      </c>
      <c r="D413" s="4" t="s">
        <v>6033</v>
      </c>
      <c r="E413" s="4" t="s">
        <v>6034</v>
      </c>
    </row>
    <row r="414" spans="1:5">
      <c r="A414" s="4" t="s">
        <v>6064</v>
      </c>
      <c r="B414" s="4" t="s">
        <v>6087</v>
      </c>
      <c r="C414" s="4" t="s">
        <v>6069</v>
      </c>
      <c r="D414" s="4" t="s">
        <v>6033</v>
      </c>
      <c r="E414" s="4" t="s">
        <v>6034</v>
      </c>
    </row>
    <row r="415" spans="1:5">
      <c r="A415" s="4" t="s">
        <v>6064</v>
      </c>
      <c r="B415" s="4" t="s">
        <v>6087</v>
      </c>
      <c r="C415" s="4" t="s">
        <v>6070</v>
      </c>
      <c r="D415" s="4" t="s">
        <v>6033</v>
      </c>
      <c r="E415" s="4" t="s">
        <v>6034</v>
      </c>
    </row>
    <row r="416" spans="1:5">
      <c r="A416" s="4" t="s">
        <v>6064</v>
      </c>
      <c r="B416" s="4" t="s">
        <v>6087</v>
      </c>
      <c r="C416" s="4" t="s">
        <v>6071</v>
      </c>
      <c r="D416" s="4" t="s">
        <v>6033</v>
      </c>
      <c r="E416" s="4" t="s">
        <v>6034</v>
      </c>
    </row>
    <row r="417" spans="1:5">
      <c r="A417" s="4" t="s">
        <v>6064</v>
      </c>
      <c r="B417" s="4" t="s">
        <v>6087</v>
      </c>
      <c r="C417" s="4" t="s">
        <v>6072</v>
      </c>
      <c r="D417" s="4" t="s">
        <v>6033</v>
      </c>
      <c r="E417" s="4" t="s">
        <v>6034</v>
      </c>
    </row>
    <row r="418" spans="1:5">
      <c r="A418" s="4" t="s">
        <v>6064</v>
      </c>
      <c r="B418" s="4" t="s">
        <v>6087</v>
      </c>
      <c r="C418" s="4" t="s">
        <v>6073</v>
      </c>
      <c r="D418" s="4" t="s">
        <v>6033</v>
      </c>
      <c r="E418" s="4" t="s">
        <v>6034</v>
      </c>
    </row>
    <row r="419" spans="1:5">
      <c r="A419" s="4" t="s">
        <v>6064</v>
      </c>
      <c r="B419" s="4" t="s">
        <v>6087</v>
      </c>
      <c r="C419" s="4" t="s">
        <v>6074</v>
      </c>
      <c r="D419" s="4" t="s">
        <v>6033</v>
      </c>
      <c r="E419" s="4" t="s">
        <v>6034</v>
      </c>
    </row>
    <row r="420" spans="1:5">
      <c r="A420" s="4" t="s">
        <v>6064</v>
      </c>
      <c r="B420" s="4" t="s">
        <v>6087</v>
      </c>
      <c r="C420" s="4" t="s">
        <v>6075</v>
      </c>
      <c r="D420" s="4" t="s">
        <v>6033</v>
      </c>
      <c r="E420" s="4" t="s">
        <v>6034</v>
      </c>
    </row>
    <row r="421" spans="1:5">
      <c r="A421" s="4" t="s">
        <v>6064</v>
      </c>
      <c r="B421" s="4" t="s">
        <v>6087</v>
      </c>
      <c r="C421" s="4" t="s">
        <v>6076</v>
      </c>
      <c r="D421" s="4" t="s">
        <v>6033</v>
      </c>
      <c r="E421" s="4" t="s">
        <v>6034</v>
      </c>
    </row>
    <row r="422" spans="1:5">
      <c r="A422" s="4" t="s">
        <v>6064</v>
      </c>
      <c r="B422" s="4" t="s">
        <v>6087</v>
      </c>
      <c r="C422" s="4" t="s">
        <v>6077</v>
      </c>
      <c r="D422" s="4" t="s">
        <v>6033</v>
      </c>
      <c r="E422" s="4" t="s">
        <v>6034</v>
      </c>
    </row>
    <row r="423" spans="1:5">
      <c r="A423" s="4" t="s">
        <v>6064</v>
      </c>
      <c r="B423" s="4" t="s">
        <v>6087</v>
      </c>
      <c r="C423" s="4" t="s">
        <v>6078</v>
      </c>
      <c r="D423" s="4" t="s">
        <v>6033</v>
      </c>
      <c r="E423" s="4" t="s">
        <v>6034</v>
      </c>
    </row>
    <row r="424" spans="1:5">
      <c r="A424" s="4" t="s">
        <v>6064</v>
      </c>
      <c r="B424" s="4" t="s">
        <v>6087</v>
      </c>
      <c r="C424" s="4" t="s">
        <v>6079</v>
      </c>
      <c r="D424" s="4" t="s">
        <v>6033</v>
      </c>
      <c r="E424" s="4" t="s">
        <v>6034</v>
      </c>
    </row>
    <row r="425" spans="1:5">
      <c r="A425" s="4" t="s">
        <v>6064</v>
      </c>
      <c r="B425" s="4" t="s">
        <v>6087</v>
      </c>
      <c r="C425" s="4" t="s">
        <v>6080</v>
      </c>
      <c r="D425" s="4" t="s">
        <v>6033</v>
      </c>
      <c r="E425" s="4" t="s">
        <v>6034</v>
      </c>
    </row>
    <row r="426" spans="1:5">
      <c r="A426" s="4" t="s">
        <v>6064</v>
      </c>
      <c r="B426" s="4" t="s">
        <v>6087</v>
      </c>
      <c r="C426" s="4" t="s">
        <v>6081</v>
      </c>
      <c r="D426" s="4" t="s">
        <v>6033</v>
      </c>
      <c r="E426" s="4" t="s">
        <v>6034</v>
      </c>
    </row>
    <row r="427" spans="1:5">
      <c r="A427" s="4" t="s">
        <v>6064</v>
      </c>
      <c r="B427" s="4" t="s">
        <v>6087</v>
      </c>
      <c r="C427" s="4" t="s">
        <v>6082</v>
      </c>
      <c r="D427" s="4" t="s">
        <v>6033</v>
      </c>
      <c r="E427" s="4" t="s">
        <v>6034</v>
      </c>
    </row>
    <row r="428" spans="1:5">
      <c r="A428" s="4" t="s">
        <v>6064</v>
      </c>
      <c r="B428" s="4" t="s">
        <v>6087</v>
      </c>
      <c r="C428" s="4" t="s">
        <v>6083</v>
      </c>
      <c r="D428" s="4" t="s">
        <v>6033</v>
      </c>
      <c r="E428" s="4" t="s">
        <v>6034</v>
      </c>
    </row>
    <row r="429" spans="1:5">
      <c r="A429" s="4" t="s">
        <v>6064</v>
      </c>
      <c r="B429" s="4" t="s">
        <v>6087</v>
      </c>
      <c r="C429" s="4" t="s">
        <v>6084</v>
      </c>
      <c r="D429" s="4" t="s">
        <v>6033</v>
      </c>
      <c r="E429" s="4" t="s">
        <v>6034</v>
      </c>
    </row>
    <row r="430" spans="1:5">
      <c r="A430" s="4" t="s">
        <v>6064</v>
      </c>
      <c r="B430" s="4" t="s">
        <v>6087</v>
      </c>
      <c r="C430" s="4" t="s">
        <v>6085</v>
      </c>
      <c r="D430" s="4" t="s">
        <v>6033</v>
      </c>
      <c r="E430" s="4" t="s">
        <v>6034</v>
      </c>
    </row>
    <row r="431" spans="1:5">
      <c r="A431" s="4" t="s">
        <v>6064</v>
      </c>
      <c r="B431" s="4" t="s">
        <v>6087</v>
      </c>
      <c r="C431" s="4" t="s">
        <v>6086</v>
      </c>
      <c r="D431" s="4" t="s">
        <v>6033</v>
      </c>
      <c r="E431" s="4" t="s">
        <v>6034</v>
      </c>
    </row>
    <row r="432" spans="1:5">
      <c r="A432" s="4" t="s">
        <v>6064</v>
      </c>
      <c r="B432" s="4" t="s">
        <v>6088</v>
      </c>
      <c r="C432" s="4" t="s">
        <v>6066</v>
      </c>
      <c r="D432" s="4" t="s">
        <v>6033</v>
      </c>
      <c r="E432" s="4" t="s">
        <v>6034</v>
      </c>
    </row>
    <row r="433" spans="1:5">
      <c r="A433" s="4" t="s">
        <v>6064</v>
      </c>
      <c r="B433" s="4" t="s">
        <v>6088</v>
      </c>
      <c r="C433" s="4" t="s">
        <v>6065</v>
      </c>
      <c r="D433" s="4" t="s">
        <v>6033</v>
      </c>
      <c r="E433" s="4" t="s">
        <v>6034</v>
      </c>
    </row>
    <row r="434" spans="1:5">
      <c r="A434" s="4" t="s">
        <v>6064</v>
      </c>
      <c r="B434" s="4" t="s">
        <v>6088</v>
      </c>
      <c r="C434" s="4" t="s">
        <v>6067</v>
      </c>
      <c r="D434" s="4" t="s">
        <v>6033</v>
      </c>
      <c r="E434" s="4" t="s">
        <v>6034</v>
      </c>
    </row>
    <row r="435" spans="1:5">
      <c r="A435" s="4" t="s">
        <v>6064</v>
      </c>
      <c r="B435" s="4" t="s">
        <v>6088</v>
      </c>
      <c r="C435" s="4" t="s">
        <v>6068</v>
      </c>
      <c r="D435" s="4" t="s">
        <v>6033</v>
      </c>
      <c r="E435" s="4" t="s">
        <v>6034</v>
      </c>
    </row>
    <row r="436" spans="1:5">
      <c r="A436" s="4" t="s">
        <v>6064</v>
      </c>
      <c r="B436" s="4" t="s">
        <v>6088</v>
      </c>
      <c r="C436" s="4" t="s">
        <v>6069</v>
      </c>
      <c r="D436" s="4" t="s">
        <v>6033</v>
      </c>
      <c r="E436" s="4" t="s">
        <v>6034</v>
      </c>
    </row>
    <row r="437" spans="1:5">
      <c r="A437" s="4" t="s">
        <v>6064</v>
      </c>
      <c r="B437" s="4" t="s">
        <v>6088</v>
      </c>
      <c r="C437" s="4" t="s">
        <v>6070</v>
      </c>
      <c r="D437" s="4" t="s">
        <v>6033</v>
      </c>
      <c r="E437" s="4" t="s">
        <v>6034</v>
      </c>
    </row>
    <row r="438" spans="1:5">
      <c r="A438" s="4" t="s">
        <v>6064</v>
      </c>
      <c r="B438" s="4" t="s">
        <v>6088</v>
      </c>
      <c r="C438" s="4" t="s">
        <v>6071</v>
      </c>
      <c r="D438" s="4" t="s">
        <v>6033</v>
      </c>
      <c r="E438" s="4" t="s">
        <v>6034</v>
      </c>
    </row>
    <row r="439" spans="1:5">
      <c r="A439" s="4" t="s">
        <v>6064</v>
      </c>
      <c r="B439" s="4" t="s">
        <v>6088</v>
      </c>
      <c r="C439" s="4" t="s">
        <v>6072</v>
      </c>
      <c r="D439" s="4" t="s">
        <v>6033</v>
      </c>
      <c r="E439" s="4" t="s">
        <v>6034</v>
      </c>
    </row>
    <row r="440" spans="1:5">
      <c r="A440" s="4" t="s">
        <v>6064</v>
      </c>
      <c r="B440" s="4" t="s">
        <v>6088</v>
      </c>
      <c r="C440" s="4" t="s">
        <v>6073</v>
      </c>
      <c r="D440" s="4" t="s">
        <v>6033</v>
      </c>
      <c r="E440" s="4" t="s">
        <v>6034</v>
      </c>
    </row>
    <row r="441" spans="1:5">
      <c r="A441" s="4" t="s">
        <v>6064</v>
      </c>
      <c r="B441" s="4" t="s">
        <v>6088</v>
      </c>
      <c r="C441" s="4" t="s">
        <v>6074</v>
      </c>
      <c r="D441" s="4" t="s">
        <v>6033</v>
      </c>
      <c r="E441" s="4" t="s">
        <v>6034</v>
      </c>
    </row>
    <row r="442" spans="1:5">
      <c r="A442" s="4" t="s">
        <v>6064</v>
      </c>
      <c r="B442" s="4" t="s">
        <v>6088</v>
      </c>
      <c r="C442" s="4" t="s">
        <v>6075</v>
      </c>
      <c r="D442" s="4" t="s">
        <v>6033</v>
      </c>
      <c r="E442" s="4" t="s">
        <v>6034</v>
      </c>
    </row>
    <row r="443" spans="1:5">
      <c r="A443" s="4" t="s">
        <v>6064</v>
      </c>
      <c r="B443" s="4" t="s">
        <v>6088</v>
      </c>
      <c r="C443" s="4" t="s">
        <v>6076</v>
      </c>
      <c r="D443" s="4" t="s">
        <v>6033</v>
      </c>
      <c r="E443" s="4" t="s">
        <v>6034</v>
      </c>
    </row>
    <row r="444" spans="1:5">
      <c r="A444" s="4" t="s">
        <v>6064</v>
      </c>
      <c r="B444" s="4" t="s">
        <v>6088</v>
      </c>
      <c r="C444" s="4" t="s">
        <v>6077</v>
      </c>
      <c r="D444" s="4" t="s">
        <v>6033</v>
      </c>
      <c r="E444" s="4" t="s">
        <v>6034</v>
      </c>
    </row>
    <row r="445" spans="1:5">
      <c r="A445" s="4" t="s">
        <v>6064</v>
      </c>
      <c r="B445" s="4" t="s">
        <v>6088</v>
      </c>
      <c r="C445" s="4" t="s">
        <v>6078</v>
      </c>
      <c r="D445" s="4" t="s">
        <v>6033</v>
      </c>
      <c r="E445" s="4" t="s">
        <v>6034</v>
      </c>
    </row>
    <row r="446" spans="1:5">
      <c r="A446" s="4" t="s">
        <v>6064</v>
      </c>
      <c r="B446" s="4" t="s">
        <v>6088</v>
      </c>
      <c r="C446" s="4" t="s">
        <v>6079</v>
      </c>
      <c r="D446" s="4" t="s">
        <v>6033</v>
      </c>
      <c r="E446" s="4" t="s">
        <v>6034</v>
      </c>
    </row>
    <row r="447" spans="1:5">
      <c r="A447" s="4" t="s">
        <v>6064</v>
      </c>
      <c r="B447" s="4" t="s">
        <v>6088</v>
      </c>
      <c r="C447" s="4" t="s">
        <v>6080</v>
      </c>
      <c r="D447" s="4" t="s">
        <v>6033</v>
      </c>
      <c r="E447" s="4" t="s">
        <v>6034</v>
      </c>
    </row>
    <row r="448" spans="1:5">
      <c r="A448" s="4" t="s">
        <v>6064</v>
      </c>
      <c r="B448" s="4" t="s">
        <v>6088</v>
      </c>
      <c r="C448" s="4" t="s">
        <v>6081</v>
      </c>
      <c r="D448" s="4" t="s">
        <v>6033</v>
      </c>
      <c r="E448" s="4" t="s">
        <v>6034</v>
      </c>
    </row>
    <row r="449" spans="1:5">
      <c r="A449" s="4" t="s">
        <v>6064</v>
      </c>
      <c r="B449" s="4" t="s">
        <v>6088</v>
      </c>
      <c r="C449" s="4" t="s">
        <v>6082</v>
      </c>
      <c r="D449" s="4" t="s">
        <v>6033</v>
      </c>
      <c r="E449" s="4" t="s">
        <v>6034</v>
      </c>
    </row>
    <row r="450" spans="1:5">
      <c r="A450" s="4" t="s">
        <v>6064</v>
      </c>
      <c r="B450" s="4" t="s">
        <v>6088</v>
      </c>
      <c r="C450" s="4" t="s">
        <v>6083</v>
      </c>
      <c r="D450" s="4" t="s">
        <v>6033</v>
      </c>
      <c r="E450" s="4" t="s">
        <v>6034</v>
      </c>
    </row>
    <row r="451" spans="1:5">
      <c r="A451" s="4" t="s">
        <v>6064</v>
      </c>
      <c r="B451" s="4" t="s">
        <v>6088</v>
      </c>
      <c r="C451" s="4" t="s">
        <v>6084</v>
      </c>
      <c r="D451" s="4" t="s">
        <v>6033</v>
      </c>
      <c r="E451" s="4" t="s">
        <v>6034</v>
      </c>
    </row>
    <row r="452" spans="1:5">
      <c r="A452" s="4" t="s">
        <v>6064</v>
      </c>
      <c r="B452" s="4" t="s">
        <v>6088</v>
      </c>
      <c r="C452" s="4" t="s">
        <v>6085</v>
      </c>
      <c r="D452" s="4" t="s">
        <v>6033</v>
      </c>
      <c r="E452" s="4" t="s">
        <v>6034</v>
      </c>
    </row>
    <row r="453" spans="1:5">
      <c r="A453" s="4" t="s">
        <v>6064</v>
      </c>
      <c r="B453" s="4" t="s">
        <v>6088</v>
      </c>
      <c r="C453" s="4" t="s">
        <v>6086</v>
      </c>
      <c r="D453" s="4" t="s">
        <v>6033</v>
      </c>
      <c r="E453" s="4" t="s">
        <v>6034</v>
      </c>
    </row>
    <row r="454" spans="1:5">
      <c r="A454" s="4" t="s">
        <v>6064</v>
      </c>
      <c r="B454" s="4" t="s">
        <v>6088</v>
      </c>
      <c r="C454" s="4" t="s">
        <v>6087</v>
      </c>
      <c r="D454" s="4" t="s">
        <v>6033</v>
      </c>
      <c r="E454" s="4" t="s">
        <v>6034</v>
      </c>
    </row>
    <row r="455" spans="1:5">
      <c r="A455" s="4" t="s">
        <v>6064</v>
      </c>
      <c r="B455" s="4" t="s">
        <v>6089</v>
      </c>
      <c r="C455" s="4" t="s">
        <v>6066</v>
      </c>
      <c r="D455" s="4" t="s">
        <v>6033</v>
      </c>
      <c r="E455" s="4" t="s">
        <v>6034</v>
      </c>
    </row>
    <row r="456" spans="1:5">
      <c r="A456" s="4" t="s">
        <v>6064</v>
      </c>
      <c r="B456" s="4" t="s">
        <v>6089</v>
      </c>
      <c r="C456" s="4" t="s">
        <v>6065</v>
      </c>
      <c r="D456" s="4" t="s">
        <v>6033</v>
      </c>
      <c r="E456" s="4" t="s">
        <v>6034</v>
      </c>
    </row>
    <row r="457" spans="1:5">
      <c r="A457" s="4" t="s">
        <v>6064</v>
      </c>
      <c r="B457" s="4" t="s">
        <v>6089</v>
      </c>
      <c r="C457" s="4" t="s">
        <v>6067</v>
      </c>
      <c r="D457" s="4" t="s">
        <v>6033</v>
      </c>
      <c r="E457" s="4" t="s">
        <v>6034</v>
      </c>
    </row>
    <row r="458" spans="1:5">
      <c r="A458" s="4" t="s">
        <v>6064</v>
      </c>
      <c r="B458" s="4" t="s">
        <v>6089</v>
      </c>
      <c r="C458" s="4" t="s">
        <v>6068</v>
      </c>
      <c r="D458" s="4" t="s">
        <v>6033</v>
      </c>
      <c r="E458" s="4" t="s">
        <v>6034</v>
      </c>
    </row>
    <row r="459" spans="1:5">
      <c r="A459" s="4" t="s">
        <v>6064</v>
      </c>
      <c r="B459" s="4" t="s">
        <v>6089</v>
      </c>
      <c r="C459" s="4" t="s">
        <v>6069</v>
      </c>
      <c r="D459" s="4" t="s">
        <v>6033</v>
      </c>
      <c r="E459" s="4" t="s">
        <v>6034</v>
      </c>
    </row>
    <row r="460" spans="1:5">
      <c r="A460" s="4" t="s">
        <v>6064</v>
      </c>
      <c r="B460" s="4" t="s">
        <v>6089</v>
      </c>
      <c r="C460" s="4" t="s">
        <v>6070</v>
      </c>
      <c r="D460" s="4" t="s">
        <v>6033</v>
      </c>
      <c r="E460" s="4" t="s">
        <v>6034</v>
      </c>
    </row>
    <row r="461" spans="1:5">
      <c r="A461" s="4" t="s">
        <v>6064</v>
      </c>
      <c r="B461" s="4" t="s">
        <v>6089</v>
      </c>
      <c r="C461" s="4" t="s">
        <v>6071</v>
      </c>
      <c r="D461" s="4" t="s">
        <v>6033</v>
      </c>
      <c r="E461" s="4" t="s">
        <v>6034</v>
      </c>
    </row>
    <row r="462" spans="1:5">
      <c r="A462" s="4" t="s">
        <v>6064</v>
      </c>
      <c r="B462" s="4" t="s">
        <v>6089</v>
      </c>
      <c r="C462" s="4" t="s">
        <v>6072</v>
      </c>
      <c r="D462" s="4" t="s">
        <v>6033</v>
      </c>
      <c r="E462" s="4" t="s">
        <v>6034</v>
      </c>
    </row>
    <row r="463" spans="1:5">
      <c r="A463" s="4" t="s">
        <v>6064</v>
      </c>
      <c r="B463" s="4" t="s">
        <v>6089</v>
      </c>
      <c r="C463" s="4" t="s">
        <v>6073</v>
      </c>
      <c r="D463" s="4" t="s">
        <v>6033</v>
      </c>
      <c r="E463" s="4" t="s">
        <v>6034</v>
      </c>
    </row>
    <row r="464" spans="1:5">
      <c r="A464" s="4" t="s">
        <v>6064</v>
      </c>
      <c r="B464" s="4" t="s">
        <v>6089</v>
      </c>
      <c r="C464" s="4" t="s">
        <v>6074</v>
      </c>
      <c r="D464" s="4" t="s">
        <v>6033</v>
      </c>
      <c r="E464" s="4" t="s">
        <v>6034</v>
      </c>
    </row>
    <row r="465" spans="1:5">
      <c r="A465" s="4" t="s">
        <v>6064</v>
      </c>
      <c r="B465" s="4" t="s">
        <v>6089</v>
      </c>
      <c r="C465" s="4" t="s">
        <v>6075</v>
      </c>
      <c r="D465" s="4" t="s">
        <v>6033</v>
      </c>
      <c r="E465" s="4" t="s">
        <v>6034</v>
      </c>
    </row>
    <row r="466" spans="1:5">
      <c r="A466" s="4" t="s">
        <v>6064</v>
      </c>
      <c r="B466" s="4" t="s">
        <v>6089</v>
      </c>
      <c r="C466" s="4" t="s">
        <v>6076</v>
      </c>
      <c r="D466" s="4" t="s">
        <v>6033</v>
      </c>
      <c r="E466" s="4" t="s">
        <v>6034</v>
      </c>
    </row>
    <row r="467" spans="1:5">
      <c r="A467" s="4" t="s">
        <v>6064</v>
      </c>
      <c r="B467" s="4" t="s">
        <v>6089</v>
      </c>
      <c r="C467" s="4" t="s">
        <v>6077</v>
      </c>
      <c r="D467" s="4" t="s">
        <v>6033</v>
      </c>
      <c r="E467" s="4" t="s">
        <v>6034</v>
      </c>
    </row>
    <row r="468" spans="1:5">
      <c r="A468" s="4" t="s">
        <v>6064</v>
      </c>
      <c r="B468" s="4" t="s">
        <v>6089</v>
      </c>
      <c r="C468" s="4" t="s">
        <v>6078</v>
      </c>
      <c r="D468" s="4" t="s">
        <v>6033</v>
      </c>
      <c r="E468" s="4" t="s">
        <v>6034</v>
      </c>
    </row>
    <row r="469" spans="1:5">
      <c r="A469" s="4" t="s">
        <v>6064</v>
      </c>
      <c r="B469" s="4" t="s">
        <v>6089</v>
      </c>
      <c r="C469" s="4" t="s">
        <v>6079</v>
      </c>
      <c r="D469" s="4" t="s">
        <v>6033</v>
      </c>
      <c r="E469" s="4" t="s">
        <v>6034</v>
      </c>
    </row>
    <row r="470" spans="1:5">
      <c r="A470" s="4" t="s">
        <v>6064</v>
      </c>
      <c r="B470" s="4" t="s">
        <v>6089</v>
      </c>
      <c r="C470" s="4" t="s">
        <v>6080</v>
      </c>
      <c r="D470" s="4" t="s">
        <v>6033</v>
      </c>
      <c r="E470" s="4" t="s">
        <v>6034</v>
      </c>
    </row>
    <row r="471" spans="1:5">
      <c r="A471" s="4" t="s">
        <v>6064</v>
      </c>
      <c r="B471" s="4" t="s">
        <v>6089</v>
      </c>
      <c r="C471" s="4" t="s">
        <v>6081</v>
      </c>
      <c r="D471" s="4" t="s">
        <v>6033</v>
      </c>
      <c r="E471" s="4" t="s">
        <v>6034</v>
      </c>
    </row>
    <row r="472" spans="1:5">
      <c r="A472" s="4" t="s">
        <v>6064</v>
      </c>
      <c r="B472" s="4" t="s">
        <v>6089</v>
      </c>
      <c r="C472" s="4" t="s">
        <v>6082</v>
      </c>
      <c r="D472" s="4" t="s">
        <v>6033</v>
      </c>
      <c r="E472" s="4" t="s">
        <v>6034</v>
      </c>
    </row>
    <row r="473" spans="1:5">
      <c r="A473" s="4" t="s">
        <v>6064</v>
      </c>
      <c r="B473" s="4" t="s">
        <v>6089</v>
      </c>
      <c r="C473" s="4" t="s">
        <v>6083</v>
      </c>
      <c r="D473" s="4" t="s">
        <v>6033</v>
      </c>
      <c r="E473" s="4" t="s">
        <v>6034</v>
      </c>
    </row>
    <row r="474" spans="1:5">
      <c r="A474" s="4" t="s">
        <v>6064</v>
      </c>
      <c r="B474" s="4" t="s">
        <v>6089</v>
      </c>
      <c r="C474" s="4" t="s">
        <v>6084</v>
      </c>
      <c r="D474" s="4" t="s">
        <v>6033</v>
      </c>
      <c r="E474" s="4" t="s">
        <v>6034</v>
      </c>
    </row>
    <row r="475" spans="1:5">
      <c r="A475" s="4" t="s">
        <v>6064</v>
      </c>
      <c r="B475" s="4" t="s">
        <v>6089</v>
      </c>
      <c r="C475" s="4" t="s">
        <v>6085</v>
      </c>
      <c r="D475" s="4" t="s">
        <v>6033</v>
      </c>
      <c r="E475" s="4" t="s">
        <v>6034</v>
      </c>
    </row>
    <row r="476" spans="1:5">
      <c r="A476" s="4" t="s">
        <v>6064</v>
      </c>
      <c r="B476" s="4" t="s">
        <v>6089</v>
      </c>
      <c r="C476" s="4" t="s">
        <v>6086</v>
      </c>
      <c r="D476" s="4" t="s">
        <v>6033</v>
      </c>
      <c r="E476" s="4" t="s">
        <v>6034</v>
      </c>
    </row>
    <row r="477" spans="1:5">
      <c r="A477" s="4" t="s">
        <v>6064</v>
      </c>
      <c r="B477" s="4" t="s">
        <v>6089</v>
      </c>
      <c r="C477" s="4" t="s">
        <v>6087</v>
      </c>
      <c r="D477" s="4" t="s">
        <v>6033</v>
      </c>
      <c r="E477" s="4" t="s">
        <v>6034</v>
      </c>
    </row>
    <row r="478" spans="1:5">
      <c r="A478" s="4" t="s">
        <v>6064</v>
      </c>
      <c r="B478" s="4" t="s">
        <v>6089</v>
      </c>
      <c r="C478" s="4" t="s">
        <v>6088</v>
      </c>
      <c r="D478" s="4" t="s">
        <v>6033</v>
      </c>
      <c r="E478" s="4" t="s">
        <v>6034</v>
      </c>
    </row>
    <row r="479" spans="1:5">
      <c r="A479" s="4" t="s">
        <v>6064</v>
      </c>
      <c r="B479" s="4" t="s">
        <v>6090</v>
      </c>
      <c r="C479" s="4" t="s">
        <v>6066</v>
      </c>
      <c r="D479" s="4" t="s">
        <v>6033</v>
      </c>
      <c r="E479" s="4" t="s">
        <v>6034</v>
      </c>
    </row>
    <row r="480" spans="1:5">
      <c r="A480" s="4" t="s">
        <v>6064</v>
      </c>
      <c r="B480" s="4" t="s">
        <v>6090</v>
      </c>
      <c r="C480" s="4" t="s">
        <v>6065</v>
      </c>
      <c r="D480" s="4" t="s">
        <v>6033</v>
      </c>
      <c r="E480" s="4" t="s">
        <v>6034</v>
      </c>
    </row>
    <row r="481" spans="1:5">
      <c r="A481" s="4" t="s">
        <v>6064</v>
      </c>
      <c r="B481" s="4" t="s">
        <v>6090</v>
      </c>
      <c r="C481" s="4" t="s">
        <v>6067</v>
      </c>
      <c r="D481" s="4" t="s">
        <v>6033</v>
      </c>
      <c r="E481" s="4" t="s">
        <v>6034</v>
      </c>
    </row>
    <row r="482" spans="1:5">
      <c r="A482" s="4" t="s">
        <v>6064</v>
      </c>
      <c r="B482" s="4" t="s">
        <v>6090</v>
      </c>
      <c r="C482" s="4" t="s">
        <v>6068</v>
      </c>
      <c r="D482" s="4" t="s">
        <v>6033</v>
      </c>
      <c r="E482" s="4" t="s">
        <v>6034</v>
      </c>
    </row>
    <row r="483" spans="1:5">
      <c r="A483" s="4" t="s">
        <v>6064</v>
      </c>
      <c r="B483" s="4" t="s">
        <v>6090</v>
      </c>
      <c r="C483" s="4" t="s">
        <v>6069</v>
      </c>
      <c r="D483" s="4" t="s">
        <v>6033</v>
      </c>
      <c r="E483" s="4" t="s">
        <v>6034</v>
      </c>
    </row>
    <row r="484" spans="1:5">
      <c r="A484" s="4" t="s">
        <v>6064</v>
      </c>
      <c r="B484" s="4" t="s">
        <v>6090</v>
      </c>
      <c r="C484" s="4" t="s">
        <v>6070</v>
      </c>
      <c r="D484" s="4" t="s">
        <v>6033</v>
      </c>
      <c r="E484" s="4" t="s">
        <v>6034</v>
      </c>
    </row>
    <row r="485" spans="1:5">
      <c r="A485" s="4" t="s">
        <v>6064</v>
      </c>
      <c r="B485" s="4" t="s">
        <v>6090</v>
      </c>
      <c r="C485" s="4" t="s">
        <v>6071</v>
      </c>
      <c r="D485" s="4" t="s">
        <v>6033</v>
      </c>
      <c r="E485" s="4" t="s">
        <v>6034</v>
      </c>
    </row>
    <row r="486" spans="1:5">
      <c r="A486" s="4" t="s">
        <v>6064</v>
      </c>
      <c r="B486" s="4" t="s">
        <v>6090</v>
      </c>
      <c r="C486" s="4" t="s">
        <v>6072</v>
      </c>
      <c r="D486" s="4" t="s">
        <v>6033</v>
      </c>
      <c r="E486" s="4" t="s">
        <v>6034</v>
      </c>
    </row>
    <row r="487" spans="1:5">
      <c r="A487" s="4" t="s">
        <v>6064</v>
      </c>
      <c r="B487" s="4" t="s">
        <v>6090</v>
      </c>
      <c r="C487" s="4" t="s">
        <v>6073</v>
      </c>
      <c r="D487" s="4" t="s">
        <v>6033</v>
      </c>
      <c r="E487" s="4" t="s">
        <v>6034</v>
      </c>
    </row>
    <row r="488" spans="1:5">
      <c r="A488" s="4" t="s">
        <v>6064</v>
      </c>
      <c r="B488" s="4" t="s">
        <v>6090</v>
      </c>
      <c r="C488" s="4" t="s">
        <v>6074</v>
      </c>
      <c r="D488" s="4" t="s">
        <v>6033</v>
      </c>
      <c r="E488" s="4" t="s">
        <v>6034</v>
      </c>
    </row>
    <row r="489" spans="1:5">
      <c r="A489" s="4" t="s">
        <v>6064</v>
      </c>
      <c r="B489" s="4" t="s">
        <v>6090</v>
      </c>
      <c r="C489" s="4" t="s">
        <v>6075</v>
      </c>
      <c r="D489" s="4" t="s">
        <v>6033</v>
      </c>
      <c r="E489" s="4" t="s">
        <v>6034</v>
      </c>
    </row>
    <row r="490" spans="1:5">
      <c r="A490" s="4" t="s">
        <v>6064</v>
      </c>
      <c r="B490" s="4" t="s">
        <v>6090</v>
      </c>
      <c r="C490" s="4" t="s">
        <v>6076</v>
      </c>
      <c r="D490" s="4" t="s">
        <v>6033</v>
      </c>
      <c r="E490" s="4" t="s">
        <v>6034</v>
      </c>
    </row>
    <row r="491" spans="1:5">
      <c r="A491" s="4" t="s">
        <v>6064</v>
      </c>
      <c r="B491" s="4" t="s">
        <v>6090</v>
      </c>
      <c r="C491" s="4" t="s">
        <v>6077</v>
      </c>
      <c r="D491" s="4" t="s">
        <v>6033</v>
      </c>
      <c r="E491" s="4" t="s">
        <v>6034</v>
      </c>
    </row>
    <row r="492" spans="1:5">
      <c r="A492" s="4" t="s">
        <v>6064</v>
      </c>
      <c r="B492" s="4" t="s">
        <v>6090</v>
      </c>
      <c r="C492" s="4" t="s">
        <v>6078</v>
      </c>
      <c r="D492" s="4" t="s">
        <v>6033</v>
      </c>
      <c r="E492" s="4" t="s">
        <v>6034</v>
      </c>
    </row>
    <row r="493" spans="1:5">
      <c r="A493" s="4" t="s">
        <v>6064</v>
      </c>
      <c r="B493" s="4" t="s">
        <v>6090</v>
      </c>
      <c r="C493" s="4" t="s">
        <v>6079</v>
      </c>
      <c r="D493" s="4" t="s">
        <v>6033</v>
      </c>
      <c r="E493" s="4" t="s">
        <v>6034</v>
      </c>
    </row>
    <row r="494" spans="1:5">
      <c r="A494" s="4" t="s">
        <v>6064</v>
      </c>
      <c r="B494" s="4" t="s">
        <v>6090</v>
      </c>
      <c r="C494" s="4" t="s">
        <v>6080</v>
      </c>
      <c r="D494" s="4" t="s">
        <v>6033</v>
      </c>
      <c r="E494" s="4" t="s">
        <v>6034</v>
      </c>
    </row>
    <row r="495" spans="1:5">
      <c r="A495" s="4" t="s">
        <v>6064</v>
      </c>
      <c r="B495" s="4" t="s">
        <v>6090</v>
      </c>
      <c r="C495" s="4" t="s">
        <v>6081</v>
      </c>
      <c r="D495" s="4" t="s">
        <v>6033</v>
      </c>
      <c r="E495" s="4" t="s">
        <v>6034</v>
      </c>
    </row>
    <row r="496" spans="1:5">
      <c r="A496" s="4" t="s">
        <v>6064</v>
      </c>
      <c r="B496" s="4" t="s">
        <v>6090</v>
      </c>
      <c r="C496" s="4" t="s">
        <v>6082</v>
      </c>
      <c r="D496" s="4" t="s">
        <v>6033</v>
      </c>
      <c r="E496" s="4" t="s">
        <v>6034</v>
      </c>
    </row>
    <row r="497" spans="1:5">
      <c r="A497" s="4" t="s">
        <v>6064</v>
      </c>
      <c r="B497" s="4" t="s">
        <v>6090</v>
      </c>
      <c r="C497" s="4" t="s">
        <v>6083</v>
      </c>
      <c r="D497" s="4" t="s">
        <v>6033</v>
      </c>
      <c r="E497" s="4" t="s">
        <v>6034</v>
      </c>
    </row>
    <row r="498" spans="1:5">
      <c r="A498" s="4" t="s">
        <v>6064</v>
      </c>
      <c r="B498" s="4" t="s">
        <v>6090</v>
      </c>
      <c r="C498" s="4" t="s">
        <v>6084</v>
      </c>
      <c r="D498" s="4" t="s">
        <v>6033</v>
      </c>
      <c r="E498" s="4" t="s">
        <v>6034</v>
      </c>
    </row>
    <row r="499" spans="1:5">
      <c r="A499" s="4" t="s">
        <v>6064</v>
      </c>
      <c r="B499" s="4" t="s">
        <v>6090</v>
      </c>
      <c r="C499" s="4" t="s">
        <v>6087</v>
      </c>
      <c r="D499" s="4" t="s">
        <v>6039</v>
      </c>
      <c r="E499" s="4" t="s">
        <v>6040</v>
      </c>
    </row>
    <row r="500" spans="1:5">
      <c r="A500" s="4" t="s">
        <v>6064</v>
      </c>
      <c r="B500" s="4" t="s">
        <v>6090</v>
      </c>
      <c r="C500" s="4" t="s">
        <v>6088</v>
      </c>
      <c r="D500" s="4" t="s">
        <v>6033</v>
      </c>
      <c r="E500" s="4" t="s">
        <v>6034</v>
      </c>
    </row>
    <row r="501" spans="1:5">
      <c r="A501" s="4" t="s">
        <v>6064</v>
      </c>
      <c r="B501" s="4" t="s">
        <v>6090</v>
      </c>
      <c r="C501" s="4" t="s">
        <v>6089</v>
      </c>
      <c r="D501" s="4" t="s">
        <v>6033</v>
      </c>
      <c r="E501" s="4" t="s">
        <v>6034</v>
      </c>
    </row>
    <row r="502" spans="1:5">
      <c r="A502" s="4" t="s">
        <v>6064</v>
      </c>
      <c r="B502" s="4" t="s">
        <v>6091</v>
      </c>
      <c r="C502" s="4" t="s">
        <v>6066</v>
      </c>
      <c r="D502" s="4" t="s">
        <v>6033</v>
      </c>
      <c r="E502" s="4" t="s">
        <v>6034</v>
      </c>
    </row>
    <row r="503" spans="1:5">
      <c r="A503" s="4" t="s">
        <v>6064</v>
      </c>
      <c r="B503" s="4" t="s">
        <v>6091</v>
      </c>
      <c r="C503" s="4" t="s">
        <v>6065</v>
      </c>
      <c r="D503" s="4" t="s">
        <v>6033</v>
      </c>
      <c r="E503" s="4" t="s">
        <v>6034</v>
      </c>
    </row>
    <row r="504" spans="1:5">
      <c r="A504" s="4" t="s">
        <v>6064</v>
      </c>
      <c r="B504" s="4" t="s">
        <v>6091</v>
      </c>
      <c r="C504" s="4" t="s">
        <v>6067</v>
      </c>
      <c r="D504" s="4" t="s">
        <v>6033</v>
      </c>
      <c r="E504" s="4" t="s">
        <v>6034</v>
      </c>
    </row>
    <row r="505" spans="1:5">
      <c r="A505" s="4" t="s">
        <v>6064</v>
      </c>
      <c r="B505" s="4" t="s">
        <v>6091</v>
      </c>
      <c r="C505" s="4" t="s">
        <v>6068</v>
      </c>
      <c r="D505" s="4" t="s">
        <v>6033</v>
      </c>
      <c r="E505" s="4" t="s">
        <v>6034</v>
      </c>
    </row>
    <row r="506" spans="1:5">
      <c r="A506" s="4" t="s">
        <v>6064</v>
      </c>
      <c r="B506" s="4" t="s">
        <v>6091</v>
      </c>
      <c r="C506" s="4" t="s">
        <v>6069</v>
      </c>
      <c r="D506" s="4" t="s">
        <v>6033</v>
      </c>
      <c r="E506" s="4" t="s">
        <v>6034</v>
      </c>
    </row>
    <row r="507" spans="1:5">
      <c r="A507" s="4" t="s">
        <v>6064</v>
      </c>
      <c r="B507" s="4" t="s">
        <v>6091</v>
      </c>
      <c r="C507" s="4" t="s">
        <v>6070</v>
      </c>
      <c r="D507" s="4" t="s">
        <v>6033</v>
      </c>
      <c r="E507" s="4" t="s">
        <v>6034</v>
      </c>
    </row>
    <row r="508" spans="1:5">
      <c r="A508" s="4" t="s">
        <v>6064</v>
      </c>
      <c r="B508" s="4" t="s">
        <v>6091</v>
      </c>
      <c r="C508" s="4" t="s">
        <v>6071</v>
      </c>
      <c r="D508" s="4" t="s">
        <v>6033</v>
      </c>
      <c r="E508" s="4" t="s">
        <v>6034</v>
      </c>
    </row>
    <row r="509" spans="1:5">
      <c r="A509" s="4" t="s">
        <v>6064</v>
      </c>
      <c r="B509" s="4" t="s">
        <v>6091</v>
      </c>
      <c r="C509" s="4" t="s">
        <v>6072</v>
      </c>
      <c r="D509" s="4" t="s">
        <v>6033</v>
      </c>
      <c r="E509" s="4" t="s">
        <v>6034</v>
      </c>
    </row>
    <row r="510" spans="1:5">
      <c r="A510" s="4" t="s">
        <v>6064</v>
      </c>
      <c r="B510" s="4" t="s">
        <v>6091</v>
      </c>
      <c r="C510" s="4" t="s">
        <v>6073</v>
      </c>
      <c r="D510" s="4" t="s">
        <v>6033</v>
      </c>
      <c r="E510" s="4" t="s">
        <v>6034</v>
      </c>
    </row>
    <row r="511" spans="1:5">
      <c r="A511" s="4" t="s">
        <v>6064</v>
      </c>
      <c r="B511" s="4" t="s">
        <v>6091</v>
      </c>
      <c r="C511" s="4" t="s">
        <v>6074</v>
      </c>
      <c r="D511" s="4" t="s">
        <v>6033</v>
      </c>
      <c r="E511" s="4" t="s">
        <v>6034</v>
      </c>
    </row>
    <row r="512" spans="1:5">
      <c r="A512" s="4" t="s">
        <v>6064</v>
      </c>
      <c r="B512" s="4" t="s">
        <v>6091</v>
      </c>
      <c r="C512" s="4" t="s">
        <v>6075</v>
      </c>
      <c r="D512" s="4" t="s">
        <v>6033</v>
      </c>
      <c r="E512" s="4" t="s">
        <v>6034</v>
      </c>
    </row>
    <row r="513" spans="1:5">
      <c r="A513" s="4" t="s">
        <v>6064</v>
      </c>
      <c r="B513" s="4" t="s">
        <v>6091</v>
      </c>
      <c r="C513" s="4" t="s">
        <v>6076</v>
      </c>
      <c r="D513" s="4" t="s">
        <v>6033</v>
      </c>
      <c r="E513" s="4" t="s">
        <v>6034</v>
      </c>
    </row>
    <row r="514" spans="1:5">
      <c r="A514" s="4" t="s">
        <v>6064</v>
      </c>
      <c r="B514" s="4" t="s">
        <v>6091</v>
      </c>
      <c r="C514" s="4" t="s">
        <v>6077</v>
      </c>
      <c r="D514" s="4" t="s">
        <v>6033</v>
      </c>
      <c r="E514" s="4" t="s">
        <v>6034</v>
      </c>
    </row>
    <row r="515" spans="1:5">
      <c r="A515" s="4" t="s">
        <v>6064</v>
      </c>
      <c r="B515" s="4" t="s">
        <v>6091</v>
      </c>
      <c r="C515" s="4" t="s">
        <v>6078</v>
      </c>
      <c r="D515" s="4" t="s">
        <v>6033</v>
      </c>
      <c r="E515" s="4" t="s">
        <v>6034</v>
      </c>
    </row>
    <row r="516" spans="1:5">
      <c r="A516" s="4" t="s">
        <v>6064</v>
      </c>
      <c r="B516" s="4" t="s">
        <v>6091</v>
      </c>
      <c r="C516" s="4" t="s">
        <v>6079</v>
      </c>
      <c r="D516" s="4" t="s">
        <v>6033</v>
      </c>
      <c r="E516" s="4" t="s">
        <v>6034</v>
      </c>
    </row>
    <row r="517" spans="1:5">
      <c r="A517" s="4" t="s">
        <v>6064</v>
      </c>
      <c r="B517" s="4" t="s">
        <v>6091</v>
      </c>
      <c r="C517" s="4" t="s">
        <v>6080</v>
      </c>
      <c r="D517" s="4" t="s">
        <v>6033</v>
      </c>
      <c r="E517" s="4" t="s">
        <v>6034</v>
      </c>
    </row>
    <row r="518" spans="1:5">
      <c r="A518" s="4" t="s">
        <v>6064</v>
      </c>
      <c r="B518" s="4" t="s">
        <v>6091</v>
      </c>
      <c r="C518" s="4" t="s">
        <v>6081</v>
      </c>
      <c r="D518" s="4" t="s">
        <v>6033</v>
      </c>
      <c r="E518" s="4" t="s">
        <v>6034</v>
      </c>
    </row>
    <row r="519" spans="1:5">
      <c r="A519" s="4" t="s">
        <v>6064</v>
      </c>
      <c r="B519" s="4" t="s">
        <v>6091</v>
      </c>
      <c r="C519" s="4" t="s">
        <v>6082</v>
      </c>
      <c r="D519" s="4" t="s">
        <v>6033</v>
      </c>
      <c r="E519" s="4" t="s">
        <v>6034</v>
      </c>
    </row>
    <row r="520" spans="1:5">
      <c r="A520" s="4" t="s">
        <v>6064</v>
      </c>
      <c r="B520" s="4" t="s">
        <v>6091</v>
      </c>
      <c r="C520" s="4" t="s">
        <v>6083</v>
      </c>
      <c r="D520" s="4" t="s">
        <v>6033</v>
      </c>
      <c r="E520" s="4" t="s">
        <v>6034</v>
      </c>
    </row>
    <row r="521" spans="1:5">
      <c r="A521" s="4" t="s">
        <v>6064</v>
      </c>
      <c r="B521" s="4" t="s">
        <v>6091</v>
      </c>
      <c r="C521" s="4" t="s">
        <v>6084</v>
      </c>
      <c r="D521" s="4" t="s">
        <v>6033</v>
      </c>
      <c r="E521" s="4" t="s">
        <v>6034</v>
      </c>
    </row>
    <row r="522" spans="1:5">
      <c r="A522" s="4" t="s">
        <v>6064</v>
      </c>
      <c r="B522" s="4" t="s">
        <v>6091</v>
      </c>
      <c r="C522" s="4" t="s">
        <v>6085</v>
      </c>
      <c r="D522" s="4" t="s">
        <v>6033</v>
      </c>
      <c r="E522" s="4" t="s">
        <v>6034</v>
      </c>
    </row>
    <row r="523" spans="1:5">
      <c r="A523" s="4" t="s">
        <v>6064</v>
      </c>
      <c r="B523" s="4" t="s">
        <v>6091</v>
      </c>
      <c r="C523" s="4" t="s">
        <v>6086</v>
      </c>
      <c r="D523" s="4" t="s">
        <v>6033</v>
      </c>
      <c r="E523" s="4" t="s">
        <v>6034</v>
      </c>
    </row>
    <row r="524" spans="1:5">
      <c r="A524" s="4" t="s">
        <v>6064</v>
      </c>
      <c r="B524" s="4" t="s">
        <v>6091</v>
      </c>
      <c r="C524" s="4" t="s">
        <v>6087</v>
      </c>
      <c r="D524" s="4" t="s">
        <v>6033</v>
      </c>
      <c r="E524" s="4" t="s">
        <v>6034</v>
      </c>
    </row>
    <row r="525" spans="1:5">
      <c r="A525" s="4" t="s">
        <v>6064</v>
      </c>
      <c r="B525" s="4" t="s">
        <v>6091</v>
      </c>
      <c r="C525" s="4" t="s">
        <v>6088</v>
      </c>
      <c r="D525" s="4" t="s">
        <v>6033</v>
      </c>
      <c r="E525" s="4" t="s">
        <v>6034</v>
      </c>
    </row>
    <row r="526" spans="1:5">
      <c r="A526" s="4" t="s">
        <v>6064</v>
      </c>
      <c r="B526" s="4" t="s">
        <v>6091</v>
      </c>
      <c r="C526" s="4" t="s">
        <v>6089</v>
      </c>
      <c r="D526" s="4" t="s">
        <v>6033</v>
      </c>
      <c r="E526" s="4" t="s">
        <v>6034</v>
      </c>
    </row>
    <row r="527" spans="1:5">
      <c r="A527" s="4" t="s">
        <v>6064</v>
      </c>
      <c r="B527" s="4" t="s">
        <v>6091</v>
      </c>
      <c r="C527" s="4" t="s">
        <v>6090</v>
      </c>
      <c r="D527" s="4" t="s">
        <v>6033</v>
      </c>
      <c r="E527" s="4" t="s">
        <v>6034</v>
      </c>
    </row>
    <row r="528" spans="1:5">
      <c r="A528" s="4" t="s">
        <v>6064</v>
      </c>
      <c r="B528" s="4" t="s">
        <v>6092</v>
      </c>
      <c r="C528" s="4" t="s">
        <v>6066</v>
      </c>
      <c r="D528" s="4" t="s">
        <v>6033</v>
      </c>
      <c r="E528" s="4" t="s">
        <v>6034</v>
      </c>
    </row>
    <row r="529" spans="1:5">
      <c r="A529" s="4" t="s">
        <v>6064</v>
      </c>
      <c r="B529" s="4" t="s">
        <v>6092</v>
      </c>
      <c r="C529" s="4" t="s">
        <v>6065</v>
      </c>
      <c r="D529" s="4" t="s">
        <v>6033</v>
      </c>
      <c r="E529" s="4" t="s">
        <v>6034</v>
      </c>
    </row>
    <row r="530" spans="1:5">
      <c r="A530" s="4" t="s">
        <v>6064</v>
      </c>
      <c r="B530" s="4" t="s">
        <v>6092</v>
      </c>
      <c r="C530" s="4" t="s">
        <v>6067</v>
      </c>
      <c r="D530" s="4" t="s">
        <v>6033</v>
      </c>
      <c r="E530" s="4" t="s">
        <v>6034</v>
      </c>
    </row>
    <row r="531" spans="1:5">
      <c r="A531" s="4" t="s">
        <v>6064</v>
      </c>
      <c r="B531" s="4" t="s">
        <v>6092</v>
      </c>
      <c r="C531" s="4" t="s">
        <v>6068</v>
      </c>
      <c r="D531" s="4" t="s">
        <v>6033</v>
      </c>
      <c r="E531" s="4" t="s">
        <v>6034</v>
      </c>
    </row>
    <row r="532" spans="1:5">
      <c r="A532" s="4" t="s">
        <v>6064</v>
      </c>
      <c r="B532" s="4" t="s">
        <v>6092</v>
      </c>
      <c r="C532" s="4" t="s">
        <v>6069</v>
      </c>
      <c r="D532" s="4" t="s">
        <v>6033</v>
      </c>
      <c r="E532" s="4" t="s">
        <v>6034</v>
      </c>
    </row>
    <row r="533" spans="1:5">
      <c r="A533" s="4" t="s">
        <v>6064</v>
      </c>
      <c r="B533" s="4" t="s">
        <v>6092</v>
      </c>
      <c r="C533" s="4" t="s">
        <v>6070</v>
      </c>
      <c r="D533" s="4" t="s">
        <v>6033</v>
      </c>
      <c r="E533" s="4" t="s">
        <v>6034</v>
      </c>
    </row>
    <row r="534" spans="1:5">
      <c r="A534" s="4" t="s">
        <v>6064</v>
      </c>
      <c r="B534" s="4" t="s">
        <v>6092</v>
      </c>
      <c r="C534" s="4" t="s">
        <v>6071</v>
      </c>
      <c r="D534" s="4" t="s">
        <v>6033</v>
      </c>
      <c r="E534" s="4" t="s">
        <v>6034</v>
      </c>
    </row>
    <row r="535" spans="1:5">
      <c r="A535" s="4" t="s">
        <v>6064</v>
      </c>
      <c r="B535" s="4" t="s">
        <v>6092</v>
      </c>
      <c r="C535" s="4" t="s">
        <v>6072</v>
      </c>
      <c r="D535" s="4" t="s">
        <v>6033</v>
      </c>
      <c r="E535" s="4" t="s">
        <v>6034</v>
      </c>
    </row>
    <row r="536" spans="1:5">
      <c r="A536" s="4" t="s">
        <v>6064</v>
      </c>
      <c r="B536" s="4" t="s">
        <v>6092</v>
      </c>
      <c r="C536" s="4" t="s">
        <v>6073</v>
      </c>
      <c r="D536" s="4" t="s">
        <v>6033</v>
      </c>
      <c r="E536" s="4" t="s">
        <v>6034</v>
      </c>
    </row>
    <row r="537" spans="1:5">
      <c r="A537" s="4" t="s">
        <v>6064</v>
      </c>
      <c r="B537" s="4" t="s">
        <v>6092</v>
      </c>
      <c r="C537" s="4" t="s">
        <v>6074</v>
      </c>
      <c r="D537" s="4" t="s">
        <v>6033</v>
      </c>
      <c r="E537" s="4" t="s">
        <v>6034</v>
      </c>
    </row>
    <row r="538" spans="1:5">
      <c r="A538" s="4" t="s">
        <v>6064</v>
      </c>
      <c r="B538" s="4" t="s">
        <v>6092</v>
      </c>
      <c r="C538" s="4" t="s">
        <v>6075</v>
      </c>
      <c r="D538" s="4" t="s">
        <v>6033</v>
      </c>
      <c r="E538" s="4" t="s">
        <v>6034</v>
      </c>
    </row>
    <row r="539" spans="1:5">
      <c r="A539" s="4" t="s">
        <v>6064</v>
      </c>
      <c r="B539" s="4" t="s">
        <v>6092</v>
      </c>
      <c r="C539" s="4" t="s">
        <v>6076</v>
      </c>
      <c r="D539" s="4" t="s">
        <v>6033</v>
      </c>
      <c r="E539" s="4" t="s">
        <v>6034</v>
      </c>
    </row>
    <row r="540" spans="1:5">
      <c r="A540" s="4" t="s">
        <v>6064</v>
      </c>
      <c r="B540" s="4" t="s">
        <v>6092</v>
      </c>
      <c r="C540" s="4" t="s">
        <v>6077</v>
      </c>
      <c r="D540" s="4" t="s">
        <v>6033</v>
      </c>
      <c r="E540" s="4" t="s">
        <v>6034</v>
      </c>
    </row>
    <row r="541" spans="1:5">
      <c r="A541" s="4" t="s">
        <v>6064</v>
      </c>
      <c r="B541" s="4" t="s">
        <v>6092</v>
      </c>
      <c r="C541" s="4" t="s">
        <v>6078</v>
      </c>
      <c r="D541" s="4" t="s">
        <v>6033</v>
      </c>
      <c r="E541" s="4" t="s">
        <v>6034</v>
      </c>
    </row>
    <row r="542" spans="1:5">
      <c r="A542" s="4" t="s">
        <v>6064</v>
      </c>
      <c r="B542" s="4" t="s">
        <v>6092</v>
      </c>
      <c r="C542" s="4" t="s">
        <v>6079</v>
      </c>
      <c r="D542" s="4" t="s">
        <v>6033</v>
      </c>
      <c r="E542" s="4" t="s">
        <v>6034</v>
      </c>
    </row>
    <row r="543" spans="1:5">
      <c r="A543" s="4" t="s">
        <v>6064</v>
      </c>
      <c r="B543" s="4" t="s">
        <v>6092</v>
      </c>
      <c r="C543" s="4" t="s">
        <v>6080</v>
      </c>
      <c r="D543" s="4" t="s">
        <v>6033</v>
      </c>
      <c r="E543" s="4" t="s">
        <v>6034</v>
      </c>
    </row>
    <row r="544" spans="1:5">
      <c r="A544" s="4" t="s">
        <v>6064</v>
      </c>
      <c r="B544" s="4" t="s">
        <v>6092</v>
      </c>
      <c r="C544" s="4" t="s">
        <v>6081</v>
      </c>
      <c r="D544" s="4" t="s">
        <v>6033</v>
      </c>
      <c r="E544" s="4" t="s">
        <v>6034</v>
      </c>
    </row>
    <row r="545" spans="1:5">
      <c r="A545" s="4" t="s">
        <v>6064</v>
      </c>
      <c r="B545" s="4" t="s">
        <v>6092</v>
      </c>
      <c r="C545" s="4" t="s">
        <v>6082</v>
      </c>
      <c r="D545" s="4" t="s">
        <v>6033</v>
      </c>
      <c r="E545" s="4" t="s">
        <v>6034</v>
      </c>
    </row>
    <row r="546" spans="1:5">
      <c r="A546" s="4" t="s">
        <v>6064</v>
      </c>
      <c r="B546" s="4" t="s">
        <v>6092</v>
      </c>
      <c r="C546" s="4" t="s">
        <v>6083</v>
      </c>
      <c r="D546" s="4" t="s">
        <v>6033</v>
      </c>
      <c r="E546" s="4" t="s">
        <v>6034</v>
      </c>
    </row>
    <row r="547" spans="1:5">
      <c r="A547" s="4" t="s">
        <v>6064</v>
      </c>
      <c r="B547" s="4" t="s">
        <v>6092</v>
      </c>
      <c r="C547" s="4" t="s">
        <v>6084</v>
      </c>
      <c r="D547" s="4" t="s">
        <v>6033</v>
      </c>
      <c r="E547" s="4" t="s">
        <v>6034</v>
      </c>
    </row>
    <row r="548" spans="1:5">
      <c r="A548" s="4" t="s">
        <v>6064</v>
      </c>
      <c r="B548" s="4" t="s">
        <v>6092</v>
      </c>
      <c r="C548" s="4" t="s">
        <v>6085</v>
      </c>
      <c r="D548" s="4" t="s">
        <v>6033</v>
      </c>
      <c r="E548" s="4" t="s">
        <v>6034</v>
      </c>
    </row>
    <row r="549" spans="1:5">
      <c r="A549" s="4" t="s">
        <v>6064</v>
      </c>
      <c r="B549" s="4" t="s">
        <v>6092</v>
      </c>
      <c r="C549" s="4" t="s">
        <v>6086</v>
      </c>
      <c r="D549" s="4" t="s">
        <v>6033</v>
      </c>
      <c r="E549" s="4" t="s">
        <v>6034</v>
      </c>
    </row>
    <row r="550" spans="1:5">
      <c r="A550" s="4" t="s">
        <v>6064</v>
      </c>
      <c r="B550" s="4" t="s">
        <v>6092</v>
      </c>
      <c r="C550" s="4" t="s">
        <v>6087</v>
      </c>
      <c r="D550" s="4" t="s">
        <v>6033</v>
      </c>
      <c r="E550" s="4" t="s">
        <v>6034</v>
      </c>
    </row>
    <row r="551" spans="1:5">
      <c r="A551" s="4" t="s">
        <v>6064</v>
      </c>
      <c r="B551" s="4" t="s">
        <v>6092</v>
      </c>
      <c r="C551" s="4" t="s">
        <v>6088</v>
      </c>
      <c r="D551" s="4" t="s">
        <v>6033</v>
      </c>
      <c r="E551" s="4" t="s">
        <v>6034</v>
      </c>
    </row>
    <row r="552" spans="1:5">
      <c r="A552" s="4" t="s">
        <v>6064</v>
      </c>
      <c r="B552" s="4" t="s">
        <v>6092</v>
      </c>
      <c r="C552" s="4" t="s">
        <v>6089</v>
      </c>
      <c r="D552" s="4" t="s">
        <v>6033</v>
      </c>
      <c r="E552" s="4" t="s">
        <v>6034</v>
      </c>
    </row>
    <row r="553" spans="1:5">
      <c r="A553" s="4" t="s">
        <v>6064</v>
      </c>
      <c r="B553" s="4" t="s">
        <v>6092</v>
      </c>
      <c r="C553" s="4" t="s">
        <v>6090</v>
      </c>
      <c r="D553" s="4" t="s">
        <v>6033</v>
      </c>
      <c r="E553" s="4" t="s">
        <v>6034</v>
      </c>
    </row>
    <row r="554" spans="1:5">
      <c r="A554" s="4" t="s">
        <v>6064</v>
      </c>
      <c r="B554" s="4" t="s">
        <v>6092</v>
      </c>
      <c r="C554" s="4" t="s">
        <v>6091</v>
      </c>
      <c r="D554" s="4" t="s">
        <v>6033</v>
      </c>
      <c r="E554" s="4" t="s">
        <v>6034</v>
      </c>
    </row>
    <row r="555" spans="1:5">
      <c r="A555" s="4" t="s">
        <v>6064</v>
      </c>
      <c r="B555" s="4" t="s">
        <v>6093</v>
      </c>
      <c r="C555" s="4" t="s">
        <v>6066</v>
      </c>
      <c r="D555" s="4" t="s">
        <v>6033</v>
      </c>
      <c r="E555" s="4" t="s">
        <v>6034</v>
      </c>
    </row>
    <row r="556" spans="1:5">
      <c r="A556" s="4" t="s">
        <v>6064</v>
      </c>
      <c r="B556" s="4" t="s">
        <v>6093</v>
      </c>
      <c r="C556" s="4" t="s">
        <v>6065</v>
      </c>
      <c r="D556" s="4" t="s">
        <v>6033</v>
      </c>
      <c r="E556" s="4" t="s">
        <v>6034</v>
      </c>
    </row>
    <row r="557" spans="1:5">
      <c r="A557" s="4" t="s">
        <v>6064</v>
      </c>
      <c r="B557" s="4" t="s">
        <v>6093</v>
      </c>
      <c r="C557" s="4" t="s">
        <v>6067</v>
      </c>
      <c r="D557" s="4" t="s">
        <v>6033</v>
      </c>
      <c r="E557" s="4" t="s">
        <v>6034</v>
      </c>
    </row>
    <row r="558" spans="1:5">
      <c r="A558" s="4" t="s">
        <v>6064</v>
      </c>
      <c r="B558" s="4" t="s">
        <v>6093</v>
      </c>
      <c r="C558" s="4" t="s">
        <v>6068</v>
      </c>
      <c r="D558" s="4" t="s">
        <v>6033</v>
      </c>
      <c r="E558" s="4" t="s">
        <v>6034</v>
      </c>
    </row>
    <row r="559" spans="1:5">
      <c r="A559" s="4" t="s">
        <v>6064</v>
      </c>
      <c r="B559" s="4" t="s">
        <v>6093</v>
      </c>
      <c r="C559" s="4" t="s">
        <v>6069</v>
      </c>
      <c r="D559" s="4" t="s">
        <v>6033</v>
      </c>
      <c r="E559" s="4" t="s">
        <v>6034</v>
      </c>
    </row>
    <row r="560" spans="1:5">
      <c r="A560" s="4" t="s">
        <v>6064</v>
      </c>
      <c r="B560" s="4" t="s">
        <v>6093</v>
      </c>
      <c r="C560" s="4" t="s">
        <v>6070</v>
      </c>
      <c r="D560" s="4" t="s">
        <v>6033</v>
      </c>
      <c r="E560" s="4" t="s">
        <v>6034</v>
      </c>
    </row>
    <row r="561" spans="1:5">
      <c r="A561" s="4" t="s">
        <v>6064</v>
      </c>
      <c r="B561" s="4" t="s">
        <v>6093</v>
      </c>
      <c r="C561" s="4" t="s">
        <v>6071</v>
      </c>
      <c r="D561" s="4" t="s">
        <v>6033</v>
      </c>
      <c r="E561" s="4" t="s">
        <v>6034</v>
      </c>
    </row>
    <row r="562" spans="1:5">
      <c r="A562" s="4" t="s">
        <v>6064</v>
      </c>
      <c r="B562" s="4" t="s">
        <v>6093</v>
      </c>
      <c r="C562" s="4" t="s">
        <v>6072</v>
      </c>
      <c r="D562" s="4" t="s">
        <v>6033</v>
      </c>
      <c r="E562" s="4" t="s">
        <v>6034</v>
      </c>
    </row>
    <row r="563" spans="1:5">
      <c r="A563" s="4" t="s">
        <v>6064</v>
      </c>
      <c r="B563" s="4" t="s">
        <v>6093</v>
      </c>
      <c r="C563" s="4" t="s">
        <v>6073</v>
      </c>
      <c r="D563" s="4" t="s">
        <v>6033</v>
      </c>
      <c r="E563" s="4" t="s">
        <v>6034</v>
      </c>
    </row>
    <row r="564" spans="1:5">
      <c r="A564" s="4" t="s">
        <v>6064</v>
      </c>
      <c r="B564" s="4" t="s">
        <v>6093</v>
      </c>
      <c r="C564" s="4" t="s">
        <v>6074</v>
      </c>
      <c r="D564" s="4" t="s">
        <v>6033</v>
      </c>
      <c r="E564" s="4" t="s">
        <v>6034</v>
      </c>
    </row>
    <row r="565" spans="1:5">
      <c r="A565" s="4" t="s">
        <v>6064</v>
      </c>
      <c r="B565" s="4" t="s">
        <v>6093</v>
      </c>
      <c r="C565" s="4" t="s">
        <v>6075</v>
      </c>
      <c r="D565" s="4" t="s">
        <v>6033</v>
      </c>
      <c r="E565" s="4" t="s">
        <v>6034</v>
      </c>
    </row>
    <row r="566" spans="1:5">
      <c r="A566" s="4" t="s">
        <v>6064</v>
      </c>
      <c r="B566" s="4" t="s">
        <v>6093</v>
      </c>
      <c r="C566" s="4" t="s">
        <v>6076</v>
      </c>
      <c r="D566" s="4" t="s">
        <v>6033</v>
      </c>
      <c r="E566" s="4" t="s">
        <v>6034</v>
      </c>
    </row>
    <row r="567" spans="1:5">
      <c r="A567" s="4" t="s">
        <v>6064</v>
      </c>
      <c r="B567" s="4" t="s">
        <v>6093</v>
      </c>
      <c r="C567" s="4" t="s">
        <v>6077</v>
      </c>
      <c r="D567" s="4" t="s">
        <v>6033</v>
      </c>
      <c r="E567" s="4" t="s">
        <v>6034</v>
      </c>
    </row>
    <row r="568" spans="1:5">
      <c r="A568" s="4" t="s">
        <v>6064</v>
      </c>
      <c r="B568" s="4" t="s">
        <v>6093</v>
      </c>
      <c r="C568" s="4" t="s">
        <v>6078</v>
      </c>
      <c r="D568" s="4" t="s">
        <v>6033</v>
      </c>
      <c r="E568" s="4" t="s">
        <v>6034</v>
      </c>
    </row>
    <row r="569" spans="1:5">
      <c r="A569" s="4" t="s">
        <v>6064</v>
      </c>
      <c r="B569" s="4" t="s">
        <v>6093</v>
      </c>
      <c r="C569" s="4" t="s">
        <v>6079</v>
      </c>
      <c r="D569" s="4" t="s">
        <v>6033</v>
      </c>
      <c r="E569" s="4" t="s">
        <v>6034</v>
      </c>
    </row>
    <row r="570" spans="1:5">
      <c r="A570" s="4" t="s">
        <v>6064</v>
      </c>
      <c r="B570" s="4" t="s">
        <v>6093</v>
      </c>
      <c r="C570" s="4" t="s">
        <v>6080</v>
      </c>
      <c r="D570" s="4" t="s">
        <v>6033</v>
      </c>
      <c r="E570" s="4" t="s">
        <v>6034</v>
      </c>
    </row>
    <row r="571" spans="1:5">
      <c r="A571" s="4" t="s">
        <v>6064</v>
      </c>
      <c r="B571" s="4" t="s">
        <v>6093</v>
      </c>
      <c r="C571" s="4" t="s">
        <v>6081</v>
      </c>
      <c r="D571" s="4" t="s">
        <v>6033</v>
      </c>
      <c r="E571" s="4" t="s">
        <v>6034</v>
      </c>
    </row>
    <row r="572" spans="1:5">
      <c r="A572" s="4" t="s">
        <v>6064</v>
      </c>
      <c r="B572" s="4" t="s">
        <v>6093</v>
      </c>
      <c r="C572" s="4" t="s">
        <v>6082</v>
      </c>
      <c r="D572" s="4" t="s">
        <v>6033</v>
      </c>
      <c r="E572" s="4" t="s">
        <v>6034</v>
      </c>
    </row>
    <row r="573" spans="1:5">
      <c r="A573" s="4" t="s">
        <v>6064</v>
      </c>
      <c r="B573" s="4" t="s">
        <v>6093</v>
      </c>
      <c r="C573" s="4" t="s">
        <v>6083</v>
      </c>
      <c r="D573" s="4" t="s">
        <v>6033</v>
      </c>
      <c r="E573" s="4" t="s">
        <v>6034</v>
      </c>
    </row>
    <row r="574" spans="1:5">
      <c r="A574" s="4" t="s">
        <v>6064</v>
      </c>
      <c r="B574" s="4" t="s">
        <v>6093</v>
      </c>
      <c r="C574" s="4" t="s">
        <v>6084</v>
      </c>
      <c r="D574" s="4" t="s">
        <v>6033</v>
      </c>
      <c r="E574" s="4" t="s">
        <v>6034</v>
      </c>
    </row>
    <row r="575" spans="1:5">
      <c r="A575" s="4" t="s">
        <v>6064</v>
      </c>
      <c r="B575" s="4" t="s">
        <v>6093</v>
      </c>
      <c r="C575" s="4" t="s">
        <v>6085</v>
      </c>
      <c r="D575" s="4" t="s">
        <v>6033</v>
      </c>
      <c r="E575" s="4" t="s">
        <v>6034</v>
      </c>
    </row>
    <row r="576" spans="1:5">
      <c r="A576" s="4" t="s">
        <v>6064</v>
      </c>
      <c r="B576" s="4" t="s">
        <v>6093</v>
      </c>
      <c r="C576" s="4" t="s">
        <v>6086</v>
      </c>
      <c r="D576" s="4" t="s">
        <v>6033</v>
      </c>
      <c r="E576" s="4" t="s">
        <v>6034</v>
      </c>
    </row>
    <row r="577" spans="1:5">
      <c r="A577" s="4" t="s">
        <v>6064</v>
      </c>
      <c r="B577" s="4" t="s">
        <v>6093</v>
      </c>
      <c r="C577" s="4" t="s">
        <v>6087</v>
      </c>
      <c r="D577" s="4" t="s">
        <v>6033</v>
      </c>
      <c r="E577" s="4" t="s">
        <v>6034</v>
      </c>
    </row>
    <row r="578" spans="1:5">
      <c r="A578" s="4" t="s">
        <v>6064</v>
      </c>
      <c r="B578" s="4" t="s">
        <v>6093</v>
      </c>
      <c r="C578" s="4" t="s">
        <v>6088</v>
      </c>
      <c r="D578" s="4" t="s">
        <v>6033</v>
      </c>
      <c r="E578" s="4" t="s">
        <v>6034</v>
      </c>
    </row>
    <row r="579" spans="1:5">
      <c r="A579" s="4" t="s">
        <v>6064</v>
      </c>
      <c r="B579" s="4" t="s">
        <v>6093</v>
      </c>
      <c r="C579" s="4" t="s">
        <v>6089</v>
      </c>
      <c r="D579" s="4" t="s">
        <v>6033</v>
      </c>
      <c r="E579" s="4" t="s">
        <v>6034</v>
      </c>
    </row>
    <row r="580" spans="1:5">
      <c r="A580" s="4" t="s">
        <v>6064</v>
      </c>
      <c r="B580" s="4" t="s">
        <v>6093</v>
      </c>
      <c r="C580" s="4" t="s">
        <v>6090</v>
      </c>
      <c r="D580" s="4" t="s">
        <v>6033</v>
      </c>
      <c r="E580" s="4" t="s">
        <v>6034</v>
      </c>
    </row>
    <row r="581" spans="1:5">
      <c r="A581" s="4" t="s">
        <v>6064</v>
      </c>
      <c r="B581" s="4" t="s">
        <v>6093</v>
      </c>
      <c r="C581" s="4" t="s">
        <v>6091</v>
      </c>
      <c r="D581" s="4" t="s">
        <v>6033</v>
      </c>
      <c r="E581" s="4" t="s">
        <v>6034</v>
      </c>
    </row>
    <row r="582" spans="1:5">
      <c r="A582" s="4" t="s">
        <v>6064</v>
      </c>
      <c r="B582" s="4" t="s">
        <v>6093</v>
      </c>
      <c r="C582" s="4" t="s">
        <v>6092</v>
      </c>
      <c r="D582" s="4" t="s">
        <v>6033</v>
      </c>
      <c r="E582" s="4" t="s">
        <v>6034</v>
      </c>
    </row>
    <row r="583" spans="1:5">
      <c r="A583" s="4" t="s">
        <v>6064</v>
      </c>
      <c r="B583" s="4" t="s">
        <v>6094</v>
      </c>
      <c r="C583" s="4" t="s">
        <v>6066</v>
      </c>
      <c r="D583" s="4" t="s">
        <v>6033</v>
      </c>
      <c r="E583" s="4" t="s">
        <v>6034</v>
      </c>
    </row>
    <row r="584" spans="1:5">
      <c r="A584" s="4" t="s">
        <v>6064</v>
      </c>
      <c r="B584" s="4" t="s">
        <v>6094</v>
      </c>
      <c r="C584" s="4" t="s">
        <v>6065</v>
      </c>
      <c r="D584" s="4" t="s">
        <v>6033</v>
      </c>
      <c r="E584" s="4" t="s">
        <v>6034</v>
      </c>
    </row>
    <row r="585" spans="1:5">
      <c r="A585" s="4" t="s">
        <v>6064</v>
      </c>
      <c r="B585" s="4" t="s">
        <v>6094</v>
      </c>
      <c r="C585" s="4" t="s">
        <v>6067</v>
      </c>
      <c r="D585" s="4" t="s">
        <v>6033</v>
      </c>
      <c r="E585" s="4" t="s">
        <v>6034</v>
      </c>
    </row>
    <row r="586" spans="1:5">
      <c r="A586" s="4" t="s">
        <v>6064</v>
      </c>
      <c r="B586" s="4" t="s">
        <v>6094</v>
      </c>
      <c r="C586" s="4" t="s">
        <v>6068</v>
      </c>
      <c r="D586" s="4" t="s">
        <v>6033</v>
      </c>
      <c r="E586" s="4" t="s">
        <v>6034</v>
      </c>
    </row>
    <row r="587" spans="1:5">
      <c r="A587" s="4" t="s">
        <v>6064</v>
      </c>
      <c r="B587" s="4" t="s">
        <v>6094</v>
      </c>
      <c r="C587" s="4" t="s">
        <v>6069</v>
      </c>
      <c r="D587" s="4" t="s">
        <v>6033</v>
      </c>
      <c r="E587" s="4" t="s">
        <v>6034</v>
      </c>
    </row>
    <row r="588" spans="1:5">
      <c r="A588" s="4" t="s">
        <v>6064</v>
      </c>
      <c r="B588" s="4" t="s">
        <v>6094</v>
      </c>
      <c r="C588" s="4" t="s">
        <v>6070</v>
      </c>
      <c r="D588" s="4" t="s">
        <v>6033</v>
      </c>
      <c r="E588" s="4" t="s">
        <v>6034</v>
      </c>
    </row>
    <row r="589" spans="1:5">
      <c r="A589" s="4" t="s">
        <v>6064</v>
      </c>
      <c r="B589" s="4" t="s">
        <v>6094</v>
      </c>
      <c r="C589" s="4" t="s">
        <v>6071</v>
      </c>
      <c r="D589" s="4" t="s">
        <v>6033</v>
      </c>
      <c r="E589" s="4" t="s">
        <v>6034</v>
      </c>
    </row>
    <row r="590" spans="1:5">
      <c r="A590" s="4" t="s">
        <v>6064</v>
      </c>
      <c r="B590" s="4" t="s">
        <v>6094</v>
      </c>
      <c r="C590" s="4" t="s">
        <v>6072</v>
      </c>
      <c r="D590" s="4" t="s">
        <v>6033</v>
      </c>
      <c r="E590" s="4" t="s">
        <v>6034</v>
      </c>
    </row>
    <row r="591" spans="1:5">
      <c r="A591" s="4" t="s">
        <v>6064</v>
      </c>
      <c r="B591" s="4" t="s">
        <v>6094</v>
      </c>
      <c r="C591" s="4" t="s">
        <v>6073</v>
      </c>
      <c r="D591" s="4" t="s">
        <v>6033</v>
      </c>
      <c r="E591" s="4" t="s">
        <v>6034</v>
      </c>
    </row>
    <row r="592" spans="1:5">
      <c r="A592" s="4" t="s">
        <v>6064</v>
      </c>
      <c r="B592" s="4" t="s">
        <v>6094</v>
      </c>
      <c r="C592" s="4" t="s">
        <v>6074</v>
      </c>
      <c r="D592" s="4" t="s">
        <v>6033</v>
      </c>
      <c r="E592" s="4" t="s">
        <v>6034</v>
      </c>
    </row>
    <row r="593" spans="1:5">
      <c r="A593" s="4" t="s">
        <v>6064</v>
      </c>
      <c r="B593" s="4" t="s">
        <v>6094</v>
      </c>
      <c r="C593" s="4" t="s">
        <v>6075</v>
      </c>
      <c r="D593" s="4" t="s">
        <v>6033</v>
      </c>
      <c r="E593" s="4" t="s">
        <v>6034</v>
      </c>
    </row>
    <row r="594" spans="1:5">
      <c r="A594" s="4" t="s">
        <v>6064</v>
      </c>
      <c r="B594" s="4" t="s">
        <v>6094</v>
      </c>
      <c r="C594" s="4" t="s">
        <v>6076</v>
      </c>
      <c r="D594" s="4" t="s">
        <v>6033</v>
      </c>
      <c r="E594" s="4" t="s">
        <v>6034</v>
      </c>
    </row>
    <row r="595" spans="1:5">
      <c r="A595" s="4" t="s">
        <v>6064</v>
      </c>
      <c r="B595" s="4" t="s">
        <v>6094</v>
      </c>
      <c r="C595" s="4" t="s">
        <v>6077</v>
      </c>
      <c r="D595" s="4" t="s">
        <v>6033</v>
      </c>
      <c r="E595" s="4" t="s">
        <v>6034</v>
      </c>
    </row>
    <row r="596" spans="1:5">
      <c r="A596" s="4" t="s">
        <v>6064</v>
      </c>
      <c r="B596" s="4" t="s">
        <v>6094</v>
      </c>
      <c r="C596" s="4" t="s">
        <v>6078</v>
      </c>
      <c r="D596" s="4" t="s">
        <v>6033</v>
      </c>
      <c r="E596" s="4" t="s">
        <v>6034</v>
      </c>
    </row>
    <row r="597" spans="1:5">
      <c r="A597" s="4" t="s">
        <v>6064</v>
      </c>
      <c r="B597" s="4" t="s">
        <v>6094</v>
      </c>
      <c r="C597" s="4" t="s">
        <v>6079</v>
      </c>
      <c r="D597" s="4" t="s">
        <v>6033</v>
      </c>
      <c r="E597" s="4" t="s">
        <v>6034</v>
      </c>
    </row>
    <row r="598" spans="1:5">
      <c r="A598" s="4" t="s">
        <v>6064</v>
      </c>
      <c r="B598" s="4" t="s">
        <v>6094</v>
      </c>
      <c r="C598" s="4" t="s">
        <v>6080</v>
      </c>
      <c r="D598" s="4" t="s">
        <v>6033</v>
      </c>
      <c r="E598" s="4" t="s">
        <v>6034</v>
      </c>
    </row>
    <row r="599" spans="1:5">
      <c r="A599" s="4" t="s">
        <v>6064</v>
      </c>
      <c r="B599" s="4" t="s">
        <v>6094</v>
      </c>
      <c r="C599" s="4" t="s">
        <v>6081</v>
      </c>
      <c r="D599" s="4" t="s">
        <v>6033</v>
      </c>
      <c r="E599" s="4" t="s">
        <v>6034</v>
      </c>
    </row>
    <row r="600" spans="1:5">
      <c r="A600" s="4" t="s">
        <v>6064</v>
      </c>
      <c r="B600" s="4" t="s">
        <v>6094</v>
      </c>
      <c r="C600" s="4" t="s">
        <v>6082</v>
      </c>
      <c r="D600" s="4" t="s">
        <v>6033</v>
      </c>
      <c r="E600" s="4" t="s">
        <v>6034</v>
      </c>
    </row>
    <row r="601" spans="1:5">
      <c r="A601" s="4" t="s">
        <v>6064</v>
      </c>
      <c r="B601" s="4" t="s">
        <v>6094</v>
      </c>
      <c r="C601" s="4" t="s">
        <v>6083</v>
      </c>
      <c r="D601" s="4" t="s">
        <v>6033</v>
      </c>
      <c r="E601" s="4" t="s">
        <v>6034</v>
      </c>
    </row>
    <row r="602" spans="1:5">
      <c r="A602" s="4" t="s">
        <v>6064</v>
      </c>
      <c r="B602" s="4" t="s">
        <v>6094</v>
      </c>
      <c r="C602" s="4" t="s">
        <v>6084</v>
      </c>
      <c r="D602" s="4" t="s">
        <v>6033</v>
      </c>
      <c r="E602" s="4" t="s">
        <v>6034</v>
      </c>
    </row>
    <row r="603" spans="1:5">
      <c r="A603" s="4" t="s">
        <v>6064</v>
      </c>
      <c r="B603" s="4" t="s">
        <v>6094</v>
      </c>
      <c r="C603" s="4" t="s">
        <v>6085</v>
      </c>
      <c r="D603" s="4" t="s">
        <v>6033</v>
      </c>
      <c r="E603" s="4" t="s">
        <v>6034</v>
      </c>
    </row>
    <row r="604" spans="1:5">
      <c r="A604" s="4" t="s">
        <v>6064</v>
      </c>
      <c r="B604" s="4" t="s">
        <v>6094</v>
      </c>
      <c r="C604" s="4" t="s">
        <v>6086</v>
      </c>
      <c r="D604" s="4" t="s">
        <v>6033</v>
      </c>
      <c r="E604" s="4" t="s">
        <v>6034</v>
      </c>
    </row>
    <row r="605" spans="1:5">
      <c r="A605" s="4" t="s">
        <v>6064</v>
      </c>
      <c r="B605" s="4" t="s">
        <v>6094</v>
      </c>
      <c r="C605" s="4" t="s">
        <v>6087</v>
      </c>
      <c r="D605" s="4" t="s">
        <v>6033</v>
      </c>
      <c r="E605" s="4" t="s">
        <v>6034</v>
      </c>
    </row>
    <row r="606" spans="1:5">
      <c r="A606" s="4" t="s">
        <v>6064</v>
      </c>
      <c r="B606" s="4" t="s">
        <v>6094</v>
      </c>
      <c r="C606" s="4" t="s">
        <v>6088</v>
      </c>
      <c r="D606" s="4" t="s">
        <v>6033</v>
      </c>
      <c r="E606" s="4" t="s">
        <v>6034</v>
      </c>
    </row>
    <row r="607" spans="1:5">
      <c r="A607" s="4" t="s">
        <v>6064</v>
      </c>
      <c r="B607" s="4" t="s">
        <v>6094</v>
      </c>
      <c r="C607" s="4" t="s">
        <v>6089</v>
      </c>
      <c r="D607" s="4" t="s">
        <v>6033</v>
      </c>
      <c r="E607" s="4" t="s">
        <v>6034</v>
      </c>
    </row>
    <row r="608" spans="1:5">
      <c r="A608" s="4" t="s">
        <v>6064</v>
      </c>
      <c r="B608" s="4" t="s">
        <v>6094</v>
      </c>
      <c r="C608" s="4" t="s">
        <v>6090</v>
      </c>
      <c r="D608" s="4" t="s">
        <v>6033</v>
      </c>
      <c r="E608" s="4" t="s">
        <v>6034</v>
      </c>
    </row>
    <row r="609" spans="1:5">
      <c r="A609" s="4" t="s">
        <v>6064</v>
      </c>
      <c r="B609" s="4" t="s">
        <v>6094</v>
      </c>
      <c r="C609" s="4" t="s">
        <v>6091</v>
      </c>
      <c r="D609" s="4" t="s">
        <v>6033</v>
      </c>
      <c r="E609" s="4" t="s">
        <v>6034</v>
      </c>
    </row>
    <row r="610" spans="1:5">
      <c r="A610" s="4" t="s">
        <v>6064</v>
      </c>
      <c r="B610" s="4" t="s">
        <v>6094</v>
      </c>
      <c r="C610" s="4" t="s">
        <v>6092</v>
      </c>
      <c r="D610" s="4" t="s">
        <v>6033</v>
      </c>
      <c r="E610" s="4" t="s">
        <v>6034</v>
      </c>
    </row>
    <row r="611" spans="1:5">
      <c r="A611" s="4" t="s">
        <v>6064</v>
      </c>
      <c r="B611" s="4" t="s">
        <v>6094</v>
      </c>
      <c r="C611" s="4" t="s">
        <v>6093</v>
      </c>
      <c r="D611" s="4" t="s">
        <v>6033</v>
      </c>
      <c r="E611" s="4" t="s">
        <v>6034</v>
      </c>
    </row>
    <row r="612" spans="1:5">
      <c r="A612" s="4" t="s">
        <v>6064</v>
      </c>
      <c r="B612" s="4" t="s">
        <v>6095</v>
      </c>
      <c r="C612" s="4" t="s">
        <v>6066</v>
      </c>
      <c r="D612" s="4" t="s">
        <v>6033</v>
      </c>
      <c r="E612" s="4" t="s">
        <v>6034</v>
      </c>
    </row>
    <row r="613" spans="1:5">
      <c r="A613" s="4" t="s">
        <v>6064</v>
      </c>
      <c r="B613" s="4" t="s">
        <v>6095</v>
      </c>
      <c r="C613" s="4" t="s">
        <v>6065</v>
      </c>
      <c r="D613" s="4" t="s">
        <v>6033</v>
      </c>
      <c r="E613" s="4" t="s">
        <v>6034</v>
      </c>
    </row>
    <row r="614" spans="1:5">
      <c r="A614" s="4" t="s">
        <v>6064</v>
      </c>
      <c r="B614" s="4" t="s">
        <v>6095</v>
      </c>
      <c r="C614" s="4" t="s">
        <v>6067</v>
      </c>
      <c r="D614" s="4" t="s">
        <v>6033</v>
      </c>
      <c r="E614" s="4" t="s">
        <v>6034</v>
      </c>
    </row>
    <row r="615" spans="1:5">
      <c r="A615" s="4" t="s">
        <v>6064</v>
      </c>
      <c r="B615" s="4" t="s">
        <v>6095</v>
      </c>
      <c r="C615" s="4" t="s">
        <v>6068</v>
      </c>
      <c r="D615" s="4" t="s">
        <v>6033</v>
      </c>
      <c r="E615" s="4" t="s">
        <v>6034</v>
      </c>
    </row>
    <row r="616" spans="1:5">
      <c r="A616" s="4" t="s">
        <v>6064</v>
      </c>
      <c r="B616" s="4" t="s">
        <v>6095</v>
      </c>
      <c r="C616" s="4" t="s">
        <v>6069</v>
      </c>
      <c r="D616" s="4" t="s">
        <v>6033</v>
      </c>
      <c r="E616" s="4" t="s">
        <v>6034</v>
      </c>
    </row>
    <row r="617" spans="1:5">
      <c r="A617" s="4" t="s">
        <v>6064</v>
      </c>
      <c r="B617" s="4" t="s">
        <v>6095</v>
      </c>
      <c r="C617" s="4" t="s">
        <v>6070</v>
      </c>
      <c r="D617" s="4" t="s">
        <v>6033</v>
      </c>
      <c r="E617" s="4" t="s">
        <v>6034</v>
      </c>
    </row>
    <row r="618" spans="1:5">
      <c r="A618" s="4" t="s">
        <v>6064</v>
      </c>
      <c r="B618" s="4" t="s">
        <v>6095</v>
      </c>
      <c r="C618" s="4" t="s">
        <v>6071</v>
      </c>
      <c r="D618" s="4" t="s">
        <v>6033</v>
      </c>
      <c r="E618" s="4" t="s">
        <v>6034</v>
      </c>
    </row>
    <row r="619" spans="1:5">
      <c r="A619" s="4" t="s">
        <v>6064</v>
      </c>
      <c r="B619" s="4" t="s">
        <v>6095</v>
      </c>
      <c r="C619" s="4" t="s">
        <v>6072</v>
      </c>
      <c r="D619" s="4" t="s">
        <v>6033</v>
      </c>
      <c r="E619" s="4" t="s">
        <v>6034</v>
      </c>
    </row>
    <row r="620" spans="1:5">
      <c r="A620" s="4" t="s">
        <v>6064</v>
      </c>
      <c r="B620" s="4" t="s">
        <v>6095</v>
      </c>
      <c r="C620" s="4" t="s">
        <v>6073</v>
      </c>
      <c r="D620" s="4" t="s">
        <v>6033</v>
      </c>
      <c r="E620" s="4" t="s">
        <v>6034</v>
      </c>
    </row>
    <row r="621" spans="1:5">
      <c r="A621" s="4" t="s">
        <v>6064</v>
      </c>
      <c r="B621" s="4" t="s">
        <v>6095</v>
      </c>
      <c r="C621" s="4" t="s">
        <v>6074</v>
      </c>
      <c r="D621" s="4" t="s">
        <v>6033</v>
      </c>
      <c r="E621" s="4" t="s">
        <v>6034</v>
      </c>
    </row>
    <row r="622" spans="1:5">
      <c r="A622" s="4" t="s">
        <v>6064</v>
      </c>
      <c r="B622" s="4" t="s">
        <v>6095</v>
      </c>
      <c r="C622" s="4" t="s">
        <v>6075</v>
      </c>
      <c r="D622" s="4" t="s">
        <v>6033</v>
      </c>
      <c r="E622" s="4" t="s">
        <v>6034</v>
      </c>
    </row>
    <row r="623" spans="1:5">
      <c r="A623" s="4" t="s">
        <v>6064</v>
      </c>
      <c r="B623" s="4" t="s">
        <v>6095</v>
      </c>
      <c r="C623" s="4" t="s">
        <v>6076</v>
      </c>
      <c r="D623" s="4" t="s">
        <v>6033</v>
      </c>
      <c r="E623" s="4" t="s">
        <v>6034</v>
      </c>
    </row>
    <row r="624" spans="1:5">
      <c r="A624" s="4" t="s">
        <v>6064</v>
      </c>
      <c r="B624" s="4" t="s">
        <v>6095</v>
      </c>
      <c r="C624" s="4" t="s">
        <v>6077</v>
      </c>
      <c r="D624" s="4" t="s">
        <v>6033</v>
      </c>
      <c r="E624" s="4" t="s">
        <v>6034</v>
      </c>
    </row>
    <row r="625" spans="1:5">
      <c r="A625" s="4" t="s">
        <v>6064</v>
      </c>
      <c r="B625" s="4" t="s">
        <v>6095</v>
      </c>
      <c r="C625" s="4" t="s">
        <v>6078</v>
      </c>
      <c r="D625" s="4" t="s">
        <v>6033</v>
      </c>
      <c r="E625" s="4" t="s">
        <v>6034</v>
      </c>
    </row>
    <row r="626" spans="1:5">
      <c r="A626" s="4" t="s">
        <v>6064</v>
      </c>
      <c r="B626" s="4" t="s">
        <v>6095</v>
      </c>
      <c r="C626" s="4" t="s">
        <v>6079</v>
      </c>
      <c r="D626" s="4" t="s">
        <v>6033</v>
      </c>
      <c r="E626" s="4" t="s">
        <v>6034</v>
      </c>
    </row>
    <row r="627" spans="1:5">
      <c r="A627" s="4" t="s">
        <v>6064</v>
      </c>
      <c r="B627" s="4" t="s">
        <v>6095</v>
      </c>
      <c r="C627" s="4" t="s">
        <v>6080</v>
      </c>
      <c r="D627" s="4" t="s">
        <v>6033</v>
      </c>
      <c r="E627" s="4" t="s">
        <v>6034</v>
      </c>
    </row>
    <row r="628" spans="1:5">
      <c r="A628" s="4" t="s">
        <v>6064</v>
      </c>
      <c r="B628" s="4" t="s">
        <v>6095</v>
      </c>
      <c r="C628" s="4" t="s">
        <v>6081</v>
      </c>
      <c r="D628" s="4" t="s">
        <v>6033</v>
      </c>
      <c r="E628" s="4" t="s">
        <v>6034</v>
      </c>
    </row>
    <row r="629" spans="1:5">
      <c r="A629" s="4" t="s">
        <v>6064</v>
      </c>
      <c r="B629" s="4" t="s">
        <v>6095</v>
      </c>
      <c r="C629" s="4" t="s">
        <v>6082</v>
      </c>
      <c r="D629" s="4" t="s">
        <v>6033</v>
      </c>
      <c r="E629" s="4" t="s">
        <v>6034</v>
      </c>
    </row>
    <row r="630" spans="1:5">
      <c r="A630" s="4" t="s">
        <v>6064</v>
      </c>
      <c r="B630" s="4" t="s">
        <v>6095</v>
      </c>
      <c r="C630" s="4" t="s">
        <v>6083</v>
      </c>
      <c r="D630" s="4" t="s">
        <v>6033</v>
      </c>
      <c r="E630" s="4" t="s">
        <v>6034</v>
      </c>
    </row>
    <row r="631" spans="1:5">
      <c r="A631" s="4" t="s">
        <v>6064</v>
      </c>
      <c r="B631" s="4" t="s">
        <v>6095</v>
      </c>
      <c r="C631" s="4" t="s">
        <v>6084</v>
      </c>
      <c r="D631" s="4" t="s">
        <v>6033</v>
      </c>
      <c r="E631" s="4" t="s">
        <v>6034</v>
      </c>
    </row>
    <row r="632" spans="1:5">
      <c r="A632" s="4" t="s">
        <v>6064</v>
      </c>
      <c r="B632" s="4" t="s">
        <v>6095</v>
      </c>
      <c r="C632" s="4" t="s">
        <v>6085</v>
      </c>
      <c r="D632" s="4" t="s">
        <v>6033</v>
      </c>
      <c r="E632" s="4" t="s">
        <v>6034</v>
      </c>
    </row>
    <row r="633" spans="1:5">
      <c r="A633" s="4" t="s">
        <v>6064</v>
      </c>
      <c r="B633" s="4" t="s">
        <v>6095</v>
      </c>
      <c r="C633" s="4" t="s">
        <v>6086</v>
      </c>
      <c r="D633" s="4" t="s">
        <v>6033</v>
      </c>
      <c r="E633" s="4" t="s">
        <v>6034</v>
      </c>
    </row>
    <row r="634" spans="1:5">
      <c r="A634" s="4" t="s">
        <v>6064</v>
      </c>
      <c r="B634" s="4" t="s">
        <v>6095</v>
      </c>
      <c r="C634" s="4" t="s">
        <v>6087</v>
      </c>
      <c r="D634" s="4" t="s">
        <v>6033</v>
      </c>
      <c r="E634" s="4" t="s">
        <v>6034</v>
      </c>
    </row>
    <row r="635" spans="1:5">
      <c r="A635" s="4" t="s">
        <v>6064</v>
      </c>
      <c r="B635" s="4" t="s">
        <v>6095</v>
      </c>
      <c r="C635" s="4" t="s">
        <v>6088</v>
      </c>
      <c r="D635" s="4" t="s">
        <v>6033</v>
      </c>
      <c r="E635" s="4" t="s">
        <v>6034</v>
      </c>
    </row>
    <row r="636" spans="1:5">
      <c r="A636" s="4" t="s">
        <v>6064</v>
      </c>
      <c r="B636" s="4" t="s">
        <v>6095</v>
      </c>
      <c r="C636" s="4" t="s">
        <v>6089</v>
      </c>
      <c r="D636" s="4" t="s">
        <v>6033</v>
      </c>
      <c r="E636" s="4" t="s">
        <v>6034</v>
      </c>
    </row>
    <row r="637" spans="1:5">
      <c r="A637" s="4" t="s">
        <v>6064</v>
      </c>
      <c r="B637" s="4" t="s">
        <v>6095</v>
      </c>
      <c r="C637" s="4" t="s">
        <v>6090</v>
      </c>
      <c r="D637" s="4" t="s">
        <v>6033</v>
      </c>
      <c r="E637" s="4" t="s">
        <v>6034</v>
      </c>
    </row>
    <row r="638" spans="1:5">
      <c r="A638" s="4" t="s">
        <v>6064</v>
      </c>
      <c r="B638" s="4" t="s">
        <v>6095</v>
      </c>
      <c r="C638" s="4" t="s">
        <v>6091</v>
      </c>
      <c r="D638" s="4" t="s">
        <v>6033</v>
      </c>
      <c r="E638" s="4" t="s">
        <v>6034</v>
      </c>
    </row>
    <row r="639" spans="1:5">
      <c r="A639" s="4" t="s">
        <v>6064</v>
      </c>
      <c r="B639" s="4" t="s">
        <v>6095</v>
      </c>
      <c r="C639" s="4" t="s">
        <v>6092</v>
      </c>
      <c r="D639" s="4" t="s">
        <v>6033</v>
      </c>
      <c r="E639" s="4" t="s">
        <v>6034</v>
      </c>
    </row>
    <row r="640" spans="1:5">
      <c r="A640" s="4" t="s">
        <v>6064</v>
      </c>
      <c r="B640" s="4" t="s">
        <v>6095</v>
      </c>
      <c r="C640" s="4" t="s">
        <v>6093</v>
      </c>
      <c r="D640" s="4" t="s">
        <v>6033</v>
      </c>
      <c r="E640" s="4" t="s">
        <v>6034</v>
      </c>
    </row>
    <row r="641" spans="1:5">
      <c r="A641" s="4" t="s">
        <v>6064</v>
      </c>
      <c r="B641" s="4" t="s">
        <v>6095</v>
      </c>
      <c r="C641" s="4" t="s">
        <v>6094</v>
      </c>
      <c r="D641" s="4" t="s">
        <v>6033</v>
      </c>
      <c r="E641" s="4" t="s">
        <v>6034</v>
      </c>
    </row>
    <row r="642" spans="1:5">
      <c r="A642" s="4" t="s">
        <v>6064</v>
      </c>
      <c r="B642" s="4" t="s">
        <v>6096</v>
      </c>
      <c r="C642" s="4" t="s">
        <v>6066</v>
      </c>
      <c r="D642" s="4" t="s">
        <v>6033</v>
      </c>
      <c r="E642" s="4" t="s">
        <v>6034</v>
      </c>
    </row>
    <row r="643" spans="1:5">
      <c r="A643" s="4" t="s">
        <v>6064</v>
      </c>
      <c r="B643" s="4" t="s">
        <v>6096</v>
      </c>
      <c r="C643" s="4" t="s">
        <v>6065</v>
      </c>
      <c r="D643" s="4" t="s">
        <v>6033</v>
      </c>
      <c r="E643" s="4" t="s">
        <v>6034</v>
      </c>
    </row>
    <row r="644" spans="1:5">
      <c r="A644" s="4" t="s">
        <v>6064</v>
      </c>
      <c r="B644" s="4" t="s">
        <v>6096</v>
      </c>
      <c r="C644" s="4" t="s">
        <v>6067</v>
      </c>
      <c r="D644" s="4" t="s">
        <v>6033</v>
      </c>
      <c r="E644" s="4" t="s">
        <v>6034</v>
      </c>
    </row>
    <row r="645" spans="1:5">
      <c r="A645" s="4" t="s">
        <v>6064</v>
      </c>
      <c r="B645" s="4" t="s">
        <v>6096</v>
      </c>
      <c r="C645" s="4" t="s">
        <v>6068</v>
      </c>
      <c r="D645" s="4" t="s">
        <v>6033</v>
      </c>
      <c r="E645" s="4" t="s">
        <v>6034</v>
      </c>
    </row>
    <row r="646" spans="1:5">
      <c r="A646" s="4" t="s">
        <v>6064</v>
      </c>
      <c r="B646" s="4" t="s">
        <v>6096</v>
      </c>
      <c r="C646" s="4" t="s">
        <v>6069</v>
      </c>
      <c r="D646" s="4" t="s">
        <v>6033</v>
      </c>
      <c r="E646" s="4" t="s">
        <v>6034</v>
      </c>
    </row>
    <row r="647" spans="1:5">
      <c r="A647" s="4" t="s">
        <v>6064</v>
      </c>
      <c r="B647" s="4" t="s">
        <v>6096</v>
      </c>
      <c r="C647" s="4" t="s">
        <v>6070</v>
      </c>
      <c r="D647" s="4" t="s">
        <v>6033</v>
      </c>
      <c r="E647" s="4" t="s">
        <v>6034</v>
      </c>
    </row>
    <row r="648" spans="1:5">
      <c r="A648" s="4" t="s">
        <v>6064</v>
      </c>
      <c r="B648" s="4" t="s">
        <v>6096</v>
      </c>
      <c r="C648" s="4" t="s">
        <v>6071</v>
      </c>
      <c r="D648" s="4" t="s">
        <v>6033</v>
      </c>
      <c r="E648" s="4" t="s">
        <v>6034</v>
      </c>
    </row>
    <row r="649" spans="1:5">
      <c r="A649" s="4" t="s">
        <v>6064</v>
      </c>
      <c r="B649" s="4" t="s">
        <v>6096</v>
      </c>
      <c r="C649" s="4" t="s">
        <v>6072</v>
      </c>
      <c r="D649" s="4" t="s">
        <v>6033</v>
      </c>
      <c r="E649" s="4" t="s">
        <v>6034</v>
      </c>
    </row>
    <row r="650" spans="1:5">
      <c r="A650" s="4" t="s">
        <v>6064</v>
      </c>
      <c r="B650" s="4" t="s">
        <v>6096</v>
      </c>
      <c r="C650" s="4" t="s">
        <v>6073</v>
      </c>
      <c r="D650" s="4" t="s">
        <v>6033</v>
      </c>
      <c r="E650" s="4" t="s">
        <v>6034</v>
      </c>
    </row>
    <row r="651" spans="1:5">
      <c r="A651" s="4" t="s">
        <v>6064</v>
      </c>
      <c r="B651" s="4" t="s">
        <v>6096</v>
      </c>
      <c r="C651" s="4" t="s">
        <v>6074</v>
      </c>
      <c r="D651" s="4" t="s">
        <v>6033</v>
      </c>
      <c r="E651" s="4" t="s">
        <v>6034</v>
      </c>
    </row>
    <row r="652" spans="1:5">
      <c r="A652" s="4" t="s">
        <v>6064</v>
      </c>
      <c r="B652" s="4" t="s">
        <v>6096</v>
      </c>
      <c r="C652" s="4" t="s">
        <v>6075</v>
      </c>
      <c r="D652" s="4" t="s">
        <v>6033</v>
      </c>
      <c r="E652" s="4" t="s">
        <v>6034</v>
      </c>
    </row>
    <row r="653" spans="1:5">
      <c r="A653" s="4" t="s">
        <v>6064</v>
      </c>
      <c r="B653" s="4" t="s">
        <v>6096</v>
      </c>
      <c r="C653" s="4" t="s">
        <v>6076</v>
      </c>
      <c r="D653" s="4" t="s">
        <v>6033</v>
      </c>
      <c r="E653" s="4" t="s">
        <v>6034</v>
      </c>
    </row>
    <row r="654" spans="1:5">
      <c r="A654" s="4" t="s">
        <v>6064</v>
      </c>
      <c r="B654" s="4" t="s">
        <v>6096</v>
      </c>
      <c r="C654" s="4" t="s">
        <v>6077</v>
      </c>
      <c r="D654" s="4" t="s">
        <v>6033</v>
      </c>
      <c r="E654" s="4" t="s">
        <v>6034</v>
      </c>
    </row>
    <row r="655" spans="1:5">
      <c r="A655" s="4" t="s">
        <v>6064</v>
      </c>
      <c r="B655" s="4" t="s">
        <v>6096</v>
      </c>
      <c r="C655" s="4" t="s">
        <v>6078</v>
      </c>
      <c r="D655" s="4" t="s">
        <v>6033</v>
      </c>
      <c r="E655" s="4" t="s">
        <v>6034</v>
      </c>
    </row>
    <row r="656" spans="1:5">
      <c r="A656" s="4" t="s">
        <v>6064</v>
      </c>
      <c r="B656" s="4" t="s">
        <v>6096</v>
      </c>
      <c r="C656" s="4" t="s">
        <v>6079</v>
      </c>
      <c r="D656" s="4" t="s">
        <v>6033</v>
      </c>
      <c r="E656" s="4" t="s">
        <v>6034</v>
      </c>
    </row>
    <row r="657" spans="1:5">
      <c r="A657" s="4" t="s">
        <v>6064</v>
      </c>
      <c r="B657" s="4" t="s">
        <v>6096</v>
      </c>
      <c r="C657" s="4" t="s">
        <v>6080</v>
      </c>
      <c r="D657" s="4" t="s">
        <v>6033</v>
      </c>
      <c r="E657" s="4" t="s">
        <v>6034</v>
      </c>
    </row>
    <row r="658" spans="1:5">
      <c r="A658" s="4" t="s">
        <v>6064</v>
      </c>
      <c r="B658" s="4" t="s">
        <v>6096</v>
      </c>
      <c r="C658" s="4" t="s">
        <v>6081</v>
      </c>
      <c r="D658" s="4" t="s">
        <v>6033</v>
      </c>
      <c r="E658" s="4" t="s">
        <v>6034</v>
      </c>
    </row>
    <row r="659" spans="1:5">
      <c r="A659" s="4" t="s">
        <v>6064</v>
      </c>
      <c r="B659" s="4" t="s">
        <v>6096</v>
      </c>
      <c r="C659" s="4" t="s">
        <v>6082</v>
      </c>
      <c r="D659" s="4" t="s">
        <v>6033</v>
      </c>
      <c r="E659" s="4" t="s">
        <v>6034</v>
      </c>
    </row>
    <row r="660" spans="1:5">
      <c r="A660" s="4" t="s">
        <v>6064</v>
      </c>
      <c r="B660" s="4" t="s">
        <v>6096</v>
      </c>
      <c r="C660" s="4" t="s">
        <v>6083</v>
      </c>
      <c r="D660" s="4" t="s">
        <v>6033</v>
      </c>
      <c r="E660" s="4" t="s">
        <v>6034</v>
      </c>
    </row>
    <row r="661" spans="1:5">
      <c r="A661" s="4" t="s">
        <v>6064</v>
      </c>
      <c r="B661" s="4" t="s">
        <v>6096</v>
      </c>
      <c r="C661" s="4" t="s">
        <v>6084</v>
      </c>
      <c r="D661" s="4" t="s">
        <v>6033</v>
      </c>
      <c r="E661" s="4" t="s">
        <v>6034</v>
      </c>
    </row>
    <row r="662" spans="1:5">
      <c r="A662" s="4" t="s">
        <v>6064</v>
      </c>
      <c r="B662" s="4" t="s">
        <v>6096</v>
      </c>
      <c r="C662" s="4" t="s">
        <v>6085</v>
      </c>
      <c r="D662" s="4" t="s">
        <v>6033</v>
      </c>
      <c r="E662" s="4" t="s">
        <v>6034</v>
      </c>
    </row>
    <row r="663" spans="1:5">
      <c r="A663" s="4" t="s">
        <v>6064</v>
      </c>
      <c r="B663" s="4" t="s">
        <v>6096</v>
      </c>
      <c r="C663" s="4" t="s">
        <v>6086</v>
      </c>
      <c r="D663" s="4" t="s">
        <v>6033</v>
      </c>
      <c r="E663" s="4" t="s">
        <v>6034</v>
      </c>
    </row>
    <row r="664" spans="1:5">
      <c r="A664" s="4" t="s">
        <v>6064</v>
      </c>
      <c r="B664" s="4" t="s">
        <v>6096</v>
      </c>
      <c r="C664" s="4" t="s">
        <v>6087</v>
      </c>
      <c r="D664" s="4" t="s">
        <v>6033</v>
      </c>
      <c r="E664" s="4" t="s">
        <v>6034</v>
      </c>
    </row>
    <row r="665" spans="1:5">
      <c r="A665" s="4" t="s">
        <v>6064</v>
      </c>
      <c r="B665" s="4" t="s">
        <v>6096</v>
      </c>
      <c r="C665" s="4" t="s">
        <v>6088</v>
      </c>
      <c r="D665" s="4" t="s">
        <v>6033</v>
      </c>
      <c r="E665" s="4" t="s">
        <v>6034</v>
      </c>
    </row>
    <row r="666" spans="1:5">
      <c r="A666" s="4" t="s">
        <v>6064</v>
      </c>
      <c r="B666" s="4" t="s">
        <v>6096</v>
      </c>
      <c r="C666" s="4" t="s">
        <v>6089</v>
      </c>
      <c r="D666" s="4" t="s">
        <v>6033</v>
      </c>
      <c r="E666" s="4" t="s">
        <v>6034</v>
      </c>
    </row>
    <row r="667" spans="1:5">
      <c r="A667" s="4" t="s">
        <v>6064</v>
      </c>
      <c r="B667" s="4" t="s">
        <v>6096</v>
      </c>
      <c r="C667" s="4" t="s">
        <v>6090</v>
      </c>
      <c r="D667" s="4" t="s">
        <v>6033</v>
      </c>
      <c r="E667" s="4" t="s">
        <v>6034</v>
      </c>
    </row>
    <row r="668" spans="1:5">
      <c r="A668" s="4" t="s">
        <v>6064</v>
      </c>
      <c r="B668" s="4" t="s">
        <v>6096</v>
      </c>
      <c r="C668" s="4" t="s">
        <v>6091</v>
      </c>
      <c r="D668" s="4" t="s">
        <v>6033</v>
      </c>
      <c r="E668" s="4" t="s">
        <v>6034</v>
      </c>
    </row>
    <row r="669" spans="1:5">
      <c r="A669" s="4" t="s">
        <v>6064</v>
      </c>
      <c r="B669" s="4" t="s">
        <v>6096</v>
      </c>
      <c r="C669" s="4" t="s">
        <v>6092</v>
      </c>
      <c r="D669" s="4" t="s">
        <v>6033</v>
      </c>
      <c r="E669" s="4" t="s">
        <v>6034</v>
      </c>
    </row>
    <row r="670" spans="1:5">
      <c r="A670" s="4" t="s">
        <v>6064</v>
      </c>
      <c r="B670" s="4" t="s">
        <v>6096</v>
      </c>
      <c r="C670" s="4" t="s">
        <v>6093</v>
      </c>
      <c r="D670" s="4" t="s">
        <v>6033</v>
      </c>
      <c r="E670" s="4" t="s">
        <v>6034</v>
      </c>
    </row>
    <row r="671" spans="1:5">
      <c r="A671" s="4" t="s">
        <v>6064</v>
      </c>
      <c r="B671" s="4" t="s">
        <v>6096</v>
      </c>
      <c r="C671" s="4" t="s">
        <v>6094</v>
      </c>
      <c r="D671" s="4" t="s">
        <v>6033</v>
      </c>
      <c r="E671" s="4" t="s">
        <v>6034</v>
      </c>
    </row>
    <row r="672" spans="1:5">
      <c r="A672" s="4" t="s">
        <v>6064</v>
      </c>
      <c r="B672" s="4" t="s">
        <v>6096</v>
      </c>
      <c r="C672" s="4" t="s">
        <v>6095</v>
      </c>
      <c r="D672" s="4" t="s">
        <v>6033</v>
      </c>
      <c r="E672" s="4" t="s">
        <v>6034</v>
      </c>
    </row>
    <row r="673" spans="1:5">
      <c r="A673" s="4" t="s">
        <v>6064</v>
      </c>
      <c r="B673" s="4" t="s">
        <v>6097</v>
      </c>
      <c r="C673" s="4" t="s">
        <v>6066</v>
      </c>
      <c r="D673" s="4" t="s">
        <v>6033</v>
      </c>
      <c r="E673" s="4" t="s">
        <v>6034</v>
      </c>
    </row>
    <row r="674" spans="1:5">
      <c r="A674" s="4" t="s">
        <v>6064</v>
      </c>
      <c r="B674" s="4" t="s">
        <v>6097</v>
      </c>
      <c r="C674" s="4" t="s">
        <v>6065</v>
      </c>
      <c r="D674" s="4" t="s">
        <v>6033</v>
      </c>
      <c r="E674" s="4" t="s">
        <v>6034</v>
      </c>
    </row>
    <row r="675" spans="1:5">
      <c r="A675" s="4" t="s">
        <v>6064</v>
      </c>
      <c r="B675" s="4" t="s">
        <v>6097</v>
      </c>
      <c r="C675" s="4" t="s">
        <v>6067</v>
      </c>
      <c r="D675" s="4" t="s">
        <v>6033</v>
      </c>
      <c r="E675" s="4" t="s">
        <v>6034</v>
      </c>
    </row>
    <row r="676" spans="1:5">
      <c r="A676" s="4" t="s">
        <v>6064</v>
      </c>
      <c r="B676" s="4" t="s">
        <v>6097</v>
      </c>
      <c r="C676" s="4" t="s">
        <v>6068</v>
      </c>
      <c r="D676" s="4" t="s">
        <v>6033</v>
      </c>
      <c r="E676" s="4" t="s">
        <v>6034</v>
      </c>
    </row>
    <row r="677" spans="1:5">
      <c r="A677" s="4" t="s">
        <v>6064</v>
      </c>
      <c r="B677" s="4" t="s">
        <v>6097</v>
      </c>
      <c r="C677" s="4" t="s">
        <v>6069</v>
      </c>
      <c r="D677" s="4" t="s">
        <v>6033</v>
      </c>
      <c r="E677" s="4" t="s">
        <v>6034</v>
      </c>
    </row>
    <row r="678" spans="1:5">
      <c r="A678" s="4" t="s">
        <v>6064</v>
      </c>
      <c r="B678" s="4" t="s">
        <v>6097</v>
      </c>
      <c r="C678" s="4" t="s">
        <v>6070</v>
      </c>
      <c r="D678" s="4" t="s">
        <v>6033</v>
      </c>
      <c r="E678" s="4" t="s">
        <v>6034</v>
      </c>
    </row>
    <row r="679" spans="1:5">
      <c r="A679" s="4" t="s">
        <v>6064</v>
      </c>
      <c r="B679" s="4" t="s">
        <v>6097</v>
      </c>
      <c r="C679" s="4" t="s">
        <v>6071</v>
      </c>
      <c r="D679" s="4" t="s">
        <v>6033</v>
      </c>
      <c r="E679" s="4" t="s">
        <v>6034</v>
      </c>
    </row>
    <row r="680" spans="1:5">
      <c r="A680" s="4" t="s">
        <v>6064</v>
      </c>
      <c r="B680" s="4" t="s">
        <v>6097</v>
      </c>
      <c r="C680" s="4" t="s">
        <v>6072</v>
      </c>
      <c r="D680" s="4" t="s">
        <v>6033</v>
      </c>
      <c r="E680" s="4" t="s">
        <v>6034</v>
      </c>
    </row>
    <row r="681" spans="1:5">
      <c r="A681" s="4" t="s">
        <v>6064</v>
      </c>
      <c r="B681" s="4" t="s">
        <v>6097</v>
      </c>
      <c r="C681" s="4" t="s">
        <v>6073</v>
      </c>
      <c r="D681" s="4" t="s">
        <v>6033</v>
      </c>
      <c r="E681" s="4" t="s">
        <v>6034</v>
      </c>
    </row>
    <row r="682" spans="1:5">
      <c r="A682" s="4" t="s">
        <v>6064</v>
      </c>
      <c r="B682" s="4" t="s">
        <v>6097</v>
      </c>
      <c r="C682" s="4" t="s">
        <v>6074</v>
      </c>
      <c r="D682" s="4" t="s">
        <v>6033</v>
      </c>
      <c r="E682" s="4" t="s">
        <v>6034</v>
      </c>
    </row>
    <row r="683" spans="1:5">
      <c r="A683" s="4" t="s">
        <v>6064</v>
      </c>
      <c r="B683" s="4" t="s">
        <v>6097</v>
      </c>
      <c r="C683" s="4" t="s">
        <v>6075</v>
      </c>
      <c r="D683" s="4" t="s">
        <v>6033</v>
      </c>
      <c r="E683" s="4" t="s">
        <v>6034</v>
      </c>
    </row>
    <row r="684" spans="1:5">
      <c r="A684" s="4" t="s">
        <v>6064</v>
      </c>
      <c r="B684" s="4" t="s">
        <v>6097</v>
      </c>
      <c r="C684" s="4" t="s">
        <v>6076</v>
      </c>
      <c r="D684" s="4" t="s">
        <v>6033</v>
      </c>
      <c r="E684" s="4" t="s">
        <v>6034</v>
      </c>
    </row>
    <row r="685" spans="1:5">
      <c r="A685" s="4" t="s">
        <v>6064</v>
      </c>
      <c r="B685" s="4" t="s">
        <v>6097</v>
      </c>
      <c r="C685" s="4" t="s">
        <v>6077</v>
      </c>
      <c r="D685" s="4" t="s">
        <v>6033</v>
      </c>
      <c r="E685" s="4" t="s">
        <v>6034</v>
      </c>
    </row>
    <row r="686" spans="1:5">
      <c r="A686" s="4" t="s">
        <v>6064</v>
      </c>
      <c r="B686" s="4" t="s">
        <v>6097</v>
      </c>
      <c r="C686" s="4" t="s">
        <v>6078</v>
      </c>
      <c r="D686" s="4" t="s">
        <v>6033</v>
      </c>
      <c r="E686" s="4" t="s">
        <v>6034</v>
      </c>
    </row>
    <row r="687" spans="1:5">
      <c r="A687" s="4" t="s">
        <v>6064</v>
      </c>
      <c r="B687" s="4" t="s">
        <v>6097</v>
      </c>
      <c r="C687" s="4" t="s">
        <v>6079</v>
      </c>
      <c r="D687" s="4" t="s">
        <v>6033</v>
      </c>
      <c r="E687" s="4" t="s">
        <v>6034</v>
      </c>
    </row>
    <row r="688" spans="1:5">
      <c r="A688" s="4" t="s">
        <v>6064</v>
      </c>
      <c r="B688" s="4" t="s">
        <v>6097</v>
      </c>
      <c r="C688" s="4" t="s">
        <v>6080</v>
      </c>
      <c r="D688" s="4" t="s">
        <v>6033</v>
      </c>
      <c r="E688" s="4" t="s">
        <v>6034</v>
      </c>
    </row>
    <row r="689" spans="1:5">
      <c r="A689" s="4" t="s">
        <v>6064</v>
      </c>
      <c r="B689" s="4" t="s">
        <v>6097</v>
      </c>
      <c r="C689" s="4" t="s">
        <v>6081</v>
      </c>
      <c r="D689" s="4" t="s">
        <v>6033</v>
      </c>
      <c r="E689" s="4" t="s">
        <v>6034</v>
      </c>
    </row>
    <row r="690" spans="1:5">
      <c r="A690" s="4" t="s">
        <v>6064</v>
      </c>
      <c r="B690" s="4" t="s">
        <v>6097</v>
      </c>
      <c r="C690" s="4" t="s">
        <v>6082</v>
      </c>
      <c r="D690" s="4" t="s">
        <v>6033</v>
      </c>
      <c r="E690" s="4" t="s">
        <v>6034</v>
      </c>
    </row>
    <row r="691" spans="1:5">
      <c r="A691" s="4" t="s">
        <v>6064</v>
      </c>
      <c r="B691" s="4" t="s">
        <v>6097</v>
      </c>
      <c r="C691" s="4" t="s">
        <v>6083</v>
      </c>
      <c r="D691" s="4" t="s">
        <v>6033</v>
      </c>
      <c r="E691" s="4" t="s">
        <v>6034</v>
      </c>
    </row>
    <row r="692" spans="1:5">
      <c r="A692" s="4" t="s">
        <v>6064</v>
      </c>
      <c r="B692" s="4" t="s">
        <v>6097</v>
      </c>
      <c r="C692" s="4" t="s">
        <v>6084</v>
      </c>
      <c r="D692" s="4" t="s">
        <v>6033</v>
      </c>
      <c r="E692" s="4" t="s">
        <v>6034</v>
      </c>
    </row>
    <row r="693" spans="1:5">
      <c r="A693" s="4" t="s">
        <v>6064</v>
      </c>
      <c r="B693" s="4" t="s">
        <v>6097</v>
      </c>
      <c r="C693" s="4" t="s">
        <v>6085</v>
      </c>
      <c r="D693" s="4" t="s">
        <v>6033</v>
      </c>
      <c r="E693" s="4" t="s">
        <v>6034</v>
      </c>
    </row>
    <row r="694" spans="1:5">
      <c r="A694" s="4" t="s">
        <v>6064</v>
      </c>
      <c r="B694" s="4" t="s">
        <v>6097</v>
      </c>
      <c r="C694" s="4" t="s">
        <v>6086</v>
      </c>
      <c r="D694" s="4" t="s">
        <v>6033</v>
      </c>
      <c r="E694" s="4" t="s">
        <v>6034</v>
      </c>
    </row>
    <row r="695" spans="1:5">
      <c r="A695" s="4" t="s">
        <v>6064</v>
      </c>
      <c r="B695" s="4" t="s">
        <v>6097</v>
      </c>
      <c r="C695" s="4" t="s">
        <v>6087</v>
      </c>
      <c r="D695" s="4" t="s">
        <v>6033</v>
      </c>
      <c r="E695" s="4" t="s">
        <v>6034</v>
      </c>
    </row>
    <row r="696" spans="1:5">
      <c r="A696" s="4" t="s">
        <v>6064</v>
      </c>
      <c r="B696" s="4" t="s">
        <v>6097</v>
      </c>
      <c r="C696" s="4" t="s">
        <v>6088</v>
      </c>
      <c r="D696" s="4" t="s">
        <v>6033</v>
      </c>
      <c r="E696" s="4" t="s">
        <v>6034</v>
      </c>
    </row>
    <row r="697" spans="1:5">
      <c r="A697" s="4" t="s">
        <v>6064</v>
      </c>
      <c r="B697" s="4" t="s">
        <v>6097</v>
      </c>
      <c r="C697" s="4" t="s">
        <v>6089</v>
      </c>
      <c r="D697" s="4" t="s">
        <v>6033</v>
      </c>
      <c r="E697" s="4" t="s">
        <v>6034</v>
      </c>
    </row>
    <row r="698" spans="1:5">
      <c r="A698" s="4" t="s">
        <v>6064</v>
      </c>
      <c r="B698" s="4" t="s">
        <v>6097</v>
      </c>
      <c r="C698" s="4" t="s">
        <v>6090</v>
      </c>
      <c r="D698" s="4" t="s">
        <v>6033</v>
      </c>
      <c r="E698" s="4" t="s">
        <v>6034</v>
      </c>
    </row>
    <row r="699" spans="1:5">
      <c r="A699" s="4" t="s">
        <v>6064</v>
      </c>
      <c r="B699" s="4" t="s">
        <v>6097</v>
      </c>
      <c r="C699" s="4" t="s">
        <v>6091</v>
      </c>
      <c r="D699" s="4" t="s">
        <v>6033</v>
      </c>
      <c r="E699" s="4" t="s">
        <v>6034</v>
      </c>
    </row>
    <row r="700" spans="1:5">
      <c r="A700" s="4" t="s">
        <v>6064</v>
      </c>
      <c r="B700" s="4" t="s">
        <v>6097</v>
      </c>
      <c r="C700" s="4" t="s">
        <v>6092</v>
      </c>
      <c r="D700" s="4" t="s">
        <v>6033</v>
      </c>
      <c r="E700" s="4" t="s">
        <v>6034</v>
      </c>
    </row>
    <row r="701" spans="1:5">
      <c r="A701" s="4" t="s">
        <v>6064</v>
      </c>
      <c r="B701" s="4" t="s">
        <v>6097</v>
      </c>
      <c r="C701" s="4" t="s">
        <v>6093</v>
      </c>
      <c r="D701" s="4" t="s">
        <v>6033</v>
      </c>
      <c r="E701" s="4" t="s">
        <v>6034</v>
      </c>
    </row>
    <row r="702" spans="1:5">
      <c r="A702" s="4" t="s">
        <v>6064</v>
      </c>
      <c r="B702" s="4" t="s">
        <v>6097</v>
      </c>
      <c r="C702" s="4" t="s">
        <v>6094</v>
      </c>
      <c r="D702" s="4" t="s">
        <v>6033</v>
      </c>
      <c r="E702" s="4" t="s">
        <v>6034</v>
      </c>
    </row>
    <row r="703" spans="1:5">
      <c r="A703" s="4" t="s">
        <v>6064</v>
      </c>
      <c r="B703" s="4" t="s">
        <v>6097</v>
      </c>
      <c r="C703" s="4" t="s">
        <v>6095</v>
      </c>
      <c r="D703" s="4" t="s">
        <v>6033</v>
      </c>
      <c r="E703" s="4" t="s">
        <v>6034</v>
      </c>
    </row>
    <row r="704" spans="1:5">
      <c r="A704" s="4" t="s">
        <v>6064</v>
      </c>
      <c r="B704" s="4" t="s">
        <v>6097</v>
      </c>
      <c r="C704" s="4" t="s">
        <v>6096</v>
      </c>
      <c r="D704" s="4" t="s">
        <v>6033</v>
      </c>
      <c r="E704" s="4" t="s">
        <v>6034</v>
      </c>
    </row>
    <row r="705" spans="1:5">
      <c r="A705" s="4" t="s">
        <v>6064</v>
      </c>
      <c r="B705" s="4" t="s">
        <v>6098</v>
      </c>
      <c r="C705" s="4" t="s">
        <v>6066</v>
      </c>
      <c r="D705" s="4" t="s">
        <v>6033</v>
      </c>
      <c r="E705" s="4" t="s">
        <v>6034</v>
      </c>
    </row>
    <row r="706" spans="1:5">
      <c r="A706" s="4" t="s">
        <v>6064</v>
      </c>
      <c r="B706" s="4" t="s">
        <v>6098</v>
      </c>
      <c r="C706" s="4" t="s">
        <v>6065</v>
      </c>
      <c r="D706" s="4" t="s">
        <v>6033</v>
      </c>
      <c r="E706" s="4" t="s">
        <v>6034</v>
      </c>
    </row>
    <row r="707" spans="1:5">
      <c r="A707" s="4" t="s">
        <v>6064</v>
      </c>
      <c r="B707" s="4" t="s">
        <v>6098</v>
      </c>
      <c r="C707" s="4" t="s">
        <v>6067</v>
      </c>
      <c r="D707" s="4" t="s">
        <v>6033</v>
      </c>
      <c r="E707" s="4" t="s">
        <v>6034</v>
      </c>
    </row>
    <row r="708" spans="1:5">
      <c r="A708" s="4" t="s">
        <v>6064</v>
      </c>
      <c r="B708" s="4" t="s">
        <v>6098</v>
      </c>
      <c r="C708" s="4" t="s">
        <v>6068</v>
      </c>
      <c r="D708" s="4" t="s">
        <v>6033</v>
      </c>
      <c r="E708" s="4" t="s">
        <v>6034</v>
      </c>
    </row>
    <row r="709" spans="1:5">
      <c r="A709" s="4" t="s">
        <v>6064</v>
      </c>
      <c r="B709" s="4" t="s">
        <v>6098</v>
      </c>
      <c r="C709" s="4" t="s">
        <v>6069</v>
      </c>
      <c r="D709" s="4" t="s">
        <v>6033</v>
      </c>
      <c r="E709" s="4" t="s">
        <v>6034</v>
      </c>
    </row>
    <row r="710" spans="1:5">
      <c r="A710" s="4" t="s">
        <v>6064</v>
      </c>
      <c r="B710" s="4" t="s">
        <v>6098</v>
      </c>
      <c r="C710" s="4" t="s">
        <v>6070</v>
      </c>
      <c r="D710" s="4" t="s">
        <v>6033</v>
      </c>
      <c r="E710" s="4" t="s">
        <v>6034</v>
      </c>
    </row>
    <row r="711" spans="1:5">
      <c r="A711" s="4" t="s">
        <v>6064</v>
      </c>
      <c r="B711" s="4" t="s">
        <v>6098</v>
      </c>
      <c r="C711" s="4" t="s">
        <v>6071</v>
      </c>
      <c r="D711" s="4" t="s">
        <v>6033</v>
      </c>
      <c r="E711" s="4" t="s">
        <v>6034</v>
      </c>
    </row>
    <row r="712" spans="1:5">
      <c r="A712" s="4" t="s">
        <v>6064</v>
      </c>
      <c r="B712" s="4" t="s">
        <v>6098</v>
      </c>
      <c r="C712" s="4" t="s">
        <v>6072</v>
      </c>
      <c r="D712" s="4" t="s">
        <v>6033</v>
      </c>
      <c r="E712" s="4" t="s">
        <v>6034</v>
      </c>
    </row>
    <row r="713" spans="1:5">
      <c r="A713" s="4" t="s">
        <v>6064</v>
      </c>
      <c r="B713" s="4" t="s">
        <v>6098</v>
      </c>
      <c r="C713" s="4" t="s">
        <v>6073</v>
      </c>
      <c r="D713" s="4" t="s">
        <v>6033</v>
      </c>
      <c r="E713" s="4" t="s">
        <v>6034</v>
      </c>
    </row>
    <row r="714" spans="1:5">
      <c r="A714" s="4" t="s">
        <v>6064</v>
      </c>
      <c r="B714" s="4" t="s">
        <v>6098</v>
      </c>
      <c r="C714" s="4" t="s">
        <v>6074</v>
      </c>
      <c r="D714" s="4" t="s">
        <v>6033</v>
      </c>
      <c r="E714" s="4" t="s">
        <v>6034</v>
      </c>
    </row>
    <row r="715" spans="1:5">
      <c r="A715" s="4" t="s">
        <v>6064</v>
      </c>
      <c r="B715" s="4" t="s">
        <v>6098</v>
      </c>
      <c r="C715" s="4" t="s">
        <v>6075</v>
      </c>
      <c r="D715" s="4" t="s">
        <v>6033</v>
      </c>
      <c r="E715" s="4" t="s">
        <v>6034</v>
      </c>
    </row>
    <row r="716" spans="1:5">
      <c r="A716" s="4" t="s">
        <v>6064</v>
      </c>
      <c r="B716" s="4" t="s">
        <v>6098</v>
      </c>
      <c r="C716" s="4" t="s">
        <v>6076</v>
      </c>
      <c r="D716" s="4" t="s">
        <v>6033</v>
      </c>
      <c r="E716" s="4" t="s">
        <v>6034</v>
      </c>
    </row>
    <row r="717" spans="1:5">
      <c r="A717" s="4" t="s">
        <v>6064</v>
      </c>
      <c r="B717" s="4" t="s">
        <v>6098</v>
      </c>
      <c r="C717" s="4" t="s">
        <v>6077</v>
      </c>
      <c r="D717" s="4" t="s">
        <v>6033</v>
      </c>
      <c r="E717" s="4" t="s">
        <v>6034</v>
      </c>
    </row>
    <row r="718" spans="1:5">
      <c r="A718" s="4" t="s">
        <v>6064</v>
      </c>
      <c r="B718" s="4" t="s">
        <v>6098</v>
      </c>
      <c r="C718" s="4" t="s">
        <v>6078</v>
      </c>
      <c r="D718" s="4" t="s">
        <v>6033</v>
      </c>
      <c r="E718" s="4" t="s">
        <v>6034</v>
      </c>
    </row>
    <row r="719" spans="1:5">
      <c r="A719" s="4" t="s">
        <v>6064</v>
      </c>
      <c r="B719" s="4" t="s">
        <v>6098</v>
      </c>
      <c r="C719" s="4" t="s">
        <v>6079</v>
      </c>
      <c r="D719" s="4" t="s">
        <v>6033</v>
      </c>
      <c r="E719" s="4" t="s">
        <v>6034</v>
      </c>
    </row>
    <row r="720" spans="1:5">
      <c r="A720" s="4" t="s">
        <v>6064</v>
      </c>
      <c r="B720" s="4" t="s">
        <v>6098</v>
      </c>
      <c r="C720" s="4" t="s">
        <v>6080</v>
      </c>
      <c r="D720" s="4" t="s">
        <v>6033</v>
      </c>
      <c r="E720" s="4" t="s">
        <v>6034</v>
      </c>
    </row>
    <row r="721" spans="1:5">
      <c r="A721" s="4" t="s">
        <v>6064</v>
      </c>
      <c r="B721" s="4" t="s">
        <v>6098</v>
      </c>
      <c r="C721" s="4" t="s">
        <v>6081</v>
      </c>
      <c r="D721" s="4" t="s">
        <v>6033</v>
      </c>
      <c r="E721" s="4" t="s">
        <v>6034</v>
      </c>
    </row>
    <row r="722" spans="1:5">
      <c r="A722" s="4" t="s">
        <v>6064</v>
      </c>
      <c r="B722" s="4" t="s">
        <v>6098</v>
      </c>
      <c r="C722" s="4" t="s">
        <v>6082</v>
      </c>
      <c r="D722" s="4" t="s">
        <v>6033</v>
      </c>
      <c r="E722" s="4" t="s">
        <v>6034</v>
      </c>
    </row>
    <row r="723" spans="1:5">
      <c r="A723" s="4" t="s">
        <v>6064</v>
      </c>
      <c r="B723" s="4" t="s">
        <v>6098</v>
      </c>
      <c r="C723" s="4" t="s">
        <v>6083</v>
      </c>
      <c r="D723" s="4" t="s">
        <v>6033</v>
      </c>
      <c r="E723" s="4" t="s">
        <v>6034</v>
      </c>
    </row>
    <row r="724" spans="1:5">
      <c r="A724" s="4" t="s">
        <v>6064</v>
      </c>
      <c r="B724" s="4" t="s">
        <v>6098</v>
      </c>
      <c r="C724" s="4" t="s">
        <v>6084</v>
      </c>
      <c r="D724" s="4" t="s">
        <v>6033</v>
      </c>
      <c r="E724" s="4" t="s">
        <v>6034</v>
      </c>
    </row>
    <row r="725" spans="1:5">
      <c r="A725" s="4" t="s">
        <v>6064</v>
      </c>
      <c r="B725" s="4" t="s">
        <v>6098</v>
      </c>
      <c r="C725" s="4" t="s">
        <v>6085</v>
      </c>
      <c r="D725" s="4" t="s">
        <v>6033</v>
      </c>
      <c r="E725" s="4" t="s">
        <v>6034</v>
      </c>
    </row>
    <row r="726" spans="1:5">
      <c r="A726" s="4" t="s">
        <v>6064</v>
      </c>
      <c r="B726" s="4" t="s">
        <v>6098</v>
      </c>
      <c r="C726" s="4" t="s">
        <v>6086</v>
      </c>
      <c r="D726" s="4" t="s">
        <v>6033</v>
      </c>
      <c r="E726" s="4" t="s">
        <v>6034</v>
      </c>
    </row>
    <row r="727" spans="1:5">
      <c r="A727" s="4" t="s">
        <v>6064</v>
      </c>
      <c r="B727" s="4" t="s">
        <v>6098</v>
      </c>
      <c r="C727" s="4" t="s">
        <v>6087</v>
      </c>
      <c r="D727" s="4" t="s">
        <v>6033</v>
      </c>
      <c r="E727" s="4" t="s">
        <v>6034</v>
      </c>
    </row>
    <row r="728" spans="1:5">
      <c r="A728" s="4" t="s">
        <v>6064</v>
      </c>
      <c r="B728" s="4" t="s">
        <v>6098</v>
      </c>
      <c r="C728" s="4" t="s">
        <v>6088</v>
      </c>
      <c r="D728" s="4" t="s">
        <v>6033</v>
      </c>
      <c r="E728" s="4" t="s">
        <v>6034</v>
      </c>
    </row>
    <row r="729" spans="1:5">
      <c r="A729" s="4" t="s">
        <v>6064</v>
      </c>
      <c r="B729" s="4" t="s">
        <v>6098</v>
      </c>
      <c r="C729" s="4" t="s">
        <v>6089</v>
      </c>
      <c r="D729" s="4" t="s">
        <v>6033</v>
      </c>
      <c r="E729" s="4" t="s">
        <v>6034</v>
      </c>
    </row>
    <row r="730" spans="1:5">
      <c r="A730" s="4" t="s">
        <v>6064</v>
      </c>
      <c r="B730" s="4" t="s">
        <v>6098</v>
      </c>
      <c r="C730" s="4" t="s">
        <v>6090</v>
      </c>
      <c r="D730" s="4" t="s">
        <v>6033</v>
      </c>
      <c r="E730" s="4" t="s">
        <v>6034</v>
      </c>
    </row>
    <row r="731" spans="1:5">
      <c r="A731" s="4" t="s">
        <v>6064</v>
      </c>
      <c r="B731" s="4" t="s">
        <v>6098</v>
      </c>
      <c r="C731" s="4" t="s">
        <v>6091</v>
      </c>
      <c r="D731" s="4" t="s">
        <v>6033</v>
      </c>
      <c r="E731" s="4" t="s">
        <v>6034</v>
      </c>
    </row>
    <row r="732" spans="1:5">
      <c r="A732" s="4" t="s">
        <v>6064</v>
      </c>
      <c r="B732" s="4" t="s">
        <v>6098</v>
      </c>
      <c r="C732" s="4" t="s">
        <v>6092</v>
      </c>
      <c r="D732" s="4" t="s">
        <v>6033</v>
      </c>
      <c r="E732" s="4" t="s">
        <v>6034</v>
      </c>
    </row>
    <row r="733" spans="1:5">
      <c r="A733" s="4" t="s">
        <v>6064</v>
      </c>
      <c r="B733" s="4" t="s">
        <v>6098</v>
      </c>
      <c r="C733" s="4" t="s">
        <v>6093</v>
      </c>
      <c r="D733" s="4" t="s">
        <v>6033</v>
      </c>
      <c r="E733" s="4" t="s">
        <v>6034</v>
      </c>
    </row>
    <row r="734" spans="1:5">
      <c r="A734" s="4" t="s">
        <v>6064</v>
      </c>
      <c r="B734" s="4" t="s">
        <v>6098</v>
      </c>
      <c r="C734" s="4" t="s">
        <v>6094</v>
      </c>
      <c r="D734" s="4" t="s">
        <v>6033</v>
      </c>
      <c r="E734" s="4" t="s">
        <v>6034</v>
      </c>
    </row>
    <row r="735" spans="1:5">
      <c r="A735" s="4" t="s">
        <v>6064</v>
      </c>
      <c r="B735" s="4" t="s">
        <v>6098</v>
      </c>
      <c r="C735" s="4" t="s">
        <v>6095</v>
      </c>
      <c r="D735" s="4" t="s">
        <v>6033</v>
      </c>
      <c r="E735" s="4" t="s">
        <v>6034</v>
      </c>
    </row>
    <row r="736" spans="1:5">
      <c r="A736" s="4" t="s">
        <v>6064</v>
      </c>
      <c r="B736" s="4" t="s">
        <v>6098</v>
      </c>
      <c r="C736" s="4" t="s">
        <v>6096</v>
      </c>
      <c r="D736" s="4" t="s">
        <v>6033</v>
      </c>
      <c r="E736" s="4" t="s">
        <v>6034</v>
      </c>
    </row>
    <row r="737" spans="1:5">
      <c r="A737" s="4" t="s">
        <v>6064</v>
      </c>
      <c r="B737" s="4" t="s">
        <v>6098</v>
      </c>
      <c r="C737" s="4" t="s">
        <v>6097</v>
      </c>
      <c r="D737" s="4" t="s">
        <v>6033</v>
      </c>
      <c r="E737" s="4" t="s">
        <v>6034</v>
      </c>
    </row>
    <row r="738" spans="1:5">
      <c r="A738" s="4" t="s">
        <v>6064</v>
      </c>
      <c r="B738" s="4" t="s">
        <v>6099</v>
      </c>
      <c r="C738" s="4" t="s">
        <v>6066</v>
      </c>
      <c r="D738" s="4" t="s">
        <v>6033</v>
      </c>
      <c r="E738" s="4" t="s">
        <v>6034</v>
      </c>
    </row>
    <row r="739" spans="1:5">
      <c r="A739" s="4" t="s">
        <v>6064</v>
      </c>
      <c r="B739" s="4" t="s">
        <v>6099</v>
      </c>
      <c r="C739" s="4" t="s">
        <v>6065</v>
      </c>
      <c r="D739" s="4" t="s">
        <v>6033</v>
      </c>
      <c r="E739" s="4" t="s">
        <v>6034</v>
      </c>
    </row>
    <row r="740" spans="1:5">
      <c r="A740" s="4" t="s">
        <v>6064</v>
      </c>
      <c r="B740" s="4" t="s">
        <v>6099</v>
      </c>
      <c r="C740" s="4" t="s">
        <v>6067</v>
      </c>
      <c r="D740" s="4" t="s">
        <v>6033</v>
      </c>
      <c r="E740" s="4" t="s">
        <v>6034</v>
      </c>
    </row>
    <row r="741" spans="1:5">
      <c r="A741" s="4" t="s">
        <v>6064</v>
      </c>
      <c r="B741" s="4" t="s">
        <v>6099</v>
      </c>
      <c r="C741" s="4" t="s">
        <v>6068</v>
      </c>
      <c r="D741" s="4" t="s">
        <v>6033</v>
      </c>
      <c r="E741" s="4" t="s">
        <v>6034</v>
      </c>
    </row>
    <row r="742" spans="1:5">
      <c r="A742" s="4" t="s">
        <v>6064</v>
      </c>
      <c r="B742" s="4" t="s">
        <v>6099</v>
      </c>
      <c r="C742" s="4" t="s">
        <v>6069</v>
      </c>
      <c r="D742" s="4" t="s">
        <v>6033</v>
      </c>
      <c r="E742" s="4" t="s">
        <v>6034</v>
      </c>
    </row>
    <row r="743" spans="1:5">
      <c r="A743" s="4" t="s">
        <v>6064</v>
      </c>
      <c r="B743" s="4" t="s">
        <v>6099</v>
      </c>
      <c r="C743" s="4" t="s">
        <v>6070</v>
      </c>
      <c r="D743" s="4" t="s">
        <v>6033</v>
      </c>
      <c r="E743" s="4" t="s">
        <v>6034</v>
      </c>
    </row>
    <row r="744" spans="1:5">
      <c r="A744" s="4" t="s">
        <v>6064</v>
      </c>
      <c r="B744" s="4" t="s">
        <v>6099</v>
      </c>
      <c r="C744" s="4" t="s">
        <v>6071</v>
      </c>
      <c r="D744" s="4" t="s">
        <v>6033</v>
      </c>
      <c r="E744" s="4" t="s">
        <v>6034</v>
      </c>
    </row>
    <row r="745" spans="1:5">
      <c r="A745" s="4" t="s">
        <v>6064</v>
      </c>
      <c r="B745" s="4" t="s">
        <v>6099</v>
      </c>
      <c r="C745" s="4" t="s">
        <v>6072</v>
      </c>
      <c r="D745" s="4" t="s">
        <v>6033</v>
      </c>
      <c r="E745" s="4" t="s">
        <v>6034</v>
      </c>
    </row>
    <row r="746" spans="1:5">
      <c r="A746" s="4" t="s">
        <v>6064</v>
      </c>
      <c r="B746" s="4" t="s">
        <v>6099</v>
      </c>
      <c r="C746" s="4" t="s">
        <v>6073</v>
      </c>
      <c r="D746" s="4" t="s">
        <v>6033</v>
      </c>
      <c r="E746" s="4" t="s">
        <v>6034</v>
      </c>
    </row>
    <row r="747" spans="1:5">
      <c r="A747" s="4" t="s">
        <v>6064</v>
      </c>
      <c r="B747" s="4" t="s">
        <v>6099</v>
      </c>
      <c r="C747" s="4" t="s">
        <v>6074</v>
      </c>
      <c r="D747" s="4" t="s">
        <v>6033</v>
      </c>
      <c r="E747" s="4" t="s">
        <v>6034</v>
      </c>
    </row>
    <row r="748" spans="1:5">
      <c r="A748" s="4" t="s">
        <v>6064</v>
      </c>
      <c r="B748" s="4" t="s">
        <v>6099</v>
      </c>
      <c r="C748" s="4" t="s">
        <v>6075</v>
      </c>
      <c r="D748" s="4" t="s">
        <v>6033</v>
      </c>
      <c r="E748" s="4" t="s">
        <v>6034</v>
      </c>
    </row>
    <row r="749" spans="1:5">
      <c r="A749" s="4" t="s">
        <v>6064</v>
      </c>
      <c r="B749" s="4" t="s">
        <v>6099</v>
      </c>
      <c r="C749" s="4" t="s">
        <v>6076</v>
      </c>
      <c r="D749" s="4" t="s">
        <v>6033</v>
      </c>
      <c r="E749" s="4" t="s">
        <v>6034</v>
      </c>
    </row>
    <row r="750" spans="1:5">
      <c r="A750" s="4" t="s">
        <v>6064</v>
      </c>
      <c r="B750" s="4" t="s">
        <v>6099</v>
      </c>
      <c r="C750" s="4" t="s">
        <v>6077</v>
      </c>
      <c r="D750" s="4" t="s">
        <v>6033</v>
      </c>
      <c r="E750" s="4" t="s">
        <v>6034</v>
      </c>
    </row>
    <row r="751" spans="1:5">
      <c r="A751" s="4" t="s">
        <v>6064</v>
      </c>
      <c r="B751" s="4" t="s">
        <v>6099</v>
      </c>
      <c r="C751" s="4" t="s">
        <v>6078</v>
      </c>
      <c r="D751" s="4" t="s">
        <v>6033</v>
      </c>
      <c r="E751" s="4" t="s">
        <v>6034</v>
      </c>
    </row>
    <row r="752" spans="1:5">
      <c r="A752" s="4" t="s">
        <v>6064</v>
      </c>
      <c r="B752" s="4" t="s">
        <v>6099</v>
      </c>
      <c r="C752" s="4" t="s">
        <v>6079</v>
      </c>
      <c r="D752" s="4" t="s">
        <v>6033</v>
      </c>
      <c r="E752" s="4" t="s">
        <v>6034</v>
      </c>
    </row>
    <row r="753" spans="1:5">
      <c r="A753" s="4" t="s">
        <v>6064</v>
      </c>
      <c r="B753" s="4" t="s">
        <v>6099</v>
      </c>
      <c r="C753" s="4" t="s">
        <v>6080</v>
      </c>
      <c r="D753" s="4" t="s">
        <v>6033</v>
      </c>
      <c r="E753" s="4" t="s">
        <v>6034</v>
      </c>
    </row>
    <row r="754" spans="1:5">
      <c r="A754" s="4" t="s">
        <v>6064</v>
      </c>
      <c r="B754" s="4" t="s">
        <v>6099</v>
      </c>
      <c r="C754" s="4" t="s">
        <v>6081</v>
      </c>
      <c r="D754" s="4" t="s">
        <v>6033</v>
      </c>
      <c r="E754" s="4" t="s">
        <v>6034</v>
      </c>
    </row>
    <row r="755" spans="1:5">
      <c r="A755" s="4" t="s">
        <v>6064</v>
      </c>
      <c r="B755" s="4" t="s">
        <v>6099</v>
      </c>
      <c r="C755" s="4" t="s">
        <v>6082</v>
      </c>
      <c r="D755" s="4" t="s">
        <v>6033</v>
      </c>
      <c r="E755" s="4" t="s">
        <v>6034</v>
      </c>
    </row>
    <row r="756" spans="1:5">
      <c r="A756" s="4" t="s">
        <v>6064</v>
      </c>
      <c r="B756" s="4" t="s">
        <v>6099</v>
      </c>
      <c r="C756" s="4" t="s">
        <v>6083</v>
      </c>
      <c r="D756" s="4" t="s">
        <v>6033</v>
      </c>
      <c r="E756" s="4" t="s">
        <v>6034</v>
      </c>
    </row>
    <row r="757" spans="1:5">
      <c r="A757" s="4" t="s">
        <v>6064</v>
      </c>
      <c r="B757" s="4" t="s">
        <v>6099</v>
      </c>
      <c r="C757" s="4" t="s">
        <v>6084</v>
      </c>
      <c r="D757" s="4" t="s">
        <v>6033</v>
      </c>
      <c r="E757" s="4" t="s">
        <v>6034</v>
      </c>
    </row>
    <row r="758" spans="1:5">
      <c r="A758" s="4" t="s">
        <v>6064</v>
      </c>
      <c r="B758" s="4" t="s">
        <v>6099</v>
      </c>
      <c r="C758" s="4" t="s">
        <v>6085</v>
      </c>
      <c r="D758" s="4" t="s">
        <v>6033</v>
      </c>
      <c r="E758" s="4" t="s">
        <v>6034</v>
      </c>
    </row>
    <row r="759" spans="1:5">
      <c r="A759" s="4" t="s">
        <v>6064</v>
      </c>
      <c r="B759" s="4" t="s">
        <v>6099</v>
      </c>
      <c r="C759" s="4" t="s">
        <v>6086</v>
      </c>
      <c r="D759" s="4" t="s">
        <v>6033</v>
      </c>
      <c r="E759" s="4" t="s">
        <v>6034</v>
      </c>
    </row>
    <row r="760" spans="1:5">
      <c r="A760" s="4" t="s">
        <v>6064</v>
      </c>
      <c r="B760" s="4" t="s">
        <v>6099</v>
      </c>
      <c r="C760" s="4" t="s">
        <v>6087</v>
      </c>
      <c r="D760" s="4" t="s">
        <v>6033</v>
      </c>
      <c r="E760" s="4" t="s">
        <v>6034</v>
      </c>
    </row>
    <row r="761" spans="1:5">
      <c r="A761" s="4" t="s">
        <v>6064</v>
      </c>
      <c r="B761" s="4" t="s">
        <v>6099</v>
      </c>
      <c r="C761" s="4" t="s">
        <v>6088</v>
      </c>
      <c r="D761" s="4" t="s">
        <v>6033</v>
      </c>
      <c r="E761" s="4" t="s">
        <v>6034</v>
      </c>
    </row>
    <row r="762" spans="1:5">
      <c r="A762" s="4" t="s">
        <v>6064</v>
      </c>
      <c r="B762" s="4" t="s">
        <v>6099</v>
      </c>
      <c r="C762" s="4" t="s">
        <v>6089</v>
      </c>
      <c r="D762" s="4" t="s">
        <v>6033</v>
      </c>
      <c r="E762" s="4" t="s">
        <v>6034</v>
      </c>
    </row>
    <row r="763" spans="1:5">
      <c r="A763" s="4" t="s">
        <v>6064</v>
      </c>
      <c r="B763" s="4" t="s">
        <v>6099</v>
      </c>
      <c r="C763" s="4" t="s">
        <v>6090</v>
      </c>
      <c r="D763" s="4" t="s">
        <v>6033</v>
      </c>
      <c r="E763" s="4" t="s">
        <v>6034</v>
      </c>
    </row>
    <row r="764" spans="1:5">
      <c r="A764" s="4" t="s">
        <v>6064</v>
      </c>
      <c r="B764" s="4" t="s">
        <v>6099</v>
      </c>
      <c r="C764" s="4" t="s">
        <v>6091</v>
      </c>
      <c r="D764" s="4" t="s">
        <v>6033</v>
      </c>
      <c r="E764" s="4" t="s">
        <v>6034</v>
      </c>
    </row>
    <row r="765" spans="1:5">
      <c r="A765" s="4" t="s">
        <v>6064</v>
      </c>
      <c r="B765" s="4" t="s">
        <v>6099</v>
      </c>
      <c r="C765" s="4" t="s">
        <v>6092</v>
      </c>
      <c r="D765" s="4" t="s">
        <v>6033</v>
      </c>
      <c r="E765" s="4" t="s">
        <v>6034</v>
      </c>
    </row>
    <row r="766" spans="1:5">
      <c r="A766" s="4" t="s">
        <v>6064</v>
      </c>
      <c r="B766" s="4" t="s">
        <v>6099</v>
      </c>
      <c r="C766" s="4" t="s">
        <v>6093</v>
      </c>
      <c r="D766" s="4" t="s">
        <v>6033</v>
      </c>
      <c r="E766" s="4" t="s">
        <v>6034</v>
      </c>
    </row>
    <row r="767" spans="1:5">
      <c r="A767" s="4" t="s">
        <v>6064</v>
      </c>
      <c r="B767" s="4" t="s">
        <v>6099</v>
      </c>
      <c r="C767" s="4" t="s">
        <v>6094</v>
      </c>
      <c r="D767" s="4" t="s">
        <v>6033</v>
      </c>
      <c r="E767" s="4" t="s">
        <v>6034</v>
      </c>
    </row>
    <row r="768" spans="1:5">
      <c r="A768" s="4" t="s">
        <v>6064</v>
      </c>
      <c r="B768" s="4" t="s">
        <v>6099</v>
      </c>
      <c r="C768" s="4" t="s">
        <v>6095</v>
      </c>
      <c r="D768" s="4" t="s">
        <v>6033</v>
      </c>
      <c r="E768" s="4" t="s">
        <v>6034</v>
      </c>
    </row>
    <row r="769" spans="1:5">
      <c r="A769" s="4" t="s">
        <v>6064</v>
      </c>
      <c r="B769" s="4" t="s">
        <v>6099</v>
      </c>
      <c r="C769" s="4" t="s">
        <v>6096</v>
      </c>
      <c r="D769" s="4" t="s">
        <v>6033</v>
      </c>
      <c r="E769" s="4" t="s">
        <v>6034</v>
      </c>
    </row>
    <row r="770" spans="1:5">
      <c r="A770" s="4" t="s">
        <v>6064</v>
      </c>
      <c r="B770" s="4" t="s">
        <v>6099</v>
      </c>
      <c r="C770" s="4" t="s">
        <v>6097</v>
      </c>
      <c r="D770" s="4" t="s">
        <v>6033</v>
      </c>
      <c r="E770" s="4" t="s">
        <v>6034</v>
      </c>
    </row>
    <row r="771" spans="1:5">
      <c r="A771" s="4" t="s">
        <v>6064</v>
      </c>
      <c r="B771" s="4" t="s">
        <v>6099</v>
      </c>
      <c r="C771" s="4" t="s">
        <v>6098</v>
      </c>
      <c r="D771" s="4" t="s">
        <v>6033</v>
      </c>
      <c r="E771" s="4" t="s">
        <v>6034</v>
      </c>
    </row>
    <row r="772" spans="1:5">
      <c r="A772" s="4" t="s">
        <v>6064</v>
      </c>
      <c r="B772" s="4" t="s">
        <v>6100</v>
      </c>
      <c r="C772" s="4" t="s">
        <v>6069</v>
      </c>
      <c r="D772" s="4" t="s">
        <v>6039</v>
      </c>
      <c r="E772" s="4" t="s">
        <v>6040</v>
      </c>
    </row>
    <row r="773" spans="1:5">
      <c r="A773" s="4" t="s">
        <v>6064</v>
      </c>
      <c r="B773" s="4" t="s">
        <v>6100</v>
      </c>
      <c r="C773" s="4" t="s">
        <v>6070</v>
      </c>
      <c r="D773" s="4" t="s">
        <v>6039</v>
      </c>
      <c r="E773" s="4" t="s">
        <v>6040</v>
      </c>
    </row>
    <row r="774" spans="1:5">
      <c r="A774" s="4" t="s">
        <v>6064</v>
      </c>
      <c r="B774" s="4" t="s">
        <v>6100</v>
      </c>
      <c r="C774" s="4" t="s">
        <v>6071</v>
      </c>
      <c r="D774" s="4" t="s">
        <v>6033</v>
      </c>
      <c r="E774" s="4" t="s">
        <v>6034</v>
      </c>
    </row>
    <row r="775" spans="1:5">
      <c r="A775" s="4" t="s">
        <v>6064</v>
      </c>
      <c r="B775" s="4" t="s">
        <v>6100</v>
      </c>
      <c r="C775" s="4" t="s">
        <v>6072</v>
      </c>
      <c r="D775" s="4" t="s">
        <v>6033</v>
      </c>
      <c r="E775" s="4" t="s">
        <v>6034</v>
      </c>
    </row>
    <row r="776" spans="1:5">
      <c r="A776" s="4" t="s">
        <v>6064</v>
      </c>
      <c r="B776" s="4" t="s">
        <v>6100</v>
      </c>
      <c r="C776" s="4" t="s">
        <v>6073</v>
      </c>
      <c r="D776" s="4" t="s">
        <v>6033</v>
      </c>
      <c r="E776" s="4" t="s">
        <v>6034</v>
      </c>
    </row>
    <row r="777" spans="1:5">
      <c r="A777" s="4" t="s">
        <v>6064</v>
      </c>
      <c r="B777" s="4" t="s">
        <v>6100</v>
      </c>
      <c r="C777" s="4" t="s">
        <v>6074</v>
      </c>
      <c r="D777" s="4" t="s">
        <v>6033</v>
      </c>
      <c r="E777" s="4" t="s">
        <v>6034</v>
      </c>
    </row>
    <row r="778" spans="1:5">
      <c r="A778" s="4" t="s">
        <v>6064</v>
      </c>
      <c r="B778" s="4" t="s">
        <v>6100</v>
      </c>
      <c r="C778" s="4" t="s">
        <v>6075</v>
      </c>
      <c r="D778" s="4" t="s">
        <v>6033</v>
      </c>
      <c r="E778" s="4" t="s">
        <v>6034</v>
      </c>
    </row>
    <row r="779" spans="1:5">
      <c r="A779" s="4" t="s">
        <v>6064</v>
      </c>
      <c r="B779" s="4" t="s">
        <v>6100</v>
      </c>
      <c r="C779" s="4" t="s">
        <v>6076</v>
      </c>
      <c r="D779" s="4" t="s">
        <v>6033</v>
      </c>
      <c r="E779" s="4" t="s">
        <v>6034</v>
      </c>
    </row>
    <row r="780" spans="1:5">
      <c r="A780" s="4" t="s">
        <v>6064</v>
      </c>
      <c r="B780" s="4" t="s">
        <v>6100</v>
      </c>
      <c r="C780" s="4" t="s">
        <v>6077</v>
      </c>
      <c r="D780" s="4" t="s">
        <v>6033</v>
      </c>
      <c r="E780" s="4" t="s">
        <v>6034</v>
      </c>
    </row>
    <row r="781" spans="1:5">
      <c r="A781" s="4" t="s">
        <v>6064</v>
      </c>
      <c r="B781" s="4" t="s">
        <v>6100</v>
      </c>
      <c r="C781" s="4" t="s">
        <v>6078</v>
      </c>
      <c r="D781" s="4" t="s">
        <v>6033</v>
      </c>
      <c r="E781" s="4" t="s">
        <v>6034</v>
      </c>
    </row>
    <row r="782" spans="1:5">
      <c r="A782" s="4" t="s">
        <v>6064</v>
      </c>
      <c r="B782" s="4" t="s">
        <v>6100</v>
      </c>
      <c r="C782" s="4" t="s">
        <v>6079</v>
      </c>
      <c r="D782" s="4" t="s">
        <v>6033</v>
      </c>
      <c r="E782" s="4" t="s">
        <v>6034</v>
      </c>
    </row>
    <row r="783" spans="1:5">
      <c r="A783" s="4" t="s">
        <v>6064</v>
      </c>
      <c r="B783" s="4" t="s">
        <v>6100</v>
      </c>
      <c r="C783" s="4" t="s">
        <v>6080</v>
      </c>
      <c r="D783" s="4" t="s">
        <v>6033</v>
      </c>
      <c r="E783" s="4" t="s">
        <v>6034</v>
      </c>
    </row>
    <row r="784" spans="1:5">
      <c r="A784" s="4" t="s">
        <v>6064</v>
      </c>
      <c r="B784" s="4" t="s">
        <v>6100</v>
      </c>
      <c r="C784" s="4" t="s">
        <v>6081</v>
      </c>
      <c r="D784" s="4" t="s">
        <v>6033</v>
      </c>
      <c r="E784" s="4" t="s">
        <v>6034</v>
      </c>
    </row>
    <row r="785" spans="1:5">
      <c r="A785" s="4" t="s">
        <v>6064</v>
      </c>
      <c r="B785" s="4" t="s">
        <v>6100</v>
      </c>
      <c r="C785" s="4" t="s">
        <v>6082</v>
      </c>
      <c r="D785" s="4" t="s">
        <v>6033</v>
      </c>
      <c r="E785" s="4" t="s">
        <v>6034</v>
      </c>
    </row>
    <row r="786" spans="1:5">
      <c r="A786" s="4" t="s">
        <v>6064</v>
      </c>
      <c r="B786" s="4" t="s">
        <v>6100</v>
      </c>
      <c r="C786" s="4" t="s">
        <v>6083</v>
      </c>
      <c r="D786" s="4" t="s">
        <v>6033</v>
      </c>
      <c r="E786" s="4" t="s">
        <v>6034</v>
      </c>
    </row>
    <row r="787" spans="1:5">
      <c r="A787" s="4" t="s">
        <v>6064</v>
      </c>
      <c r="B787" s="4" t="s">
        <v>6100</v>
      </c>
      <c r="C787" s="4" t="s">
        <v>6084</v>
      </c>
      <c r="D787" s="4" t="s">
        <v>6033</v>
      </c>
      <c r="E787" s="4" t="s">
        <v>6034</v>
      </c>
    </row>
    <row r="788" spans="1:5">
      <c r="A788" s="4" t="s">
        <v>6064</v>
      </c>
      <c r="B788" s="4" t="s">
        <v>6100</v>
      </c>
      <c r="C788" s="4" t="s">
        <v>6085</v>
      </c>
      <c r="D788" s="4" t="s">
        <v>6033</v>
      </c>
      <c r="E788" s="4" t="s">
        <v>6034</v>
      </c>
    </row>
    <row r="789" spans="1:5">
      <c r="A789" s="4" t="s">
        <v>6064</v>
      </c>
      <c r="B789" s="4" t="s">
        <v>6100</v>
      </c>
      <c r="C789" s="4" t="s">
        <v>6086</v>
      </c>
      <c r="D789" s="4" t="s">
        <v>6033</v>
      </c>
      <c r="E789" s="4" t="s">
        <v>6034</v>
      </c>
    </row>
    <row r="790" spans="1:5">
      <c r="A790" s="4" t="s">
        <v>6064</v>
      </c>
      <c r="B790" s="4" t="s">
        <v>6100</v>
      </c>
      <c r="C790" s="4" t="s">
        <v>6087</v>
      </c>
      <c r="D790" s="4" t="s">
        <v>6033</v>
      </c>
      <c r="E790" s="4" t="s">
        <v>6034</v>
      </c>
    </row>
    <row r="791" spans="1:5">
      <c r="A791" s="4" t="s">
        <v>6064</v>
      </c>
      <c r="B791" s="4" t="s">
        <v>6100</v>
      </c>
      <c r="C791" s="4" t="s">
        <v>6088</v>
      </c>
      <c r="D791" s="4" t="s">
        <v>6033</v>
      </c>
      <c r="E791" s="4" t="s">
        <v>6034</v>
      </c>
    </row>
    <row r="792" spans="1:5">
      <c r="A792" s="4" t="s">
        <v>6064</v>
      </c>
      <c r="B792" s="4" t="s">
        <v>6100</v>
      </c>
      <c r="C792" s="4" t="s">
        <v>6089</v>
      </c>
      <c r="D792" s="4" t="s">
        <v>6033</v>
      </c>
      <c r="E792" s="4" t="s">
        <v>6034</v>
      </c>
    </row>
    <row r="793" spans="1:5">
      <c r="A793" s="4" t="s">
        <v>6064</v>
      </c>
      <c r="B793" s="4" t="s">
        <v>6100</v>
      </c>
      <c r="C793" s="4" t="s">
        <v>6090</v>
      </c>
      <c r="D793" s="4" t="s">
        <v>6033</v>
      </c>
      <c r="E793" s="4" t="s">
        <v>6034</v>
      </c>
    </row>
    <row r="794" spans="1:5">
      <c r="A794" s="4" t="s">
        <v>6064</v>
      </c>
      <c r="B794" s="4" t="s">
        <v>6100</v>
      </c>
      <c r="C794" s="4" t="s">
        <v>6091</v>
      </c>
      <c r="D794" s="4" t="s">
        <v>6033</v>
      </c>
      <c r="E794" s="4" t="s">
        <v>6034</v>
      </c>
    </row>
    <row r="795" spans="1:5">
      <c r="A795" s="4" t="s">
        <v>6064</v>
      </c>
      <c r="B795" s="4" t="s">
        <v>6100</v>
      </c>
      <c r="C795" s="4" t="s">
        <v>6092</v>
      </c>
      <c r="D795" s="4" t="s">
        <v>6033</v>
      </c>
      <c r="E795" s="4" t="s">
        <v>6034</v>
      </c>
    </row>
    <row r="796" spans="1:5">
      <c r="A796" s="4" t="s">
        <v>6064</v>
      </c>
      <c r="B796" s="4" t="s">
        <v>6100</v>
      </c>
      <c r="C796" s="4" t="s">
        <v>6093</v>
      </c>
      <c r="D796" s="4" t="s">
        <v>6033</v>
      </c>
      <c r="E796" s="4" t="s">
        <v>6034</v>
      </c>
    </row>
    <row r="797" spans="1:5">
      <c r="A797" s="4" t="s">
        <v>6064</v>
      </c>
      <c r="B797" s="4" t="s">
        <v>6100</v>
      </c>
      <c r="C797" s="4" t="s">
        <v>6094</v>
      </c>
      <c r="D797" s="4" t="s">
        <v>6033</v>
      </c>
      <c r="E797" s="4" t="s">
        <v>6034</v>
      </c>
    </row>
    <row r="798" spans="1:5">
      <c r="A798" s="4" t="s">
        <v>6064</v>
      </c>
      <c r="B798" s="4" t="s">
        <v>6100</v>
      </c>
      <c r="C798" s="4" t="s">
        <v>6095</v>
      </c>
      <c r="D798" s="4" t="s">
        <v>6033</v>
      </c>
      <c r="E798" s="4" t="s">
        <v>6034</v>
      </c>
    </row>
    <row r="799" spans="1:5">
      <c r="A799" s="4" t="s">
        <v>6064</v>
      </c>
      <c r="B799" s="4" t="s">
        <v>6100</v>
      </c>
      <c r="C799" s="4" t="s">
        <v>6096</v>
      </c>
      <c r="D799" s="4" t="s">
        <v>6033</v>
      </c>
      <c r="E799" s="4" t="s">
        <v>6034</v>
      </c>
    </row>
    <row r="800" spans="1:5">
      <c r="A800" s="4" t="s">
        <v>6064</v>
      </c>
      <c r="B800" s="4" t="s">
        <v>6100</v>
      </c>
      <c r="C800" s="4" t="s">
        <v>6097</v>
      </c>
      <c r="D800" s="4" t="s">
        <v>6033</v>
      </c>
      <c r="E800" s="4" t="s">
        <v>6034</v>
      </c>
    </row>
    <row r="801" spans="1:5">
      <c r="A801" s="4" t="s">
        <v>6064</v>
      </c>
      <c r="B801" s="4" t="s">
        <v>6100</v>
      </c>
      <c r="C801" s="4" t="s">
        <v>6098</v>
      </c>
      <c r="D801" s="4" t="s">
        <v>6033</v>
      </c>
      <c r="E801" s="4" t="s">
        <v>6034</v>
      </c>
    </row>
    <row r="802" spans="1:5">
      <c r="A802" s="4" t="s">
        <v>6064</v>
      </c>
      <c r="B802" s="4" t="s">
        <v>6100</v>
      </c>
      <c r="C802" s="4" t="s">
        <v>6099</v>
      </c>
      <c r="D802" s="4" t="s">
        <v>6033</v>
      </c>
      <c r="E802" s="4" t="s">
        <v>6034</v>
      </c>
    </row>
    <row r="803" spans="1:5">
      <c r="A803" s="4" t="s">
        <v>6064</v>
      </c>
      <c r="B803" s="4" t="s">
        <v>6101</v>
      </c>
      <c r="C803" s="4" t="s">
        <v>6070</v>
      </c>
      <c r="D803" s="4" t="s">
        <v>6039</v>
      </c>
      <c r="E803" s="4" t="s">
        <v>6040</v>
      </c>
    </row>
    <row r="804" spans="1:5">
      <c r="A804" s="4" t="s">
        <v>6064</v>
      </c>
      <c r="B804" s="4" t="s">
        <v>6101</v>
      </c>
      <c r="C804" s="4" t="s">
        <v>6071</v>
      </c>
      <c r="D804" s="4" t="s">
        <v>6033</v>
      </c>
      <c r="E804" s="4" t="s">
        <v>6034</v>
      </c>
    </row>
    <row r="805" spans="1:5">
      <c r="A805" s="4" t="s">
        <v>6064</v>
      </c>
      <c r="B805" s="4" t="s">
        <v>6101</v>
      </c>
      <c r="C805" s="4" t="s">
        <v>6072</v>
      </c>
      <c r="D805" s="4" t="s">
        <v>6033</v>
      </c>
      <c r="E805" s="4" t="s">
        <v>6034</v>
      </c>
    </row>
    <row r="806" spans="1:5">
      <c r="A806" s="4" t="s">
        <v>6064</v>
      </c>
      <c r="B806" s="4" t="s">
        <v>6101</v>
      </c>
      <c r="C806" s="4" t="s">
        <v>6073</v>
      </c>
      <c r="D806" s="4" t="s">
        <v>6033</v>
      </c>
      <c r="E806" s="4" t="s">
        <v>6034</v>
      </c>
    </row>
    <row r="807" spans="1:5">
      <c r="A807" s="4" t="s">
        <v>6064</v>
      </c>
      <c r="B807" s="4" t="s">
        <v>6101</v>
      </c>
      <c r="C807" s="4" t="s">
        <v>6074</v>
      </c>
      <c r="D807" s="4" t="s">
        <v>6033</v>
      </c>
      <c r="E807" s="4" t="s">
        <v>6034</v>
      </c>
    </row>
    <row r="808" spans="1:5">
      <c r="A808" s="4" t="s">
        <v>6064</v>
      </c>
      <c r="B808" s="4" t="s">
        <v>6101</v>
      </c>
      <c r="C808" s="4" t="s">
        <v>6075</v>
      </c>
      <c r="D808" s="4" t="s">
        <v>6033</v>
      </c>
      <c r="E808" s="4" t="s">
        <v>6034</v>
      </c>
    </row>
    <row r="809" spans="1:5">
      <c r="A809" s="4" t="s">
        <v>6064</v>
      </c>
      <c r="B809" s="4" t="s">
        <v>6101</v>
      </c>
      <c r="C809" s="4" t="s">
        <v>6076</v>
      </c>
      <c r="D809" s="4" t="s">
        <v>6039</v>
      </c>
      <c r="E809" s="4" t="s">
        <v>6040</v>
      </c>
    </row>
    <row r="810" spans="1:5">
      <c r="A810" s="4" t="s">
        <v>6064</v>
      </c>
      <c r="B810" s="4" t="s">
        <v>6101</v>
      </c>
      <c r="C810" s="4" t="s">
        <v>6077</v>
      </c>
      <c r="D810" s="4" t="s">
        <v>6033</v>
      </c>
      <c r="E810" s="4" t="s">
        <v>6034</v>
      </c>
    </row>
    <row r="811" spans="1:5">
      <c r="A811" s="4" t="s">
        <v>6064</v>
      </c>
      <c r="B811" s="4" t="s">
        <v>6101</v>
      </c>
      <c r="C811" s="4" t="s">
        <v>6078</v>
      </c>
      <c r="D811" s="4" t="s">
        <v>6039</v>
      </c>
      <c r="E811" s="4" t="s">
        <v>6040</v>
      </c>
    </row>
    <row r="812" spans="1:5">
      <c r="A812" s="4" t="s">
        <v>6064</v>
      </c>
      <c r="B812" s="4" t="s">
        <v>6101</v>
      </c>
      <c r="C812" s="4" t="s">
        <v>6079</v>
      </c>
      <c r="D812" s="4" t="s">
        <v>6039</v>
      </c>
      <c r="E812" s="4" t="s">
        <v>6040</v>
      </c>
    </row>
    <row r="813" spans="1:5">
      <c r="A813" s="4" t="s">
        <v>6064</v>
      </c>
      <c r="B813" s="4" t="s">
        <v>6101</v>
      </c>
      <c r="C813" s="4" t="s">
        <v>6080</v>
      </c>
      <c r="D813" s="4" t="s">
        <v>6039</v>
      </c>
      <c r="E813" s="4" t="s">
        <v>6040</v>
      </c>
    </row>
    <row r="814" spans="1:5">
      <c r="A814" s="4" t="s">
        <v>6064</v>
      </c>
      <c r="B814" s="4" t="s">
        <v>6101</v>
      </c>
      <c r="C814" s="4" t="s">
        <v>6081</v>
      </c>
      <c r="D814" s="4" t="s">
        <v>6039</v>
      </c>
      <c r="E814" s="4" t="s">
        <v>6040</v>
      </c>
    </row>
    <row r="815" spans="1:5">
      <c r="A815" s="4" t="s">
        <v>6064</v>
      </c>
      <c r="B815" s="4" t="s">
        <v>6101</v>
      </c>
      <c r="C815" s="4" t="s">
        <v>6082</v>
      </c>
      <c r="D815" s="4" t="s">
        <v>6039</v>
      </c>
      <c r="E815" s="4" t="s">
        <v>6040</v>
      </c>
    </row>
    <row r="816" spans="1:5">
      <c r="A816" s="4" t="s">
        <v>6064</v>
      </c>
      <c r="B816" s="4" t="s">
        <v>6101</v>
      </c>
      <c r="C816" s="4" t="s">
        <v>6083</v>
      </c>
      <c r="D816" s="4" t="s">
        <v>6039</v>
      </c>
      <c r="E816" s="4" t="s">
        <v>6040</v>
      </c>
    </row>
    <row r="817" spans="1:5">
      <c r="A817" s="4" t="s">
        <v>6064</v>
      </c>
      <c r="B817" s="4" t="s">
        <v>6101</v>
      </c>
      <c r="C817" s="4" t="s">
        <v>6084</v>
      </c>
      <c r="D817" s="4" t="s">
        <v>6039</v>
      </c>
      <c r="E817" s="4" t="s">
        <v>6040</v>
      </c>
    </row>
    <row r="818" spans="1:5">
      <c r="A818" s="4" t="s">
        <v>6064</v>
      </c>
      <c r="B818" s="4" t="s">
        <v>6101</v>
      </c>
      <c r="C818" s="4" t="s">
        <v>6085</v>
      </c>
      <c r="D818" s="4" t="s">
        <v>6039</v>
      </c>
      <c r="E818" s="4" t="s">
        <v>6040</v>
      </c>
    </row>
    <row r="819" spans="1:5">
      <c r="A819" s="4" t="s">
        <v>6064</v>
      </c>
      <c r="B819" s="4" t="s">
        <v>6101</v>
      </c>
      <c r="C819" s="4" t="s">
        <v>6086</v>
      </c>
      <c r="D819" s="4" t="s">
        <v>6039</v>
      </c>
      <c r="E819" s="4" t="s">
        <v>6040</v>
      </c>
    </row>
    <row r="820" spans="1:5">
      <c r="A820" s="4" t="s">
        <v>6064</v>
      </c>
      <c r="B820" s="4" t="s">
        <v>6101</v>
      </c>
      <c r="C820" s="4" t="s">
        <v>6087</v>
      </c>
      <c r="D820" s="4" t="s">
        <v>6039</v>
      </c>
      <c r="E820" s="4" t="s">
        <v>6040</v>
      </c>
    </row>
    <row r="821" spans="1:5">
      <c r="A821" s="4" t="s">
        <v>6064</v>
      </c>
      <c r="B821" s="4" t="s">
        <v>6101</v>
      </c>
      <c r="C821" s="4" t="s">
        <v>6088</v>
      </c>
      <c r="D821" s="4" t="s">
        <v>6039</v>
      </c>
      <c r="E821" s="4" t="s">
        <v>6040</v>
      </c>
    </row>
    <row r="822" spans="1:5">
      <c r="A822" s="4" t="s">
        <v>6064</v>
      </c>
      <c r="B822" s="4" t="s">
        <v>6101</v>
      </c>
      <c r="C822" s="4" t="s">
        <v>6089</v>
      </c>
      <c r="D822" s="4" t="s">
        <v>6039</v>
      </c>
      <c r="E822" s="4" t="s">
        <v>6040</v>
      </c>
    </row>
    <row r="823" spans="1:5">
      <c r="A823" s="4" t="s">
        <v>6064</v>
      </c>
      <c r="B823" s="4" t="s">
        <v>6101</v>
      </c>
      <c r="C823" s="4" t="s">
        <v>6090</v>
      </c>
      <c r="D823" s="4" t="s">
        <v>6039</v>
      </c>
      <c r="E823" s="4" t="s">
        <v>6040</v>
      </c>
    </row>
    <row r="824" spans="1:5">
      <c r="A824" s="4" t="s">
        <v>6064</v>
      </c>
      <c r="B824" s="4" t="s">
        <v>6101</v>
      </c>
      <c r="C824" s="4" t="s">
        <v>6091</v>
      </c>
      <c r="D824" s="4" t="s">
        <v>6039</v>
      </c>
      <c r="E824" s="4" t="s">
        <v>6040</v>
      </c>
    </row>
    <row r="825" spans="1:5">
      <c r="A825" s="4" t="s">
        <v>6064</v>
      </c>
      <c r="B825" s="4" t="s">
        <v>6101</v>
      </c>
      <c r="C825" s="4" t="s">
        <v>6092</v>
      </c>
      <c r="D825" s="4" t="s">
        <v>6039</v>
      </c>
      <c r="E825" s="4" t="s">
        <v>6040</v>
      </c>
    </row>
    <row r="826" spans="1:5">
      <c r="A826" s="4" t="s">
        <v>6064</v>
      </c>
      <c r="B826" s="4" t="s">
        <v>6101</v>
      </c>
      <c r="C826" s="4" t="s">
        <v>6093</v>
      </c>
      <c r="D826" s="4" t="s">
        <v>6039</v>
      </c>
      <c r="E826" s="4" t="s">
        <v>6040</v>
      </c>
    </row>
    <row r="827" spans="1:5">
      <c r="A827" s="4" t="s">
        <v>6064</v>
      </c>
      <c r="B827" s="4" t="s">
        <v>6101</v>
      </c>
      <c r="C827" s="4" t="s">
        <v>6094</v>
      </c>
      <c r="D827" s="4" t="s">
        <v>6039</v>
      </c>
      <c r="E827" s="4" t="s">
        <v>6040</v>
      </c>
    </row>
    <row r="828" spans="1:5">
      <c r="A828" s="4" t="s">
        <v>6064</v>
      </c>
      <c r="B828" s="4" t="s">
        <v>6101</v>
      </c>
      <c r="C828" s="4" t="s">
        <v>6095</v>
      </c>
      <c r="D828" s="4" t="s">
        <v>6039</v>
      </c>
      <c r="E828" s="4" t="s">
        <v>6040</v>
      </c>
    </row>
    <row r="829" spans="1:5">
      <c r="A829" s="4" t="s">
        <v>6064</v>
      </c>
      <c r="B829" s="4" t="s">
        <v>6101</v>
      </c>
      <c r="C829" s="4" t="s">
        <v>6096</v>
      </c>
      <c r="D829" s="4" t="s">
        <v>6039</v>
      </c>
      <c r="E829" s="4" t="s">
        <v>6040</v>
      </c>
    </row>
    <row r="830" spans="1:5">
      <c r="A830" s="4" t="s">
        <v>6064</v>
      </c>
      <c r="B830" s="4" t="s">
        <v>6101</v>
      </c>
      <c r="C830" s="4" t="s">
        <v>6097</v>
      </c>
      <c r="D830" s="4" t="s">
        <v>6039</v>
      </c>
      <c r="E830" s="4" t="s">
        <v>6040</v>
      </c>
    </row>
    <row r="831" spans="1:5">
      <c r="A831" s="4" t="s">
        <v>6064</v>
      </c>
      <c r="B831" s="4" t="s">
        <v>6101</v>
      </c>
      <c r="C831" s="4" t="s">
        <v>6098</v>
      </c>
      <c r="D831" s="4" t="s">
        <v>6039</v>
      </c>
      <c r="E831" s="4" t="s">
        <v>6040</v>
      </c>
    </row>
    <row r="832" spans="1:5">
      <c r="A832" s="4" t="s">
        <v>6064</v>
      </c>
      <c r="B832" s="4" t="s">
        <v>6101</v>
      </c>
      <c r="C832" s="4" t="s">
        <v>6099</v>
      </c>
      <c r="D832" s="4" t="s">
        <v>6039</v>
      </c>
      <c r="E832" s="4" t="s">
        <v>6040</v>
      </c>
    </row>
    <row r="833" spans="1:5">
      <c r="A833" s="4" t="s">
        <v>6064</v>
      </c>
      <c r="B833" s="4" t="s">
        <v>6101</v>
      </c>
      <c r="C833" s="4" t="s">
        <v>6100</v>
      </c>
      <c r="D833" s="4" t="s">
        <v>6039</v>
      </c>
      <c r="E833" s="4" t="s">
        <v>6040</v>
      </c>
    </row>
    <row r="834" spans="1:5">
      <c r="A834" s="4" t="s">
        <v>6064</v>
      </c>
      <c r="B834" s="4" t="s">
        <v>6102</v>
      </c>
      <c r="C834" s="4" t="s">
        <v>6070</v>
      </c>
      <c r="D834" s="4" t="s">
        <v>6039</v>
      </c>
      <c r="E834" s="4" t="s">
        <v>6040</v>
      </c>
    </row>
    <row r="835" spans="1:5">
      <c r="A835" s="4" t="s">
        <v>6064</v>
      </c>
      <c r="B835" s="4" t="s">
        <v>6102</v>
      </c>
      <c r="C835" s="4" t="s">
        <v>6071</v>
      </c>
      <c r="D835" s="4" t="s">
        <v>6033</v>
      </c>
      <c r="E835" s="4" t="s">
        <v>6034</v>
      </c>
    </row>
    <row r="836" spans="1:5">
      <c r="A836" s="4" t="s">
        <v>6064</v>
      </c>
      <c r="B836" s="4" t="s">
        <v>6102</v>
      </c>
      <c r="C836" s="4" t="s">
        <v>6072</v>
      </c>
      <c r="D836" s="4" t="s">
        <v>6033</v>
      </c>
      <c r="E836" s="4" t="s">
        <v>6034</v>
      </c>
    </row>
    <row r="837" spans="1:5">
      <c r="A837" s="4" t="s">
        <v>6064</v>
      </c>
      <c r="B837" s="4" t="s">
        <v>6102</v>
      </c>
      <c r="C837" s="4" t="s">
        <v>6073</v>
      </c>
      <c r="D837" s="4" t="s">
        <v>6033</v>
      </c>
      <c r="E837" s="4" t="s">
        <v>6034</v>
      </c>
    </row>
    <row r="838" spans="1:5">
      <c r="A838" s="4" t="s">
        <v>6064</v>
      </c>
      <c r="B838" s="4" t="s">
        <v>6102</v>
      </c>
      <c r="C838" s="4" t="s">
        <v>6074</v>
      </c>
      <c r="D838" s="4" t="s">
        <v>6033</v>
      </c>
      <c r="E838" s="4" t="s">
        <v>6034</v>
      </c>
    </row>
    <row r="839" spans="1:5">
      <c r="A839" s="4" t="s">
        <v>6064</v>
      </c>
      <c r="B839" s="4" t="s">
        <v>6102</v>
      </c>
      <c r="C839" s="4" t="s">
        <v>6075</v>
      </c>
      <c r="D839" s="4" t="s">
        <v>6033</v>
      </c>
      <c r="E839" s="4" t="s">
        <v>6034</v>
      </c>
    </row>
    <row r="840" spans="1:5">
      <c r="A840" s="4" t="s">
        <v>6064</v>
      </c>
      <c r="B840" s="4" t="s">
        <v>6102</v>
      </c>
      <c r="C840" s="4" t="s">
        <v>6076</v>
      </c>
      <c r="D840" s="4" t="s">
        <v>6033</v>
      </c>
      <c r="E840" s="4" t="s">
        <v>6034</v>
      </c>
    </row>
    <row r="841" spans="1:5">
      <c r="A841" s="4" t="s">
        <v>6064</v>
      </c>
      <c r="B841" s="4" t="s">
        <v>6102</v>
      </c>
      <c r="C841" s="4" t="s">
        <v>6077</v>
      </c>
      <c r="D841" s="4" t="s">
        <v>6033</v>
      </c>
      <c r="E841" s="4" t="s">
        <v>6034</v>
      </c>
    </row>
    <row r="842" spans="1:5">
      <c r="A842" s="4" t="s">
        <v>6064</v>
      </c>
      <c r="B842" s="4" t="s">
        <v>6102</v>
      </c>
      <c r="C842" s="4" t="s">
        <v>6078</v>
      </c>
      <c r="D842" s="4" t="s">
        <v>6033</v>
      </c>
      <c r="E842" s="4" t="s">
        <v>6034</v>
      </c>
    </row>
    <row r="843" spans="1:5">
      <c r="A843" s="4" t="s">
        <v>6064</v>
      </c>
      <c r="B843" s="4" t="s">
        <v>6102</v>
      </c>
      <c r="C843" s="4" t="s">
        <v>6079</v>
      </c>
      <c r="D843" s="4" t="s">
        <v>6033</v>
      </c>
      <c r="E843" s="4" t="s">
        <v>6034</v>
      </c>
    </row>
    <row r="844" spans="1:5">
      <c r="A844" s="4" t="s">
        <v>6064</v>
      </c>
      <c r="B844" s="4" t="s">
        <v>6102</v>
      </c>
      <c r="C844" s="4" t="s">
        <v>6080</v>
      </c>
      <c r="D844" s="4" t="s">
        <v>6033</v>
      </c>
      <c r="E844" s="4" t="s">
        <v>6034</v>
      </c>
    </row>
    <row r="845" spans="1:5">
      <c r="A845" s="4" t="s">
        <v>6064</v>
      </c>
      <c r="B845" s="4" t="s">
        <v>6102</v>
      </c>
      <c r="C845" s="4" t="s">
        <v>6081</v>
      </c>
      <c r="D845" s="4" t="s">
        <v>6033</v>
      </c>
      <c r="E845" s="4" t="s">
        <v>6034</v>
      </c>
    </row>
    <row r="846" spans="1:5">
      <c r="A846" s="4" t="s">
        <v>6064</v>
      </c>
      <c r="B846" s="4" t="s">
        <v>6102</v>
      </c>
      <c r="C846" s="4" t="s">
        <v>6082</v>
      </c>
      <c r="D846" s="4" t="s">
        <v>6033</v>
      </c>
      <c r="E846" s="4" t="s">
        <v>6034</v>
      </c>
    </row>
    <row r="847" spans="1:5">
      <c r="A847" s="4" t="s">
        <v>6064</v>
      </c>
      <c r="B847" s="4" t="s">
        <v>6102</v>
      </c>
      <c r="C847" s="4" t="s">
        <v>6083</v>
      </c>
      <c r="D847" s="4" t="s">
        <v>6033</v>
      </c>
      <c r="E847" s="4" t="s">
        <v>6034</v>
      </c>
    </row>
    <row r="848" spans="1:5">
      <c r="A848" s="4" t="s">
        <v>6064</v>
      </c>
      <c r="B848" s="4" t="s">
        <v>6102</v>
      </c>
      <c r="C848" s="4" t="s">
        <v>6084</v>
      </c>
      <c r="D848" s="4" t="s">
        <v>6033</v>
      </c>
      <c r="E848" s="4" t="s">
        <v>6034</v>
      </c>
    </row>
    <row r="849" spans="1:5">
      <c r="A849" s="4" t="s">
        <v>6064</v>
      </c>
      <c r="B849" s="4" t="s">
        <v>6102</v>
      </c>
      <c r="C849" s="4" t="s">
        <v>6085</v>
      </c>
      <c r="D849" s="4" t="s">
        <v>6039</v>
      </c>
      <c r="E849" s="4" t="s">
        <v>6040</v>
      </c>
    </row>
    <row r="850" spans="1:5">
      <c r="A850" s="4" t="s">
        <v>6064</v>
      </c>
      <c r="B850" s="4" t="s">
        <v>6102</v>
      </c>
      <c r="C850" s="4" t="s">
        <v>6086</v>
      </c>
      <c r="D850" s="4" t="s">
        <v>6039</v>
      </c>
      <c r="E850" s="4" t="s">
        <v>6040</v>
      </c>
    </row>
    <row r="851" spans="1:5">
      <c r="A851" s="4" t="s">
        <v>6064</v>
      </c>
      <c r="B851" s="4" t="s">
        <v>6102</v>
      </c>
      <c r="C851" s="4" t="s">
        <v>6087</v>
      </c>
      <c r="D851" s="4" t="s">
        <v>6039</v>
      </c>
      <c r="E851" s="4" t="s">
        <v>6040</v>
      </c>
    </row>
    <row r="852" spans="1:5">
      <c r="A852" s="4" t="s">
        <v>6064</v>
      </c>
      <c r="B852" s="4" t="s">
        <v>6102</v>
      </c>
      <c r="C852" s="4" t="s">
        <v>6089</v>
      </c>
      <c r="D852" s="4" t="s">
        <v>6039</v>
      </c>
      <c r="E852" s="4" t="s">
        <v>6040</v>
      </c>
    </row>
    <row r="853" spans="1:5">
      <c r="A853" s="4" t="s">
        <v>6064</v>
      </c>
      <c r="B853" s="4" t="s">
        <v>6102</v>
      </c>
      <c r="C853" s="4" t="s">
        <v>6090</v>
      </c>
      <c r="D853" s="4" t="s">
        <v>6039</v>
      </c>
      <c r="E853" s="4" t="s">
        <v>6040</v>
      </c>
    </row>
    <row r="854" spans="1:5">
      <c r="A854" s="4" t="s">
        <v>6064</v>
      </c>
      <c r="B854" s="4" t="s">
        <v>6102</v>
      </c>
      <c r="C854" s="4" t="s">
        <v>6091</v>
      </c>
      <c r="D854" s="4" t="s">
        <v>6039</v>
      </c>
      <c r="E854" s="4" t="s">
        <v>6040</v>
      </c>
    </row>
    <row r="855" spans="1:5">
      <c r="A855" s="4" t="s">
        <v>6064</v>
      </c>
      <c r="B855" s="4" t="s">
        <v>6102</v>
      </c>
      <c r="C855" s="4" t="s">
        <v>6092</v>
      </c>
      <c r="D855" s="4" t="s">
        <v>6039</v>
      </c>
      <c r="E855" s="4" t="s">
        <v>6040</v>
      </c>
    </row>
    <row r="856" spans="1:5">
      <c r="A856" s="4" t="s">
        <v>6064</v>
      </c>
      <c r="B856" s="4" t="s">
        <v>6102</v>
      </c>
      <c r="C856" s="4" t="s">
        <v>6093</v>
      </c>
      <c r="D856" s="4" t="s">
        <v>6039</v>
      </c>
      <c r="E856" s="4" t="s">
        <v>6040</v>
      </c>
    </row>
    <row r="857" spans="1:5">
      <c r="A857" s="4" t="s">
        <v>6064</v>
      </c>
      <c r="B857" s="4" t="s">
        <v>6102</v>
      </c>
      <c r="C857" s="4" t="s">
        <v>6094</v>
      </c>
      <c r="D857" s="4" t="s">
        <v>6039</v>
      </c>
      <c r="E857" s="4" t="s">
        <v>6040</v>
      </c>
    </row>
    <row r="858" spans="1:5">
      <c r="A858" s="4" t="s">
        <v>6064</v>
      </c>
      <c r="B858" s="4" t="s">
        <v>6102</v>
      </c>
      <c r="C858" s="4" t="s">
        <v>6095</v>
      </c>
      <c r="D858" s="4" t="s">
        <v>6039</v>
      </c>
      <c r="E858" s="4" t="s">
        <v>6040</v>
      </c>
    </row>
    <row r="859" spans="1:5">
      <c r="A859" s="4" t="s">
        <v>6064</v>
      </c>
      <c r="B859" s="4" t="s">
        <v>6102</v>
      </c>
      <c r="C859" s="4" t="s">
        <v>6096</v>
      </c>
      <c r="D859" s="4" t="s">
        <v>6039</v>
      </c>
      <c r="E859" s="4" t="s">
        <v>6040</v>
      </c>
    </row>
    <row r="860" spans="1:5">
      <c r="A860" s="4" t="s">
        <v>6064</v>
      </c>
      <c r="B860" s="4" t="s">
        <v>6102</v>
      </c>
      <c r="C860" s="4" t="s">
        <v>6097</v>
      </c>
      <c r="D860" s="4" t="s">
        <v>6039</v>
      </c>
      <c r="E860" s="4" t="s">
        <v>6040</v>
      </c>
    </row>
    <row r="861" spans="1:5">
      <c r="A861" s="4" t="s">
        <v>6064</v>
      </c>
      <c r="B861" s="4" t="s">
        <v>6102</v>
      </c>
      <c r="C861" s="4" t="s">
        <v>6098</v>
      </c>
      <c r="D861" s="4" t="s">
        <v>6039</v>
      </c>
      <c r="E861" s="4" t="s">
        <v>6040</v>
      </c>
    </row>
    <row r="862" spans="1:5">
      <c r="A862" s="4" t="s">
        <v>6064</v>
      </c>
      <c r="B862" s="4" t="s">
        <v>6102</v>
      </c>
      <c r="C862" s="4" t="s">
        <v>6099</v>
      </c>
      <c r="D862" s="4" t="s">
        <v>6039</v>
      </c>
      <c r="E862" s="4" t="s">
        <v>6040</v>
      </c>
    </row>
    <row r="863" spans="1:5">
      <c r="A863" s="4" t="s">
        <v>6064</v>
      </c>
      <c r="B863" s="4" t="s">
        <v>6102</v>
      </c>
      <c r="C863" s="4" t="s">
        <v>6100</v>
      </c>
      <c r="D863" s="4" t="s">
        <v>6039</v>
      </c>
      <c r="E863" s="4" t="s">
        <v>6040</v>
      </c>
    </row>
    <row r="864" spans="1:5">
      <c r="A864" s="4" t="s">
        <v>6064</v>
      </c>
      <c r="B864" s="4" t="s">
        <v>6103</v>
      </c>
      <c r="C864" s="4" t="s">
        <v>6071</v>
      </c>
      <c r="D864" s="4" t="s">
        <v>6033</v>
      </c>
      <c r="E864" s="4" t="s">
        <v>6034</v>
      </c>
    </row>
    <row r="865" spans="1:5">
      <c r="A865" s="4" t="s">
        <v>6064</v>
      </c>
      <c r="B865" s="4" t="s">
        <v>6103</v>
      </c>
      <c r="C865" s="4" t="s">
        <v>6072</v>
      </c>
      <c r="D865" s="4" t="s">
        <v>6033</v>
      </c>
      <c r="E865" s="4" t="s">
        <v>6034</v>
      </c>
    </row>
    <row r="866" spans="1:5">
      <c r="A866" s="4" t="s">
        <v>6064</v>
      </c>
      <c r="B866" s="4" t="s">
        <v>6103</v>
      </c>
      <c r="C866" s="4" t="s">
        <v>6073</v>
      </c>
      <c r="D866" s="4" t="s">
        <v>6033</v>
      </c>
      <c r="E866" s="4" t="s">
        <v>6034</v>
      </c>
    </row>
    <row r="867" spans="1:5">
      <c r="A867" s="4" t="s">
        <v>6064</v>
      </c>
      <c r="B867" s="4" t="s">
        <v>6103</v>
      </c>
      <c r="C867" s="4" t="s">
        <v>6074</v>
      </c>
      <c r="D867" s="4" t="s">
        <v>6033</v>
      </c>
      <c r="E867" s="4" t="s">
        <v>6034</v>
      </c>
    </row>
    <row r="868" spans="1:5">
      <c r="A868" s="4" t="s">
        <v>6064</v>
      </c>
      <c r="B868" s="4" t="s">
        <v>6103</v>
      </c>
      <c r="C868" s="4" t="s">
        <v>6075</v>
      </c>
      <c r="D868" s="4" t="s">
        <v>6033</v>
      </c>
      <c r="E868" s="4" t="s">
        <v>6034</v>
      </c>
    </row>
    <row r="869" spans="1:5">
      <c r="A869" s="4" t="s">
        <v>6064</v>
      </c>
      <c r="B869" s="4" t="s">
        <v>6103</v>
      </c>
      <c r="C869" s="4" t="s">
        <v>6076</v>
      </c>
      <c r="D869" s="4" t="s">
        <v>6033</v>
      </c>
      <c r="E869" s="4" t="s">
        <v>6034</v>
      </c>
    </row>
    <row r="870" spans="1:5">
      <c r="A870" s="4" t="s">
        <v>6064</v>
      </c>
      <c r="B870" s="4" t="s">
        <v>6103</v>
      </c>
      <c r="C870" s="4" t="s">
        <v>6077</v>
      </c>
      <c r="D870" s="4" t="s">
        <v>6033</v>
      </c>
      <c r="E870" s="4" t="s">
        <v>6034</v>
      </c>
    </row>
    <row r="871" spans="1:5">
      <c r="A871" s="4" t="s">
        <v>6064</v>
      </c>
      <c r="B871" s="4" t="s">
        <v>6103</v>
      </c>
      <c r="C871" s="4" t="s">
        <v>6078</v>
      </c>
      <c r="D871" s="4" t="s">
        <v>6033</v>
      </c>
      <c r="E871" s="4" t="s">
        <v>6034</v>
      </c>
    </row>
    <row r="872" spans="1:5">
      <c r="A872" s="4" t="s">
        <v>6064</v>
      </c>
      <c r="B872" s="4" t="s">
        <v>6103</v>
      </c>
      <c r="C872" s="4" t="s">
        <v>6079</v>
      </c>
      <c r="D872" s="4" t="s">
        <v>6033</v>
      </c>
      <c r="E872" s="4" t="s">
        <v>6034</v>
      </c>
    </row>
    <row r="873" spans="1:5">
      <c r="A873" s="4" t="s">
        <v>6064</v>
      </c>
      <c r="B873" s="4" t="s">
        <v>6103</v>
      </c>
      <c r="C873" s="4" t="s">
        <v>6080</v>
      </c>
      <c r="D873" s="4" t="s">
        <v>6033</v>
      </c>
      <c r="E873" s="4" t="s">
        <v>6034</v>
      </c>
    </row>
    <row r="874" spans="1:5">
      <c r="A874" s="4" t="s">
        <v>6064</v>
      </c>
      <c r="B874" s="4" t="s">
        <v>6103</v>
      </c>
      <c r="C874" s="4" t="s">
        <v>6081</v>
      </c>
      <c r="D874" s="4" t="s">
        <v>6033</v>
      </c>
      <c r="E874" s="4" t="s">
        <v>6034</v>
      </c>
    </row>
    <row r="875" spans="1:5">
      <c r="A875" s="4" t="s">
        <v>6064</v>
      </c>
      <c r="B875" s="4" t="s">
        <v>6103</v>
      </c>
      <c r="C875" s="4" t="s">
        <v>6082</v>
      </c>
      <c r="D875" s="4" t="s">
        <v>6033</v>
      </c>
      <c r="E875" s="4" t="s">
        <v>6034</v>
      </c>
    </row>
    <row r="876" spans="1:5">
      <c r="A876" s="4" t="s">
        <v>6064</v>
      </c>
      <c r="B876" s="4" t="s">
        <v>6103</v>
      </c>
      <c r="C876" s="4" t="s">
        <v>6083</v>
      </c>
      <c r="D876" s="4" t="s">
        <v>6033</v>
      </c>
      <c r="E876" s="4" t="s">
        <v>6034</v>
      </c>
    </row>
    <row r="877" spans="1:5">
      <c r="A877" s="4" t="s">
        <v>6064</v>
      </c>
      <c r="B877" s="4" t="s">
        <v>6103</v>
      </c>
      <c r="C877" s="4" t="s">
        <v>6084</v>
      </c>
      <c r="D877" s="4" t="s">
        <v>6033</v>
      </c>
      <c r="E877" s="4" t="s">
        <v>6034</v>
      </c>
    </row>
    <row r="878" spans="1:5">
      <c r="A878" s="4" t="s">
        <v>6064</v>
      </c>
      <c r="B878" s="4" t="s">
        <v>6103</v>
      </c>
      <c r="C878" s="4" t="s">
        <v>6086</v>
      </c>
      <c r="D878" s="4" t="s">
        <v>6039</v>
      </c>
      <c r="E878" s="4" t="s">
        <v>6040</v>
      </c>
    </row>
    <row r="879" spans="1:5">
      <c r="A879" s="4" t="s">
        <v>6064</v>
      </c>
      <c r="B879" s="4" t="s">
        <v>6103</v>
      </c>
      <c r="C879" s="4" t="s">
        <v>6087</v>
      </c>
      <c r="D879" s="4" t="s">
        <v>6039</v>
      </c>
      <c r="E879" s="4" t="s">
        <v>6040</v>
      </c>
    </row>
    <row r="880" spans="1:5">
      <c r="A880" s="4" t="s">
        <v>6064</v>
      </c>
      <c r="B880" s="4" t="s">
        <v>6103</v>
      </c>
      <c r="C880" s="4" t="s">
        <v>6088</v>
      </c>
      <c r="D880" s="4" t="s">
        <v>6033</v>
      </c>
      <c r="E880" s="4" t="s">
        <v>6034</v>
      </c>
    </row>
    <row r="881" spans="1:5">
      <c r="A881" s="4" t="s">
        <v>6064</v>
      </c>
      <c r="B881" s="4" t="s">
        <v>6103</v>
      </c>
      <c r="C881" s="4" t="s">
        <v>6090</v>
      </c>
      <c r="D881" s="4" t="s">
        <v>6039</v>
      </c>
      <c r="E881" s="4" t="s">
        <v>6040</v>
      </c>
    </row>
    <row r="882" spans="1:5">
      <c r="A882" s="4" t="s">
        <v>6064</v>
      </c>
      <c r="B882" s="4" t="s">
        <v>6103</v>
      </c>
      <c r="C882" s="4" t="s">
        <v>6091</v>
      </c>
      <c r="D882" s="4" t="s">
        <v>6039</v>
      </c>
      <c r="E882" s="4" t="s">
        <v>6040</v>
      </c>
    </row>
    <row r="883" spans="1:5">
      <c r="A883" s="4" t="s">
        <v>6064</v>
      </c>
      <c r="B883" s="4" t="s">
        <v>6103</v>
      </c>
      <c r="C883" s="4" t="s">
        <v>6092</v>
      </c>
      <c r="D883" s="4" t="s">
        <v>6039</v>
      </c>
      <c r="E883" s="4" t="s">
        <v>6040</v>
      </c>
    </row>
    <row r="884" spans="1:5">
      <c r="A884" s="4" t="s">
        <v>6064</v>
      </c>
      <c r="B884" s="4" t="s">
        <v>6103</v>
      </c>
      <c r="C884" s="4" t="s">
        <v>6093</v>
      </c>
      <c r="D884" s="4" t="s">
        <v>6039</v>
      </c>
      <c r="E884" s="4" t="s">
        <v>6040</v>
      </c>
    </row>
    <row r="885" spans="1:5">
      <c r="A885" s="4" t="s">
        <v>6064</v>
      </c>
      <c r="B885" s="4" t="s">
        <v>6103</v>
      </c>
      <c r="C885" s="4" t="s">
        <v>6094</v>
      </c>
      <c r="D885" s="4" t="s">
        <v>6039</v>
      </c>
      <c r="E885" s="4" t="s">
        <v>6040</v>
      </c>
    </row>
    <row r="886" spans="1:5">
      <c r="A886" s="4" t="s">
        <v>6064</v>
      </c>
      <c r="B886" s="4" t="s">
        <v>6103</v>
      </c>
      <c r="C886" s="4" t="s">
        <v>6096</v>
      </c>
      <c r="D886" s="4" t="s">
        <v>6039</v>
      </c>
      <c r="E886" s="4" t="s">
        <v>6040</v>
      </c>
    </row>
    <row r="887" spans="1:5">
      <c r="A887" s="4" t="s">
        <v>6064</v>
      </c>
      <c r="B887" s="4" t="s">
        <v>6103</v>
      </c>
      <c r="C887" s="4" t="s">
        <v>6097</v>
      </c>
      <c r="D887" s="4" t="s">
        <v>6039</v>
      </c>
      <c r="E887" s="4" t="s">
        <v>6040</v>
      </c>
    </row>
    <row r="888" spans="1:5">
      <c r="A888" s="4" t="s">
        <v>6064</v>
      </c>
      <c r="B888" s="4" t="s">
        <v>6103</v>
      </c>
      <c r="C888" s="4" t="s">
        <v>6098</v>
      </c>
      <c r="D888" s="4" t="s">
        <v>6039</v>
      </c>
      <c r="E888" s="4" t="s">
        <v>6040</v>
      </c>
    </row>
    <row r="889" spans="1:5">
      <c r="A889" s="4" t="s">
        <v>6064</v>
      </c>
      <c r="B889" s="4" t="s">
        <v>6103</v>
      </c>
      <c r="C889" s="4" t="s">
        <v>6099</v>
      </c>
      <c r="D889" s="4" t="s">
        <v>6039</v>
      </c>
      <c r="E889" s="4" t="s">
        <v>6040</v>
      </c>
    </row>
    <row r="890" spans="1:5">
      <c r="A890" s="4" t="s">
        <v>6064</v>
      </c>
      <c r="B890" s="4" t="s">
        <v>6103</v>
      </c>
      <c r="C890" s="4" t="s">
        <v>6100</v>
      </c>
      <c r="D890" s="4" t="s">
        <v>6039</v>
      </c>
      <c r="E890" s="4" t="s">
        <v>6040</v>
      </c>
    </row>
    <row r="891" spans="1:5">
      <c r="A891" s="4" t="s">
        <v>6064</v>
      </c>
      <c r="B891" s="4" t="s">
        <v>6104</v>
      </c>
      <c r="C891" s="4" t="s">
        <v>6070</v>
      </c>
      <c r="D891" s="4" t="s">
        <v>6039</v>
      </c>
      <c r="E891" s="4" t="s">
        <v>6040</v>
      </c>
    </row>
    <row r="892" spans="1:5">
      <c r="A892" s="4" t="s">
        <v>6064</v>
      </c>
      <c r="B892" s="4" t="s">
        <v>6104</v>
      </c>
      <c r="C892" s="4" t="s">
        <v>6071</v>
      </c>
      <c r="D892" s="4" t="s">
        <v>6033</v>
      </c>
      <c r="E892" s="4" t="s">
        <v>6034</v>
      </c>
    </row>
    <row r="893" spans="1:5">
      <c r="A893" s="4" t="s">
        <v>6064</v>
      </c>
      <c r="B893" s="4" t="s">
        <v>6104</v>
      </c>
      <c r="C893" s="4" t="s">
        <v>6072</v>
      </c>
      <c r="D893" s="4" t="s">
        <v>6033</v>
      </c>
      <c r="E893" s="4" t="s">
        <v>6034</v>
      </c>
    </row>
    <row r="894" spans="1:5">
      <c r="A894" s="4" t="s">
        <v>6064</v>
      </c>
      <c r="B894" s="4" t="s">
        <v>6104</v>
      </c>
      <c r="C894" s="4" t="s">
        <v>6073</v>
      </c>
      <c r="D894" s="4" t="s">
        <v>6033</v>
      </c>
      <c r="E894" s="4" t="s">
        <v>6034</v>
      </c>
    </row>
    <row r="895" spans="1:5">
      <c r="A895" s="4" t="s">
        <v>6064</v>
      </c>
      <c r="B895" s="4" t="s">
        <v>6104</v>
      </c>
      <c r="C895" s="4" t="s">
        <v>6074</v>
      </c>
      <c r="D895" s="4" t="s">
        <v>6033</v>
      </c>
      <c r="E895" s="4" t="s">
        <v>6034</v>
      </c>
    </row>
    <row r="896" spans="1:5">
      <c r="A896" s="4" t="s">
        <v>6064</v>
      </c>
      <c r="B896" s="4" t="s">
        <v>6104</v>
      </c>
      <c r="C896" s="4" t="s">
        <v>6075</v>
      </c>
      <c r="D896" s="4" t="s">
        <v>6033</v>
      </c>
      <c r="E896" s="4" t="s">
        <v>6034</v>
      </c>
    </row>
    <row r="897" spans="1:5">
      <c r="A897" s="4" t="s">
        <v>6064</v>
      </c>
      <c r="B897" s="4" t="s">
        <v>6104</v>
      </c>
      <c r="C897" s="4" t="s">
        <v>6076</v>
      </c>
      <c r="D897" s="4" t="s">
        <v>6039</v>
      </c>
      <c r="E897" s="4" t="s">
        <v>6040</v>
      </c>
    </row>
    <row r="898" spans="1:5">
      <c r="A898" s="4" t="s">
        <v>6064</v>
      </c>
      <c r="B898" s="4" t="s">
        <v>6104</v>
      </c>
      <c r="C898" s="4" t="s">
        <v>6077</v>
      </c>
      <c r="D898" s="4" t="s">
        <v>6033</v>
      </c>
      <c r="E898" s="4" t="s">
        <v>6034</v>
      </c>
    </row>
    <row r="899" spans="1:5">
      <c r="A899" s="4" t="s">
        <v>6064</v>
      </c>
      <c r="B899" s="4" t="s">
        <v>6104</v>
      </c>
      <c r="C899" s="4" t="s">
        <v>6078</v>
      </c>
      <c r="D899" s="4" t="s">
        <v>6039</v>
      </c>
      <c r="E899" s="4" t="s">
        <v>6040</v>
      </c>
    </row>
    <row r="900" spans="1:5">
      <c r="A900" s="4" t="s">
        <v>6064</v>
      </c>
      <c r="B900" s="4" t="s">
        <v>6104</v>
      </c>
      <c r="C900" s="4" t="s">
        <v>6079</v>
      </c>
      <c r="D900" s="4" t="s">
        <v>6039</v>
      </c>
      <c r="E900" s="4" t="s">
        <v>6040</v>
      </c>
    </row>
    <row r="901" spans="1:5">
      <c r="A901" s="4" t="s">
        <v>6064</v>
      </c>
      <c r="B901" s="4" t="s">
        <v>6104</v>
      </c>
      <c r="C901" s="4" t="s">
        <v>6080</v>
      </c>
      <c r="D901" s="4" t="s">
        <v>6039</v>
      </c>
      <c r="E901" s="4" t="s">
        <v>6040</v>
      </c>
    </row>
    <row r="902" spans="1:5">
      <c r="A902" s="4" t="s">
        <v>6064</v>
      </c>
      <c r="B902" s="4" t="s">
        <v>6104</v>
      </c>
      <c r="C902" s="4" t="s">
        <v>6081</v>
      </c>
      <c r="D902" s="4" t="s">
        <v>6039</v>
      </c>
      <c r="E902" s="4" t="s">
        <v>6040</v>
      </c>
    </row>
    <row r="903" spans="1:5">
      <c r="A903" s="4" t="s">
        <v>6064</v>
      </c>
      <c r="B903" s="4" t="s">
        <v>6104</v>
      </c>
      <c r="C903" s="4" t="s">
        <v>6082</v>
      </c>
      <c r="D903" s="4" t="s">
        <v>6039</v>
      </c>
      <c r="E903" s="4" t="s">
        <v>6040</v>
      </c>
    </row>
    <row r="904" spans="1:5">
      <c r="A904" s="4" t="s">
        <v>6064</v>
      </c>
      <c r="B904" s="4" t="s">
        <v>6104</v>
      </c>
      <c r="C904" s="4" t="s">
        <v>6083</v>
      </c>
      <c r="D904" s="4" t="s">
        <v>6039</v>
      </c>
      <c r="E904" s="4" t="s">
        <v>6040</v>
      </c>
    </row>
    <row r="905" spans="1:5">
      <c r="A905" s="4" t="s">
        <v>6064</v>
      </c>
      <c r="B905" s="4" t="s">
        <v>6104</v>
      </c>
      <c r="C905" s="4" t="s">
        <v>6084</v>
      </c>
      <c r="D905" s="4" t="s">
        <v>6039</v>
      </c>
      <c r="E905" s="4" t="s">
        <v>6040</v>
      </c>
    </row>
    <row r="906" spans="1:5">
      <c r="A906" s="4" t="s">
        <v>6064</v>
      </c>
      <c r="B906" s="4" t="s">
        <v>6104</v>
      </c>
      <c r="C906" s="4" t="s">
        <v>6085</v>
      </c>
      <c r="D906" s="4" t="s">
        <v>6039</v>
      </c>
      <c r="E906" s="4" t="s">
        <v>6040</v>
      </c>
    </row>
    <row r="907" spans="1:5">
      <c r="A907" s="4" t="s">
        <v>6064</v>
      </c>
      <c r="B907" s="4" t="s">
        <v>6104</v>
      </c>
      <c r="C907" s="4" t="s">
        <v>6086</v>
      </c>
      <c r="D907" s="4" t="s">
        <v>6039</v>
      </c>
      <c r="E907" s="4" t="s">
        <v>6040</v>
      </c>
    </row>
    <row r="908" spans="1:5">
      <c r="A908" s="4" t="s">
        <v>6064</v>
      </c>
      <c r="B908" s="4" t="s">
        <v>6104</v>
      </c>
      <c r="C908" s="4" t="s">
        <v>6087</v>
      </c>
      <c r="D908" s="4" t="s">
        <v>6039</v>
      </c>
      <c r="E908" s="4" t="s">
        <v>6040</v>
      </c>
    </row>
    <row r="909" spans="1:5">
      <c r="A909" s="4" t="s">
        <v>6064</v>
      </c>
      <c r="B909" s="4" t="s">
        <v>6104</v>
      </c>
      <c r="C909" s="4" t="s">
        <v>6088</v>
      </c>
      <c r="D909" s="4" t="s">
        <v>6039</v>
      </c>
      <c r="E909" s="4" t="s">
        <v>6040</v>
      </c>
    </row>
    <row r="910" spans="1:5">
      <c r="A910" s="4" t="s">
        <v>6064</v>
      </c>
      <c r="B910" s="4" t="s">
        <v>6104</v>
      </c>
      <c r="C910" s="4" t="s">
        <v>6089</v>
      </c>
      <c r="D910" s="4" t="s">
        <v>6039</v>
      </c>
      <c r="E910" s="4" t="s">
        <v>6040</v>
      </c>
    </row>
    <row r="911" spans="1:5">
      <c r="A911" s="4" t="s">
        <v>6064</v>
      </c>
      <c r="B911" s="4" t="s">
        <v>6104</v>
      </c>
      <c r="C911" s="4" t="s">
        <v>6090</v>
      </c>
      <c r="D911" s="4" t="s">
        <v>6039</v>
      </c>
      <c r="E911" s="4" t="s">
        <v>6040</v>
      </c>
    </row>
    <row r="912" spans="1:5">
      <c r="A912" s="4" t="s">
        <v>6064</v>
      </c>
      <c r="B912" s="4" t="s">
        <v>6104</v>
      </c>
      <c r="C912" s="4" t="s">
        <v>6091</v>
      </c>
      <c r="D912" s="4" t="s">
        <v>6039</v>
      </c>
      <c r="E912" s="4" t="s">
        <v>6040</v>
      </c>
    </row>
    <row r="913" spans="1:5">
      <c r="A913" s="4" t="s">
        <v>6064</v>
      </c>
      <c r="B913" s="4" t="s">
        <v>6104</v>
      </c>
      <c r="C913" s="4" t="s">
        <v>6092</v>
      </c>
      <c r="D913" s="4" t="s">
        <v>6039</v>
      </c>
      <c r="E913" s="4" t="s">
        <v>6040</v>
      </c>
    </row>
    <row r="914" spans="1:5">
      <c r="A914" s="4" t="s">
        <v>6064</v>
      </c>
      <c r="B914" s="4" t="s">
        <v>6104</v>
      </c>
      <c r="C914" s="4" t="s">
        <v>6093</v>
      </c>
      <c r="D914" s="4" t="s">
        <v>6039</v>
      </c>
      <c r="E914" s="4" t="s">
        <v>6040</v>
      </c>
    </row>
    <row r="915" spans="1:5">
      <c r="A915" s="4" t="s">
        <v>6064</v>
      </c>
      <c r="B915" s="4" t="s">
        <v>6104</v>
      </c>
      <c r="C915" s="4" t="s">
        <v>6094</v>
      </c>
      <c r="D915" s="4" t="s">
        <v>6039</v>
      </c>
      <c r="E915" s="4" t="s">
        <v>6040</v>
      </c>
    </row>
    <row r="916" spans="1:5">
      <c r="A916" s="4" t="s">
        <v>6064</v>
      </c>
      <c r="B916" s="4" t="s">
        <v>6104</v>
      </c>
      <c r="C916" s="4" t="s">
        <v>6095</v>
      </c>
      <c r="D916" s="4" t="s">
        <v>6039</v>
      </c>
      <c r="E916" s="4" t="s">
        <v>6040</v>
      </c>
    </row>
    <row r="917" spans="1:5">
      <c r="A917" s="4" t="s">
        <v>6064</v>
      </c>
      <c r="B917" s="4" t="s">
        <v>6104</v>
      </c>
      <c r="C917" s="4" t="s">
        <v>6096</v>
      </c>
      <c r="D917" s="4" t="s">
        <v>6039</v>
      </c>
      <c r="E917" s="4" t="s">
        <v>6040</v>
      </c>
    </row>
    <row r="918" spans="1:5">
      <c r="A918" s="4" t="s">
        <v>6064</v>
      </c>
      <c r="B918" s="4" t="s">
        <v>6104</v>
      </c>
      <c r="C918" s="4" t="s">
        <v>6097</v>
      </c>
      <c r="D918" s="4" t="s">
        <v>6039</v>
      </c>
      <c r="E918" s="4" t="s">
        <v>6040</v>
      </c>
    </row>
    <row r="919" spans="1:5">
      <c r="A919" s="4" t="s">
        <v>6064</v>
      </c>
      <c r="B919" s="4" t="s">
        <v>6104</v>
      </c>
      <c r="C919" s="4" t="s">
        <v>6098</v>
      </c>
      <c r="D919" s="4" t="s">
        <v>6039</v>
      </c>
      <c r="E919" s="4" t="s">
        <v>6040</v>
      </c>
    </row>
    <row r="920" spans="1:5">
      <c r="A920" s="4" t="s">
        <v>6064</v>
      </c>
      <c r="B920" s="4" t="s">
        <v>6104</v>
      </c>
      <c r="C920" s="4" t="s">
        <v>6099</v>
      </c>
      <c r="D920" s="4" t="s">
        <v>6039</v>
      </c>
      <c r="E920" s="4" t="s">
        <v>6040</v>
      </c>
    </row>
    <row r="921" spans="1:5">
      <c r="A921" s="4" t="s">
        <v>6064</v>
      </c>
      <c r="B921" s="4" t="s">
        <v>6104</v>
      </c>
      <c r="C921" s="4" t="s">
        <v>6100</v>
      </c>
      <c r="D921" s="4" t="s">
        <v>6039</v>
      </c>
      <c r="E921" s="4" t="s">
        <v>6040</v>
      </c>
    </row>
    <row r="922" spans="1:5">
      <c r="A922" s="4" t="s">
        <v>6064</v>
      </c>
      <c r="B922" s="4" t="s">
        <v>6105</v>
      </c>
      <c r="C922" s="4" t="s">
        <v>6070</v>
      </c>
      <c r="D922" s="4" t="s">
        <v>6039</v>
      </c>
      <c r="E922" s="4" t="s">
        <v>6040</v>
      </c>
    </row>
    <row r="923" spans="1:5">
      <c r="A923" s="4" t="s">
        <v>6064</v>
      </c>
      <c r="B923" s="4" t="s">
        <v>6105</v>
      </c>
      <c r="C923" s="4" t="s">
        <v>6071</v>
      </c>
      <c r="D923" s="4" t="s">
        <v>6033</v>
      </c>
      <c r="E923" s="4" t="s">
        <v>6034</v>
      </c>
    </row>
    <row r="924" spans="1:5">
      <c r="A924" s="4" t="s">
        <v>6064</v>
      </c>
      <c r="B924" s="4" t="s">
        <v>6105</v>
      </c>
      <c r="C924" s="4" t="s">
        <v>6072</v>
      </c>
      <c r="D924" s="4" t="s">
        <v>6033</v>
      </c>
      <c r="E924" s="4" t="s">
        <v>6034</v>
      </c>
    </row>
    <row r="925" spans="1:5">
      <c r="A925" s="4" t="s">
        <v>6064</v>
      </c>
      <c r="B925" s="4" t="s">
        <v>6105</v>
      </c>
      <c r="C925" s="4" t="s">
        <v>6073</v>
      </c>
      <c r="D925" s="4" t="s">
        <v>6033</v>
      </c>
      <c r="E925" s="4" t="s">
        <v>6034</v>
      </c>
    </row>
    <row r="926" spans="1:5">
      <c r="A926" s="4" t="s">
        <v>6064</v>
      </c>
      <c r="B926" s="4" t="s">
        <v>6105</v>
      </c>
      <c r="C926" s="4" t="s">
        <v>6074</v>
      </c>
      <c r="D926" s="4" t="s">
        <v>6033</v>
      </c>
      <c r="E926" s="4" t="s">
        <v>6034</v>
      </c>
    </row>
    <row r="927" spans="1:5">
      <c r="A927" s="4" t="s">
        <v>6064</v>
      </c>
      <c r="B927" s="4" t="s">
        <v>6105</v>
      </c>
      <c r="C927" s="4" t="s">
        <v>6075</v>
      </c>
      <c r="D927" s="4" t="s">
        <v>6033</v>
      </c>
      <c r="E927" s="4" t="s">
        <v>6034</v>
      </c>
    </row>
    <row r="928" spans="1:5">
      <c r="A928" s="4" t="s">
        <v>6064</v>
      </c>
      <c r="B928" s="4" t="s">
        <v>6105</v>
      </c>
      <c r="C928" s="4" t="s">
        <v>6076</v>
      </c>
      <c r="D928" s="4" t="s">
        <v>6033</v>
      </c>
      <c r="E928" s="4" t="s">
        <v>6034</v>
      </c>
    </row>
    <row r="929" spans="1:5">
      <c r="A929" s="4" t="s">
        <v>6064</v>
      </c>
      <c r="B929" s="4" t="s">
        <v>6105</v>
      </c>
      <c r="C929" s="4" t="s">
        <v>6077</v>
      </c>
      <c r="D929" s="4" t="s">
        <v>6033</v>
      </c>
      <c r="E929" s="4" t="s">
        <v>6034</v>
      </c>
    </row>
    <row r="930" spans="1:5">
      <c r="A930" s="4" t="s">
        <v>6064</v>
      </c>
      <c r="B930" s="4" t="s">
        <v>6105</v>
      </c>
      <c r="C930" s="4" t="s">
        <v>6078</v>
      </c>
      <c r="D930" s="4" t="s">
        <v>6033</v>
      </c>
      <c r="E930" s="4" t="s">
        <v>6034</v>
      </c>
    </row>
    <row r="931" spans="1:5">
      <c r="A931" s="4" t="s">
        <v>6064</v>
      </c>
      <c r="B931" s="4" t="s">
        <v>6105</v>
      </c>
      <c r="C931" s="4" t="s">
        <v>6079</v>
      </c>
      <c r="D931" s="4" t="s">
        <v>6033</v>
      </c>
      <c r="E931" s="4" t="s">
        <v>6034</v>
      </c>
    </row>
    <row r="932" spans="1:5">
      <c r="A932" s="4" t="s">
        <v>6064</v>
      </c>
      <c r="B932" s="4" t="s">
        <v>6105</v>
      </c>
      <c r="C932" s="4" t="s">
        <v>6080</v>
      </c>
      <c r="D932" s="4" t="s">
        <v>6033</v>
      </c>
      <c r="E932" s="4" t="s">
        <v>6034</v>
      </c>
    </row>
    <row r="933" spans="1:5">
      <c r="A933" s="4" t="s">
        <v>6064</v>
      </c>
      <c r="B933" s="4" t="s">
        <v>6105</v>
      </c>
      <c r="C933" s="4" t="s">
        <v>6081</v>
      </c>
      <c r="D933" s="4" t="s">
        <v>6033</v>
      </c>
      <c r="E933" s="4" t="s">
        <v>6034</v>
      </c>
    </row>
    <row r="934" spans="1:5">
      <c r="A934" s="4" t="s">
        <v>6064</v>
      </c>
      <c r="B934" s="4" t="s">
        <v>6105</v>
      </c>
      <c r="C934" s="4" t="s">
        <v>6082</v>
      </c>
      <c r="D934" s="4" t="s">
        <v>6033</v>
      </c>
      <c r="E934" s="4" t="s">
        <v>6034</v>
      </c>
    </row>
    <row r="935" spans="1:5">
      <c r="A935" s="4" t="s">
        <v>6064</v>
      </c>
      <c r="B935" s="4" t="s">
        <v>6105</v>
      </c>
      <c r="C935" s="4" t="s">
        <v>6083</v>
      </c>
      <c r="D935" s="4" t="s">
        <v>6033</v>
      </c>
      <c r="E935" s="4" t="s">
        <v>6034</v>
      </c>
    </row>
    <row r="936" spans="1:5">
      <c r="A936" s="4" t="s">
        <v>6064</v>
      </c>
      <c r="B936" s="4" t="s">
        <v>6105</v>
      </c>
      <c r="C936" s="4" t="s">
        <v>6084</v>
      </c>
      <c r="D936" s="4" t="s">
        <v>6033</v>
      </c>
      <c r="E936" s="4" t="s">
        <v>6034</v>
      </c>
    </row>
    <row r="937" spans="1:5">
      <c r="A937" s="4" t="s">
        <v>6064</v>
      </c>
      <c r="B937" s="4" t="s">
        <v>6105</v>
      </c>
      <c r="C937" s="4" t="s">
        <v>6085</v>
      </c>
      <c r="D937" s="4" t="s">
        <v>6033</v>
      </c>
      <c r="E937" s="4" t="s">
        <v>6034</v>
      </c>
    </row>
    <row r="938" spans="1:5">
      <c r="A938" s="4" t="s">
        <v>6064</v>
      </c>
      <c r="B938" s="4" t="s">
        <v>6105</v>
      </c>
      <c r="C938" s="4" t="s">
        <v>6086</v>
      </c>
      <c r="D938" s="4" t="s">
        <v>6033</v>
      </c>
      <c r="E938" s="4" t="s">
        <v>6034</v>
      </c>
    </row>
    <row r="939" spans="1:5">
      <c r="A939" s="4" t="s">
        <v>6064</v>
      </c>
      <c r="B939" s="4" t="s">
        <v>6105</v>
      </c>
      <c r="C939" s="4" t="s">
        <v>6087</v>
      </c>
      <c r="D939" s="4" t="s">
        <v>6033</v>
      </c>
      <c r="E939" s="4" t="s">
        <v>6034</v>
      </c>
    </row>
    <row r="940" spans="1:5">
      <c r="A940" s="4" t="s">
        <v>6064</v>
      </c>
      <c r="B940" s="4" t="s">
        <v>6105</v>
      </c>
      <c r="C940" s="4" t="s">
        <v>6089</v>
      </c>
      <c r="D940" s="4" t="s">
        <v>6039</v>
      </c>
      <c r="E940" s="4" t="s">
        <v>6040</v>
      </c>
    </row>
    <row r="941" spans="1:5">
      <c r="A941" s="4" t="s">
        <v>6064</v>
      </c>
      <c r="B941" s="4" t="s">
        <v>6105</v>
      </c>
      <c r="C941" s="4" t="s">
        <v>6090</v>
      </c>
      <c r="D941" s="4" t="s">
        <v>6039</v>
      </c>
      <c r="E941" s="4" t="s">
        <v>6040</v>
      </c>
    </row>
    <row r="942" spans="1:5">
      <c r="A942" s="4" t="s">
        <v>6064</v>
      </c>
      <c r="B942" s="4" t="s">
        <v>6105</v>
      </c>
      <c r="C942" s="4" t="s">
        <v>6091</v>
      </c>
      <c r="D942" s="4" t="s">
        <v>6039</v>
      </c>
      <c r="E942" s="4" t="s">
        <v>6040</v>
      </c>
    </row>
    <row r="943" spans="1:5">
      <c r="A943" s="4" t="s">
        <v>6064</v>
      </c>
      <c r="B943" s="4" t="s">
        <v>6105</v>
      </c>
      <c r="C943" s="4" t="s">
        <v>6092</v>
      </c>
      <c r="D943" s="4" t="s">
        <v>6039</v>
      </c>
      <c r="E943" s="4" t="s">
        <v>6040</v>
      </c>
    </row>
    <row r="944" spans="1:5">
      <c r="A944" s="4" t="s">
        <v>6064</v>
      </c>
      <c r="B944" s="4" t="s">
        <v>6105</v>
      </c>
      <c r="C944" s="4" t="s">
        <v>6093</v>
      </c>
      <c r="D944" s="4" t="s">
        <v>6039</v>
      </c>
      <c r="E944" s="4" t="s">
        <v>6040</v>
      </c>
    </row>
    <row r="945" spans="1:5">
      <c r="A945" s="4" t="s">
        <v>6064</v>
      </c>
      <c r="B945" s="4" t="s">
        <v>6105</v>
      </c>
      <c r="C945" s="4" t="s">
        <v>6094</v>
      </c>
      <c r="D945" s="4" t="s">
        <v>6039</v>
      </c>
      <c r="E945" s="4" t="s">
        <v>6040</v>
      </c>
    </row>
    <row r="946" spans="1:5">
      <c r="A946" s="4" t="s">
        <v>6064</v>
      </c>
      <c r="B946" s="4" t="s">
        <v>6105</v>
      </c>
      <c r="C946" s="4" t="s">
        <v>6095</v>
      </c>
      <c r="D946" s="4" t="s">
        <v>6039</v>
      </c>
      <c r="E946" s="4" t="s">
        <v>6040</v>
      </c>
    </row>
    <row r="947" spans="1:5">
      <c r="A947" s="4" t="s">
        <v>6064</v>
      </c>
      <c r="B947" s="4" t="s">
        <v>6105</v>
      </c>
      <c r="C947" s="4" t="s">
        <v>6096</v>
      </c>
      <c r="D947" s="4" t="s">
        <v>6039</v>
      </c>
      <c r="E947" s="4" t="s">
        <v>6040</v>
      </c>
    </row>
    <row r="948" spans="1:5">
      <c r="A948" s="4" t="s">
        <v>6064</v>
      </c>
      <c r="B948" s="4" t="s">
        <v>6105</v>
      </c>
      <c r="C948" s="4" t="s">
        <v>6097</v>
      </c>
      <c r="D948" s="4" t="s">
        <v>6039</v>
      </c>
      <c r="E948" s="4" t="s">
        <v>6040</v>
      </c>
    </row>
    <row r="949" spans="1:5">
      <c r="A949" s="4" t="s">
        <v>6064</v>
      </c>
      <c r="B949" s="4" t="s">
        <v>6105</v>
      </c>
      <c r="C949" s="4" t="s">
        <v>6098</v>
      </c>
      <c r="D949" s="4" t="s">
        <v>6039</v>
      </c>
      <c r="E949" s="4" t="s">
        <v>6040</v>
      </c>
    </row>
    <row r="950" spans="1:5">
      <c r="A950" s="4" t="s">
        <v>6064</v>
      </c>
      <c r="B950" s="4" t="s">
        <v>6105</v>
      </c>
      <c r="C950" s="4" t="s">
        <v>6099</v>
      </c>
      <c r="D950" s="4" t="s">
        <v>6039</v>
      </c>
      <c r="E950" s="4" t="s">
        <v>6040</v>
      </c>
    </row>
    <row r="951" spans="1:5">
      <c r="A951" s="4" t="s">
        <v>6064</v>
      </c>
      <c r="B951" s="4" t="s">
        <v>6105</v>
      </c>
      <c r="C951" s="4" t="s">
        <v>6100</v>
      </c>
      <c r="D951" s="4" t="s">
        <v>6039</v>
      </c>
      <c r="E951" s="4" t="s">
        <v>6040</v>
      </c>
    </row>
    <row r="952" spans="1:5">
      <c r="A952" s="4" t="s">
        <v>6064</v>
      </c>
      <c r="B952" s="4" t="s">
        <v>6106</v>
      </c>
      <c r="C952" s="4" t="s">
        <v>6071</v>
      </c>
      <c r="D952" s="4" t="s">
        <v>6033</v>
      </c>
      <c r="E952" s="4" t="s">
        <v>6034</v>
      </c>
    </row>
    <row r="953" spans="1:5">
      <c r="A953" s="4" t="s">
        <v>6064</v>
      </c>
      <c r="B953" s="4" t="s">
        <v>6106</v>
      </c>
      <c r="C953" s="4" t="s">
        <v>6072</v>
      </c>
      <c r="D953" s="4" t="s">
        <v>6033</v>
      </c>
      <c r="E953" s="4" t="s">
        <v>6034</v>
      </c>
    </row>
    <row r="954" spans="1:5">
      <c r="A954" s="4" t="s">
        <v>6064</v>
      </c>
      <c r="B954" s="4" t="s">
        <v>6106</v>
      </c>
      <c r="C954" s="4" t="s">
        <v>6073</v>
      </c>
      <c r="D954" s="4" t="s">
        <v>6033</v>
      </c>
      <c r="E954" s="4" t="s">
        <v>6034</v>
      </c>
    </row>
    <row r="955" spans="1:5">
      <c r="A955" s="4" t="s">
        <v>6064</v>
      </c>
      <c r="B955" s="4" t="s">
        <v>6106</v>
      </c>
      <c r="C955" s="4" t="s">
        <v>6074</v>
      </c>
      <c r="D955" s="4" t="s">
        <v>6033</v>
      </c>
      <c r="E955" s="4" t="s">
        <v>6034</v>
      </c>
    </row>
    <row r="956" spans="1:5">
      <c r="A956" s="4" t="s">
        <v>6064</v>
      </c>
      <c r="B956" s="4" t="s">
        <v>6106</v>
      </c>
      <c r="C956" s="4" t="s">
        <v>6075</v>
      </c>
      <c r="D956" s="4" t="s">
        <v>6033</v>
      </c>
      <c r="E956" s="4" t="s">
        <v>6034</v>
      </c>
    </row>
    <row r="957" spans="1:5">
      <c r="A957" s="4" t="s">
        <v>6064</v>
      </c>
      <c r="B957" s="4" t="s">
        <v>6106</v>
      </c>
      <c r="C957" s="4" t="s">
        <v>6076</v>
      </c>
      <c r="D957" s="4" t="s">
        <v>6033</v>
      </c>
      <c r="E957" s="4" t="s">
        <v>6034</v>
      </c>
    </row>
    <row r="958" spans="1:5">
      <c r="A958" s="4" t="s">
        <v>6064</v>
      </c>
      <c r="B958" s="4" t="s">
        <v>6106</v>
      </c>
      <c r="C958" s="4" t="s">
        <v>6077</v>
      </c>
      <c r="D958" s="4" t="s">
        <v>6033</v>
      </c>
      <c r="E958" s="4" t="s">
        <v>6034</v>
      </c>
    </row>
    <row r="959" spans="1:5">
      <c r="A959" s="4" t="s">
        <v>6064</v>
      </c>
      <c r="B959" s="4" t="s">
        <v>6106</v>
      </c>
      <c r="C959" s="4" t="s">
        <v>6078</v>
      </c>
      <c r="D959" s="4" t="s">
        <v>6033</v>
      </c>
      <c r="E959" s="4" t="s">
        <v>6034</v>
      </c>
    </row>
    <row r="960" spans="1:5">
      <c r="A960" s="4" t="s">
        <v>6064</v>
      </c>
      <c r="B960" s="4" t="s">
        <v>6106</v>
      </c>
      <c r="C960" s="4" t="s">
        <v>6079</v>
      </c>
      <c r="D960" s="4" t="s">
        <v>6033</v>
      </c>
      <c r="E960" s="4" t="s">
        <v>6034</v>
      </c>
    </row>
    <row r="961" spans="1:5">
      <c r="A961" s="4" t="s">
        <v>6064</v>
      </c>
      <c r="B961" s="4" t="s">
        <v>6106</v>
      </c>
      <c r="C961" s="4" t="s">
        <v>6080</v>
      </c>
      <c r="D961" s="4" t="s">
        <v>6033</v>
      </c>
      <c r="E961" s="4" t="s">
        <v>6034</v>
      </c>
    </row>
    <row r="962" spans="1:5">
      <c r="A962" s="4" t="s">
        <v>6064</v>
      </c>
      <c r="B962" s="4" t="s">
        <v>6106</v>
      </c>
      <c r="C962" s="4" t="s">
        <v>6081</v>
      </c>
      <c r="D962" s="4" t="s">
        <v>6033</v>
      </c>
      <c r="E962" s="4" t="s">
        <v>6034</v>
      </c>
    </row>
    <row r="963" spans="1:5">
      <c r="A963" s="4" t="s">
        <v>6064</v>
      </c>
      <c r="B963" s="4" t="s">
        <v>6106</v>
      </c>
      <c r="C963" s="4" t="s">
        <v>6082</v>
      </c>
      <c r="D963" s="4" t="s">
        <v>6033</v>
      </c>
      <c r="E963" s="4" t="s">
        <v>6034</v>
      </c>
    </row>
    <row r="964" spans="1:5">
      <c r="A964" s="4" t="s">
        <v>6064</v>
      </c>
      <c r="B964" s="4" t="s">
        <v>6106</v>
      </c>
      <c r="C964" s="4" t="s">
        <v>6083</v>
      </c>
      <c r="D964" s="4" t="s">
        <v>6033</v>
      </c>
      <c r="E964" s="4" t="s">
        <v>6034</v>
      </c>
    </row>
    <row r="965" spans="1:5">
      <c r="A965" s="4" t="s">
        <v>6064</v>
      </c>
      <c r="B965" s="4" t="s">
        <v>6106</v>
      </c>
      <c r="C965" s="4" t="s">
        <v>6084</v>
      </c>
      <c r="D965" s="4" t="s">
        <v>6033</v>
      </c>
      <c r="E965" s="4" t="s">
        <v>6034</v>
      </c>
    </row>
    <row r="966" spans="1:5">
      <c r="A966" s="4" t="s">
        <v>6064</v>
      </c>
      <c r="B966" s="4" t="s">
        <v>6106</v>
      </c>
      <c r="C966" s="4" t="s">
        <v>6085</v>
      </c>
      <c r="D966" s="4" t="s">
        <v>6033</v>
      </c>
      <c r="E966" s="4" t="s">
        <v>6034</v>
      </c>
    </row>
    <row r="967" spans="1:5">
      <c r="A967" s="4" t="s">
        <v>6064</v>
      </c>
      <c r="B967" s="4" t="s">
        <v>6106</v>
      </c>
      <c r="C967" s="4" t="s">
        <v>6086</v>
      </c>
      <c r="D967" s="4" t="s">
        <v>6033</v>
      </c>
      <c r="E967" s="4" t="s">
        <v>6034</v>
      </c>
    </row>
    <row r="968" spans="1:5">
      <c r="A968" s="4" t="s">
        <v>6064</v>
      </c>
      <c r="B968" s="4" t="s">
        <v>6106</v>
      </c>
      <c r="C968" s="4" t="s">
        <v>6087</v>
      </c>
      <c r="D968" s="4" t="s">
        <v>6033</v>
      </c>
      <c r="E968" s="4" t="s">
        <v>6034</v>
      </c>
    </row>
    <row r="969" spans="1:5">
      <c r="A969" s="4" t="s">
        <v>6064</v>
      </c>
      <c r="B969" s="4" t="s">
        <v>6106</v>
      </c>
      <c r="C969" s="4" t="s">
        <v>6090</v>
      </c>
      <c r="D969" s="4" t="s">
        <v>6039</v>
      </c>
      <c r="E969" s="4" t="s">
        <v>6040</v>
      </c>
    </row>
    <row r="970" spans="1:5">
      <c r="A970" s="4" t="s">
        <v>6064</v>
      </c>
      <c r="B970" s="4" t="s">
        <v>6106</v>
      </c>
      <c r="C970" s="4" t="s">
        <v>6091</v>
      </c>
      <c r="D970" s="4" t="s">
        <v>6039</v>
      </c>
      <c r="E970" s="4" t="s">
        <v>6040</v>
      </c>
    </row>
    <row r="971" spans="1:5">
      <c r="A971" s="4" t="s">
        <v>6064</v>
      </c>
      <c r="B971" s="4" t="s">
        <v>6106</v>
      </c>
      <c r="C971" s="4" t="s">
        <v>6092</v>
      </c>
      <c r="D971" s="4" t="s">
        <v>6039</v>
      </c>
      <c r="E971" s="4" t="s">
        <v>6040</v>
      </c>
    </row>
    <row r="972" spans="1:5">
      <c r="A972" s="4" t="s">
        <v>6064</v>
      </c>
      <c r="B972" s="4" t="s">
        <v>6106</v>
      </c>
      <c r="C972" s="4" t="s">
        <v>6093</v>
      </c>
      <c r="D972" s="4" t="s">
        <v>6039</v>
      </c>
      <c r="E972" s="4" t="s">
        <v>6040</v>
      </c>
    </row>
    <row r="973" spans="1:5">
      <c r="A973" s="4" t="s">
        <v>6064</v>
      </c>
      <c r="B973" s="4" t="s">
        <v>6106</v>
      </c>
      <c r="C973" s="4" t="s">
        <v>6094</v>
      </c>
      <c r="D973" s="4" t="s">
        <v>6039</v>
      </c>
      <c r="E973" s="4" t="s">
        <v>6040</v>
      </c>
    </row>
    <row r="974" spans="1:5">
      <c r="A974" s="4" t="s">
        <v>6064</v>
      </c>
      <c r="B974" s="4" t="s">
        <v>6106</v>
      </c>
      <c r="C974" s="4" t="s">
        <v>6095</v>
      </c>
      <c r="D974" s="4" t="s">
        <v>6039</v>
      </c>
      <c r="E974" s="4" t="s">
        <v>6040</v>
      </c>
    </row>
    <row r="975" spans="1:5">
      <c r="A975" s="4" t="s">
        <v>6064</v>
      </c>
      <c r="B975" s="4" t="s">
        <v>6106</v>
      </c>
      <c r="C975" s="4" t="s">
        <v>6096</v>
      </c>
      <c r="D975" s="4" t="s">
        <v>6039</v>
      </c>
      <c r="E975" s="4" t="s">
        <v>6040</v>
      </c>
    </row>
    <row r="976" spans="1:5">
      <c r="A976" s="4" t="s">
        <v>6064</v>
      </c>
      <c r="B976" s="4" t="s">
        <v>6106</v>
      </c>
      <c r="C976" s="4" t="s">
        <v>6097</v>
      </c>
      <c r="D976" s="4" t="s">
        <v>6039</v>
      </c>
      <c r="E976" s="4" t="s">
        <v>6040</v>
      </c>
    </row>
    <row r="977" spans="1:5">
      <c r="A977" s="4" t="s">
        <v>6064</v>
      </c>
      <c r="B977" s="4" t="s">
        <v>6106</v>
      </c>
      <c r="C977" s="4" t="s">
        <v>6098</v>
      </c>
      <c r="D977" s="4" t="s">
        <v>6039</v>
      </c>
      <c r="E977" s="4" t="s">
        <v>6040</v>
      </c>
    </row>
    <row r="978" spans="1:5">
      <c r="A978" s="4" t="s">
        <v>6064</v>
      </c>
      <c r="B978" s="4" t="s">
        <v>6106</v>
      </c>
      <c r="C978" s="4" t="s">
        <v>6099</v>
      </c>
      <c r="D978" s="4" t="s">
        <v>6039</v>
      </c>
      <c r="E978" s="4" t="s">
        <v>6040</v>
      </c>
    </row>
    <row r="979" spans="1:5">
      <c r="A979" s="4" t="s">
        <v>6064</v>
      </c>
      <c r="B979" s="4" t="s">
        <v>6106</v>
      </c>
      <c r="C979" s="4" t="s">
        <v>6100</v>
      </c>
      <c r="D979" s="4" t="s">
        <v>6039</v>
      </c>
      <c r="E979" s="4" t="s">
        <v>6040</v>
      </c>
    </row>
    <row r="980" spans="1:5">
      <c r="A980" s="4" t="s">
        <v>6064</v>
      </c>
      <c r="B980" s="4" t="s">
        <v>6106</v>
      </c>
      <c r="C980" s="4" t="s">
        <v>6104</v>
      </c>
      <c r="D980" s="4" t="s">
        <v>6033</v>
      </c>
      <c r="E980" s="4" t="s">
        <v>6034</v>
      </c>
    </row>
    <row r="981" spans="1:5">
      <c r="A981" s="4" t="s">
        <v>6064</v>
      </c>
      <c r="B981" s="4" t="s">
        <v>6106</v>
      </c>
      <c r="C981" s="4" t="s">
        <v>6105</v>
      </c>
      <c r="D981" s="4" t="s">
        <v>6033</v>
      </c>
      <c r="E981" s="4" t="s">
        <v>6034</v>
      </c>
    </row>
    <row r="982" spans="1:5">
      <c r="A982" s="4" t="s">
        <v>6064</v>
      </c>
      <c r="B982" s="4" t="s">
        <v>6107</v>
      </c>
      <c r="C982" s="4" t="s">
        <v>6071</v>
      </c>
      <c r="D982" s="4" t="s">
        <v>6033</v>
      </c>
      <c r="E982" s="4" t="s">
        <v>6034</v>
      </c>
    </row>
    <row r="983" spans="1:5">
      <c r="A983" s="4" t="s">
        <v>6064</v>
      </c>
      <c r="B983" s="4" t="s">
        <v>6107</v>
      </c>
      <c r="C983" s="4" t="s">
        <v>6072</v>
      </c>
      <c r="D983" s="4" t="s">
        <v>6033</v>
      </c>
      <c r="E983" s="4" t="s">
        <v>6034</v>
      </c>
    </row>
    <row r="984" spans="1:5">
      <c r="A984" s="4" t="s">
        <v>6064</v>
      </c>
      <c r="B984" s="4" t="s">
        <v>6107</v>
      </c>
      <c r="C984" s="4" t="s">
        <v>6073</v>
      </c>
      <c r="D984" s="4" t="s">
        <v>6033</v>
      </c>
      <c r="E984" s="4" t="s">
        <v>6034</v>
      </c>
    </row>
    <row r="985" spans="1:5">
      <c r="A985" s="4" t="s">
        <v>6064</v>
      </c>
      <c r="B985" s="4" t="s">
        <v>6107</v>
      </c>
      <c r="C985" s="4" t="s">
        <v>6074</v>
      </c>
      <c r="D985" s="4" t="s">
        <v>6033</v>
      </c>
      <c r="E985" s="4" t="s">
        <v>6034</v>
      </c>
    </row>
    <row r="986" spans="1:5">
      <c r="A986" s="4" t="s">
        <v>6064</v>
      </c>
      <c r="B986" s="4" t="s">
        <v>6107</v>
      </c>
      <c r="C986" s="4" t="s">
        <v>6075</v>
      </c>
      <c r="D986" s="4" t="s">
        <v>6033</v>
      </c>
      <c r="E986" s="4" t="s">
        <v>6034</v>
      </c>
    </row>
    <row r="987" spans="1:5">
      <c r="A987" s="4" t="s">
        <v>6064</v>
      </c>
      <c r="B987" s="4" t="s">
        <v>6107</v>
      </c>
      <c r="C987" s="4" t="s">
        <v>6076</v>
      </c>
      <c r="D987" s="4" t="s">
        <v>6033</v>
      </c>
      <c r="E987" s="4" t="s">
        <v>6034</v>
      </c>
    </row>
    <row r="988" spans="1:5">
      <c r="A988" s="4" t="s">
        <v>6064</v>
      </c>
      <c r="B988" s="4" t="s">
        <v>6107</v>
      </c>
      <c r="C988" s="4" t="s">
        <v>6077</v>
      </c>
      <c r="D988" s="4" t="s">
        <v>6033</v>
      </c>
      <c r="E988" s="4" t="s">
        <v>6034</v>
      </c>
    </row>
    <row r="989" spans="1:5">
      <c r="A989" s="4" t="s">
        <v>6064</v>
      </c>
      <c r="B989" s="4" t="s">
        <v>6107</v>
      </c>
      <c r="C989" s="4" t="s">
        <v>6078</v>
      </c>
      <c r="D989" s="4" t="s">
        <v>6033</v>
      </c>
      <c r="E989" s="4" t="s">
        <v>6034</v>
      </c>
    </row>
    <row r="990" spans="1:5">
      <c r="A990" s="4" t="s">
        <v>6064</v>
      </c>
      <c r="B990" s="4" t="s">
        <v>6107</v>
      </c>
      <c r="C990" s="4" t="s">
        <v>6079</v>
      </c>
      <c r="D990" s="4" t="s">
        <v>6033</v>
      </c>
      <c r="E990" s="4" t="s">
        <v>6034</v>
      </c>
    </row>
    <row r="991" spans="1:5">
      <c r="A991" s="4" t="s">
        <v>6064</v>
      </c>
      <c r="B991" s="4" t="s">
        <v>6107</v>
      </c>
      <c r="C991" s="4" t="s">
        <v>6080</v>
      </c>
      <c r="D991" s="4" t="s">
        <v>6033</v>
      </c>
      <c r="E991" s="4" t="s">
        <v>6034</v>
      </c>
    </row>
    <row r="992" spans="1:5">
      <c r="A992" s="4" t="s">
        <v>6064</v>
      </c>
      <c r="B992" s="4" t="s">
        <v>6107</v>
      </c>
      <c r="C992" s="4" t="s">
        <v>6081</v>
      </c>
      <c r="D992" s="4" t="s">
        <v>6033</v>
      </c>
      <c r="E992" s="4" t="s">
        <v>6034</v>
      </c>
    </row>
    <row r="993" spans="1:5">
      <c r="A993" s="4" t="s">
        <v>6064</v>
      </c>
      <c r="B993" s="4" t="s">
        <v>6107</v>
      </c>
      <c r="C993" s="4" t="s">
        <v>6082</v>
      </c>
      <c r="D993" s="4" t="s">
        <v>6033</v>
      </c>
      <c r="E993" s="4" t="s">
        <v>6034</v>
      </c>
    </row>
    <row r="994" spans="1:5">
      <c r="A994" s="4" t="s">
        <v>6064</v>
      </c>
      <c r="B994" s="4" t="s">
        <v>6107</v>
      </c>
      <c r="C994" s="4" t="s">
        <v>6083</v>
      </c>
      <c r="D994" s="4" t="s">
        <v>6033</v>
      </c>
      <c r="E994" s="4" t="s">
        <v>6034</v>
      </c>
    </row>
    <row r="995" spans="1:5">
      <c r="A995" s="4" t="s">
        <v>6064</v>
      </c>
      <c r="B995" s="4" t="s">
        <v>6107</v>
      </c>
      <c r="C995" s="4" t="s">
        <v>6084</v>
      </c>
      <c r="D995" s="4" t="s">
        <v>6033</v>
      </c>
      <c r="E995" s="4" t="s">
        <v>6034</v>
      </c>
    </row>
    <row r="996" spans="1:5">
      <c r="A996" s="4" t="s">
        <v>6064</v>
      </c>
      <c r="B996" s="4" t="s">
        <v>6107</v>
      </c>
      <c r="C996" s="4" t="s">
        <v>6085</v>
      </c>
      <c r="D996" s="4" t="s">
        <v>6033</v>
      </c>
      <c r="E996" s="4" t="s">
        <v>6034</v>
      </c>
    </row>
    <row r="997" spans="1:5">
      <c r="A997" s="4" t="s">
        <v>6064</v>
      </c>
      <c r="B997" s="4" t="s">
        <v>6107</v>
      </c>
      <c r="C997" s="4" t="s">
        <v>6086</v>
      </c>
      <c r="D997" s="4" t="s">
        <v>6033</v>
      </c>
      <c r="E997" s="4" t="s">
        <v>6034</v>
      </c>
    </row>
    <row r="998" spans="1:5">
      <c r="A998" s="4" t="s">
        <v>6064</v>
      </c>
      <c r="B998" s="4" t="s">
        <v>6107</v>
      </c>
      <c r="C998" s="4" t="s">
        <v>6087</v>
      </c>
      <c r="D998" s="4" t="s">
        <v>6033</v>
      </c>
      <c r="E998" s="4" t="s">
        <v>6034</v>
      </c>
    </row>
    <row r="999" spans="1:5">
      <c r="A999" s="4" t="s">
        <v>6064</v>
      </c>
      <c r="B999" s="4" t="s">
        <v>6107</v>
      </c>
      <c r="C999" s="4" t="s">
        <v>6089</v>
      </c>
      <c r="D999" s="4" t="s">
        <v>6039</v>
      </c>
      <c r="E999" s="4" t="s">
        <v>6040</v>
      </c>
    </row>
    <row r="1000" spans="1:5">
      <c r="A1000" s="4" t="s">
        <v>6064</v>
      </c>
      <c r="B1000" s="4" t="s">
        <v>6107</v>
      </c>
      <c r="C1000" s="4" t="s">
        <v>6092</v>
      </c>
      <c r="D1000" s="4" t="s">
        <v>6039</v>
      </c>
      <c r="E1000" s="4" t="s">
        <v>6040</v>
      </c>
    </row>
    <row r="1001" spans="1:5">
      <c r="A1001" s="4" t="s">
        <v>6064</v>
      </c>
      <c r="B1001" s="4" t="s">
        <v>6107</v>
      </c>
      <c r="C1001" s="4" t="s">
        <v>6093</v>
      </c>
      <c r="D1001" s="4" t="s">
        <v>6039</v>
      </c>
      <c r="E1001" s="4" t="s">
        <v>6040</v>
      </c>
    </row>
    <row r="1002" spans="1:5">
      <c r="A1002" s="4" t="s">
        <v>6064</v>
      </c>
      <c r="B1002" s="4" t="s">
        <v>6107</v>
      </c>
      <c r="C1002" s="4" t="s">
        <v>6094</v>
      </c>
      <c r="D1002" s="4" t="s">
        <v>6039</v>
      </c>
      <c r="E1002" s="4" t="s">
        <v>6040</v>
      </c>
    </row>
    <row r="1003" spans="1:5">
      <c r="A1003" s="4" t="s">
        <v>6064</v>
      </c>
      <c r="B1003" s="4" t="s">
        <v>6107</v>
      </c>
      <c r="C1003" s="4" t="s">
        <v>6096</v>
      </c>
      <c r="D1003" s="4" t="s">
        <v>6039</v>
      </c>
      <c r="E1003" s="4" t="s">
        <v>6040</v>
      </c>
    </row>
    <row r="1004" spans="1:5">
      <c r="A1004" s="4" t="s">
        <v>6064</v>
      </c>
      <c r="B1004" s="4" t="s">
        <v>6107</v>
      </c>
      <c r="C1004" s="4" t="s">
        <v>6097</v>
      </c>
      <c r="D1004" s="4" t="s">
        <v>6039</v>
      </c>
      <c r="E1004" s="4" t="s">
        <v>6040</v>
      </c>
    </row>
    <row r="1005" spans="1:5">
      <c r="A1005" s="4" t="s">
        <v>6064</v>
      </c>
      <c r="B1005" s="4" t="s">
        <v>6107</v>
      </c>
      <c r="C1005" s="4" t="s">
        <v>6098</v>
      </c>
      <c r="D1005" s="4" t="s">
        <v>6039</v>
      </c>
      <c r="E1005" s="4" t="s">
        <v>6040</v>
      </c>
    </row>
    <row r="1006" spans="1:5">
      <c r="A1006" s="4" t="s">
        <v>6064</v>
      </c>
      <c r="B1006" s="4" t="s">
        <v>6107</v>
      </c>
      <c r="C1006" s="4" t="s">
        <v>6099</v>
      </c>
      <c r="D1006" s="4" t="s">
        <v>6039</v>
      </c>
      <c r="E1006" s="4" t="s">
        <v>6040</v>
      </c>
    </row>
    <row r="1007" spans="1:5">
      <c r="A1007" s="4" t="s">
        <v>6064</v>
      </c>
      <c r="B1007" s="4" t="s">
        <v>6107</v>
      </c>
      <c r="C1007" s="4" t="s">
        <v>6100</v>
      </c>
      <c r="D1007" s="4" t="s">
        <v>6039</v>
      </c>
      <c r="E1007" s="4" t="s">
        <v>6040</v>
      </c>
    </row>
    <row r="1008" spans="1:5">
      <c r="A1008" s="4" t="s">
        <v>6064</v>
      </c>
      <c r="B1008" s="4" t="s">
        <v>6107</v>
      </c>
      <c r="C1008" s="4" t="s">
        <v>6104</v>
      </c>
      <c r="D1008" s="4" t="s">
        <v>6033</v>
      </c>
      <c r="E1008" s="4" t="s">
        <v>6034</v>
      </c>
    </row>
    <row r="1009" spans="1:5">
      <c r="A1009" s="4" t="s">
        <v>6064</v>
      </c>
      <c r="B1009" s="4" t="s">
        <v>6107</v>
      </c>
      <c r="C1009" s="4" t="s">
        <v>6105</v>
      </c>
      <c r="D1009" s="4" t="s">
        <v>6033</v>
      </c>
      <c r="E1009" s="4" t="s">
        <v>6034</v>
      </c>
    </row>
    <row r="1010" spans="1:5">
      <c r="A1010" s="4" t="s">
        <v>6064</v>
      </c>
      <c r="B1010" s="4" t="s">
        <v>6107</v>
      </c>
      <c r="C1010" s="4" t="s">
        <v>6106</v>
      </c>
      <c r="D1010" s="4" t="s">
        <v>6033</v>
      </c>
      <c r="E1010" s="4" t="s">
        <v>6034</v>
      </c>
    </row>
    <row r="1011" spans="1:5">
      <c r="A1011" s="4" t="s">
        <v>6064</v>
      </c>
      <c r="B1011" s="4" t="s">
        <v>6108</v>
      </c>
      <c r="C1011" s="4" t="s">
        <v>6071</v>
      </c>
      <c r="D1011" s="4" t="s">
        <v>6033</v>
      </c>
      <c r="E1011" s="4" t="s">
        <v>6034</v>
      </c>
    </row>
    <row r="1012" spans="1:5">
      <c r="A1012" s="4" t="s">
        <v>6064</v>
      </c>
      <c r="B1012" s="4" t="s">
        <v>6108</v>
      </c>
      <c r="C1012" s="4" t="s">
        <v>6072</v>
      </c>
      <c r="D1012" s="4" t="s">
        <v>6033</v>
      </c>
      <c r="E1012" s="4" t="s">
        <v>6034</v>
      </c>
    </row>
    <row r="1013" spans="1:5">
      <c r="A1013" s="4" t="s">
        <v>6064</v>
      </c>
      <c r="B1013" s="4" t="s">
        <v>6108</v>
      </c>
      <c r="C1013" s="4" t="s">
        <v>6073</v>
      </c>
      <c r="D1013" s="4" t="s">
        <v>6033</v>
      </c>
      <c r="E1013" s="4" t="s">
        <v>6034</v>
      </c>
    </row>
    <row r="1014" spans="1:5">
      <c r="A1014" s="4" t="s">
        <v>6064</v>
      </c>
      <c r="B1014" s="4" t="s">
        <v>6108</v>
      </c>
      <c r="C1014" s="4" t="s">
        <v>6074</v>
      </c>
      <c r="D1014" s="4" t="s">
        <v>6033</v>
      </c>
      <c r="E1014" s="4" t="s">
        <v>6034</v>
      </c>
    </row>
    <row r="1015" spans="1:5">
      <c r="A1015" s="4" t="s">
        <v>6064</v>
      </c>
      <c r="B1015" s="4" t="s">
        <v>6108</v>
      </c>
      <c r="C1015" s="4" t="s">
        <v>6075</v>
      </c>
      <c r="D1015" s="4" t="s">
        <v>6033</v>
      </c>
      <c r="E1015" s="4" t="s">
        <v>6034</v>
      </c>
    </row>
    <row r="1016" spans="1:5">
      <c r="A1016" s="4" t="s">
        <v>6064</v>
      </c>
      <c r="B1016" s="4" t="s">
        <v>6108</v>
      </c>
      <c r="C1016" s="4" t="s">
        <v>6076</v>
      </c>
      <c r="D1016" s="4" t="s">
        <v>6033</v>
      </c>
      <c r="E1016" s="4" t="s">
        <v>6034</v>
      </c>
    </row>
    <row r="1017" spans="1:5">
      <c r="A1017" s="4" t="s">
        <v>6064</v>
      </c>
      <c r="B1017" s="4" t="s">
        <v>6108</v>
      </c>
      <c r="C1017" s="4" t="s">
        <v>6077</v>
      </c>
      <c r="D1017" s="4" t="s">
        <v>6033</v>
      </c>
      <c r="E1017" s="4" t="s">
        <v>6034</v>
      </c>
    </row>
    <row r="1018" spans="1:5">
      <c r="A1018" s="4" t="s">
        <v>6064</v>
      </c>
      <c r="B1018" s="4" t="s">
        <v>6108</v>
      </c>
      <c r="C1018" s="4" t="s">
        <v>6078</v>
      </c>
      <c r="D1018" s="4" t="s">
        <v>6033</v>
      </c>
      <c r="E1018" s="4" t="s">
        <v>6034</v>
      </c>
    </row>
    <row r="1019" spans="1:5">
      <c r="A1019" s="4" t="s">
        <v>6064</v>
      </c>
      <c r="B1019" s="4" t="s">
        <v>6108</v>
      </c>
      <c r="C1019" s="4" t="s">
        <v>6079</v>
      </c>
      <c r="D1019" s="4" t="s">
        <v>6033</v>
      </c>
      <c r="E1019" s="4" t="s">
        <v>6034</v>
      </c>
    </row>
    <row r="1020" spans="1:5">
      <c r="A1020" s="4" t="s">
        <v>6064</v>
      </c>
      <c r="B1020" s="4" t="s">
        <v>6108</v>
      </c>
      <c r="C1020" s="4" t="s">
        <v>6080</v>
      </c>
      <c r="D1020" s="4" t="s">
        <v>6033</v>
      </c>
      <c r="E1020" s="4" t="s">
        <v>6034</v>
      </c>
    </row>
    <row r="1021" spans="1:5">
      <c r="A1021" s="4" t="s">
        <v>6064</v>
      </c>
      <c r="B1021" s="4" t="s">
        <v>6108</v>
      </c>
      <c r="C1021" s="4" t="s">
        <v>6081</v>
      </c>
      <c r="D1021" s="4" t="s">
        <v>6033</v>
      </c>
      <c r="E1021" s="4" t="s">
        <v>6034</v>
      </c>
    </row>
    <row r="1022" spans="1:5">
      <c r="A1022" s="4" t="s">
        <v>6064</v>
      </c>
      <c r="B1022" s="4" t="s">
        <v>6108</v>
      </c>
      <c r="C1022" s="4" t="s">
        <v>6082</v>
      </c>
      <c r="D1022" s="4" t="s">
        <v>6033</v>
      </c>
      <c r="E1022" s="4" t="s">
        <v>6034</v>
      </c>
    </row>
    <row r="1023" spans="1:5">
      <c r="A1023" s="4" t="s">
        <v>6064</v>
      </c>
      <c r="B1023" s="4" t="s">
        <v>6108</v>
      </c>
      <c r="C1023" s="4" t="s">
        <v>6083</v>
      </c>
      <c r="D1023" s="4" t="s">
        <v>6033</v>
      </c>
      <c r="E1023" s="4" t="s">
        <v>6034</v>
      </c>
    </row>
    <row r="1024" spans="1:5">
      <c r="A1024" s="4" t="s">
        <v>6064</v>
      </c>
      <c r="B1024" s="4" t="s">
        <v>6108</v>
      </c>
      <c r="C1024" s="4" t="s">
        <v>6084</v>
      </c>
      <c r="D1024" s="4" t="s">
        <v>6033</v>
      </c>
      <c r="E1024" s="4" t="s">
        <v>6034</v>
      </c>
    </row>
    <row r="1025" spans="1:5">
      <c r="A1025" s="4" t="s">
        <v>6064</v>
      </c>
      <c r="B1025" s="4" t="s">
        <v>6108</v>
      </c>
      <c r="C1025" s="4" t="s">
        <v>6085</v>
      </c>
      <c r="D1025" s="4" t="s">
        <v>6033</v>
      </c>
      <c r="E1025" s="4" t="s">
        <v>6034</v>
      </c>
    </row>
    <row r="1026" spans="1:5">
      <c r="A1026" s="4" t="s">
        <v>6064</v>
      </c>
      <c r="B1026" s="4" t="s">
        <v>6108</v>
      </c>
      <c r="C1026" s="4" t="s">
        <v>6086</v>
      </c>
      <c r="D1026" s="4" t="s">
        <v>6033</v>
      </c>
      <c r="E1026" s="4" t="s">
        <v>6034</v>
      </c>
    </row>
    <row r="1027" spans="1:5">
      <c r="A1027" s="4" t="s">
        <v>6064</v>
      </c>
      <c r="B1027" s="4" t="s">
        <v>6108</v>
      </c>
      <c r="C1027" s="4" t="s">
        <v>6087</v>
      </c>
      <c r="D1027" s="4" t="s">
        <v>6033</v>
      </c>
      <c r="E1027" s="4" t="s">
        <v>6034</v>
      </c>
    </row>
    <row r="1028" spans="1:5">
      <c r="A1028" s="4" t="s">
        <v>6064</v>
      </c>
      <c r="B1028" s="4" t="s">
        <v>6108</v>
      </c>
      <c r="C1028" s="4" t="s">
        <v>6088</v>
      </c>
      <c r="D1028" s="4" t="s">
        <v>6033</v>
      </c>
      <c r="E1028" s="4" t="s">
        <v>6034</v>
      </c>
    </row>
    <row r="1029" spans="1:5">
      <c r="A1029" s="4" t="s">
        <v>6064</v>
      </c>
      <c r="B1029" s="4" t="s">
        <v>6108</v>
      </c>
      <c r="C1029" s="4" t="s">
        <v>6089</v>
      </c>
      <c r="D1029" s="4" t="s">
        <v>6033</v>
      </c>
      <c r="E1029" s="4" t="s">
        <v>6034</v>
      </c>
    </row>
    <row r="1030" spans="1:5">
      <c r="A1030" s="4" t="s">
        <v>6064</v>
      </c>
      <c r="B1030" s="4" t="s">
        <v>6108</v>
      </c>
      <c r="C1030" s="4" t="s">
        <v>6090</v>
      </c>
      <c r="D1030" s="4" t="s">
        <v>6033</v>
      </c>
      <c r="E1030" s="4" t="s">
        <v>6034</v>
      </c>
    </row>
    <row r="1031" spans="1:5">
      <c r="A1031" s="4" t="s">
        <v>6064</v>
      </c>
      <c r="B1031" s="4" t="s">
        <v>6108</v>
      </c>
      <c r="C1031" s="4" t="s">
        <v>6091</v>
      </c>
      <c r="D1031" s="4" t="s">
        <v>6033</v>
      </c>
      <c r="E1031" s="4" t="s">
        <v>6034</v>
      </c>
    </row>
    <row r="1032" spans="1:5">
      <c r="A1032" s="4" t="s">
        <v>6064</v>
      </c>
      <c r="B1032" s="4" t="s">
        <v>6108</v>
      </c>
      <c r="C1032" s="4" t="s">
        <v>6092</v>
      </c>
      <c r="D1032" s="4" t="s">
        <v>6033</v>
      </c>
      <c r="E1032" s="4" t="s">
        <v>6034</v>
      </c>
    </row>
    <row r="1033" spans="1:5">
      <c r="A1033" s="4" t="s">
        <v>6064</v>
      </c>
      <c r="B1033" s="4" t="s">
        <v>6108</v>
      </c>
      <c r="C1033" s="4" t="s">
        <v>6093</v>
      </c>
      <c r="D1033" s="4" t="s">
        <v>6033</v>
      </c>
      <c r="E1033" s="4" t="s">
        <v>6034</v>
      </c>
    </row>
    <row r="1034" spans="1:5">
      <c r="A1034" s="4" t="s">
        <v>6064</v>
      </c>
      <c r="B1034" s="4" t="s">
        <v>6108</v>
      </c>
      <c r="C1034" s="4" t="s">
        <v>6094</v>
      </c>
      <c r="D1034" s="4" t="s">
        <v>6033</v>
      </c>
      <c r="E1034" s="4" t="s">
        <v>6034</v>
      </c>
    </row>
    <row r="1035" spans="1:5">
      <c r="A1035" s="4" t="s">
        <v>6064</v>
      </c>
      <c r="B1035" s="4" t="s">
        <v>6108</v>
      </c>
      <c r="C1035" s="4" t="s">
        <v>6095</v>
      </c>
      <c r="D1035" s="4" t="s">
        <v>6033</v>
      </c>
      <c r="E1035" s="4" t="s">
        <v>6034</v>
      </c>
    </row>
    <row r="1036" spans="1:5">
      <c r="A1036" s="4" t="s">
        <v>6064</v>
      </c>
      <c r="B1036" s="4" t="s">
        <v>6108</v>
      </c>
      <c r="C1036" s="4" t="s">
        <v>6096</v>
      </c>
      <c r="D1036" s="4" t="s">
        <v>6033</v>
      </c>
      <c r="E1036" s="4" t="s">
        <v>6034</v>
      </c>
    </row>
    <row r="1037" spans="1:5">
      <c r="A1037" s="4" t="s">
        <v>6064</v>
      </c>
      <c r="B1037" s="4" t="s">
        <v>6108</v>
      </c>
      <c r="C1037" s="4" t="s">
        <v>6097</v>
      </c>
      <c r="D1037" s="4" t="s">
        <v>6039</v>
      </c>
      <c r="E1037" s="4" t="s">
        <v>6040</v>
      </c>
    </row>
    <row r="1038" spans="1:5">
      <c r="A1038" s="4" t="s">
        <v>6064</v>
      </c>
      <c r="B1038" s="4" t="s">
        <v>6108</v>
      </c>
      <c r="C1038" s="4" t="s">
        <v>6098</v>
      </c>
      <c r="D1038" s="4" t="s">
        <v>6039</v>
      </c>
      <c r="E1038" s="4" t="s">
        <v>6040</v>
      </c>
    </row>
    <row r="1039" spans="1:5">
      <c r="A1039" s="4" t="s">
        <v>6064</v>
      </c>
      <c r="B1039" s="4" t="s">
        <v>6108</v>
      </c>
      <c r="C1039" s="4" t="s">
        <v>6099</v>
      </c>
      <c r="D1039" s="4" t="s">
        <v>6039</v>
      </c>
      <c r="E1039" s="4" t="s">
        <v>6040</v>
      </c>
    </row>
    <row r="1040" spans="1:5">
      <c r="A1040" s="4" t="s">
        <v>6064</v>
      </c>
      <c r="B1040" s="4" t="s">
        <v>6108</v>
      </c>
      <c r="C1040" s="4" t="s">
        <v>6100</v>
      </c>
      <c r="D1040" s="4" t="s">
        <v>6039</v>
      </c>
      <c r="E1040" s="4" t="s">
        <v>6040</v>
      </c>
    </row>
    <row r="1041" spans="1:5">
      <c r="A1041" s="4" t="s">
        <v>6064</v>
      </c>
      <c r="B1041" s="4" t="s">
        <v>6108</v>
      </c>
      <c r="C1041" s="4" t="s">
        <v>6104</v>
      </c>
      <c r="D1041" s="4" t="s">
        <v>6033</v>
      </c>
      <c r="E1041" s="4" t="s">
        <v>6034</v>
      </c>
    </row>
    <row r="1042" spans="1:5">
      <c r="A1042" s="4" t="s">
        <v>6064</v>
      </c>
      <c r="B1042" s="4" t="s">
        <v>6108</v>
      </c>
      <c r="C1042" s="4" t="s">
        <v>6105</v>
      </c>
      <c r="D1042" s="4" t="s">
        <v>6033</v>
      </c>
      <c r="E1042" s="4" t="s">
        <v>6034</v>
      </c>
    </row>
    <row r="1043" spans="1:5">
      <c r="A1043" s="4" t="s">
        <v>6064</v>
      </c>
      <c r="B1043" s="4" t="s">
        <v>6108</v>
      </c>
      <c r="C1043" s="4" t="s">
        <v>6106</v>
      </c>
      <c r="D1043" s="4" t="s">
        <v>6033</v>
      </c>
      <c r="E1043" s="4" t="s">
        <v>6034</v>
      </c>
    </row>
    <row r="1044" spans="1:5">
      <c r="A1044" s="4" t="s">
        <v>6064</v>
      </c>
      <c r="B1044" s="4" t="s">
        <v>6109</v>
      </c>
      <c r="C1044" s="4" t="s">
        <v>6071</v>
      </c>
      <c r="D1044" s="4" t="s">
        <v>6033</v>
      </c>
      <c r="E1044" s="4" t="s">
        <v>6034</v>
      </c>
    </row>
    <row r="1045" spans="1:5">
      <c r="A1045" s="4" t="s">
        <v>6064</v>
      </c>
      <c r="B1045" s="4" t="s">
        <v>6109</v>
      </c>
      <c r="C1045" s="4" t="s">
        <v>6072</v>
      </c>
      <c r="D1045" s="4" t="s">
        <v>6033</v>
      </c>
      <c r="E1045" s="4" t="s">
        <v>6034</v>
      </c>
    </row>
    <row r="1046" spans="1:5">
      <c r="A1046" s="4" t="s">
        <v>6064</v>
      </c>
      <c r="B1046" s="4" t="s">
        <v>6109</v>
      </c>
      <c r="C1046" s="4" t="s">
        <v>6073</v>
      </c>
      <c r="D1046" s="4" t="s">
        <v>6033</v>
      </c>
      <c r="E1046" s="4" t="s">
        <v>6034</v>
      </c>
    </row>
    <row r="1047" spans="1:5">
      <c r="A1047" s="4" t="s">
        <v>6064</v>
      </c>
      <c r="B1047" s="4" t="s">
        <v>6109</v>
      </c>
      <c r="C1047" s="4" t="s">
        <v>6074</v>
      </c>
      <c r="D1047" s="4" t="s">
        <v>6033</v>
      </c>
      <c r="E1047" s="4" t="s">
        <v>6034</v>
      </c>
    </row>
    <row r="1048" spans="1:5">
      <c r="A1048" s="4" t="s">
        <v>6064</v>
      </c>
      <c r="B1048" s="4" t="s">
        <v>6109</v>
      </c>
      <c r="C1048" s="4" t="s">
        <v>6075</v>
      </c>
      <c r="D1048" s="4" t="s">
        <v>6033</v>
      </c>
      <c r="E1048" s="4" t="s">
        <v>6034</v>
      </c>
    </row>
    <row r="1049" spans="1:5">
      <c r="A1049" s="4" t="s">
        <v>6064</v>
      </c>
      <c r="B1049" s="4" t="s">
        <v>6109</v>
      </c>
      <c r="C1049" s="4" t="s">
        <v>6076</v>
      </c>
      <c r="D1049" s="4" t="s">
        <v>6033</v>
      </c>
      <c r="E1049" s="4" t="s">
        <v>6034</v>
      </c>
    </row>
    <row r="1050" spans="1:5">
      <c r="A1050" s="4" t="s">
        <v>6064</v>
      </c>
      <c r="B1050" s="4" t="s">
        <v>6109</v>
      </c>
      <c r="C1050" s="4" t="s">
        <v>6077</v>
      </c>
      <c r="D1050" s="4" t="s">
        <v>6033</v>
      </c>
      <c r="E1050" s="4" t="s">
        <v>6034</v>
      </c>
    </row>
    <row r="1051" spans="1:5">
      <c r="A1051" s="4" t="s">
        <v>6064</v>
      </c>
      <c r="B1051" s="4" t="s">
        <v>6109</v>
      </c>
      <c r="C1051" s="4" t="s">
        <v>6078</v>
      </c>
      <c r="D1051" s="4" t="s">
        <v>6033</v>
      </c>
      <c r="E1051" s="4" t="s">
        <v>6034</v>
      </c>
    </row>
    <row r="1052" spans="1:5">
      <c r="A1052" s="4" t="s">
        <v>6064</v>
      </c>
      <c r="B1052" s="4" t="s">
        <v>6109</v>
      </c>
      <c r="C1052" s="4" t="s">
        <v>6079</v>
      </c>
      <c r="D1052" s="4" t="s">
        <v>6033</v>
      </c>
      <c r="E1052" s="4" t="s">
        <v>6034</v>
      </c>
    </row>
    <row r="1053" spans="1:5">
      <c r="A1053" s="4" t="s">
        <v>6064</v>
      </c>
      <c r="B1053" s="4" t="s">
        <v>6109</v>
      </c>
      <c r="C1053" s="4" t="s">
        <v>6080</v>
      </c>
      <c r="D1053" s="4" t="s">
        <v>6033</v>
      </c>
      <c r="E1053" s="4" t="s">
        <v>6034</v>
      </c>
    </row>
    <row r="1054" spans="1:5">
      <c r="A1054" s="4" t="s">
        <v>6064</v>
      </c>
      <c r="B1054" s="4" t="s">
        <v>6109</v>
      </c>
      <c r="C1054" s="4" t="s">
        <v>6081</v>
      </c>
      <c r="D1054" s="4" t="s">
        <v>6033</v>
      </c>
      <c r="E1054" s="4" t="s">
        <v>6034</v>
      </c>
    </row>
    <row r="1055" spans="1:5">
      <c r="A1055" s="4" t="s">
        <v>6064</v>
      </c>
      <c r="B1055" s="4" t="s">
        <v>6109</v>
      </c>
      <c r="C1055" s="4" t="s">
        <v>6082</v>
      </c>
      <c r="D1055" s="4" t="s">
        <v>6033</v>
      </c>
      <c r="E1055" s="4" t="s">
        <v>6034</v>
      </c>
    </row>
    <row r="1056" spans="1:5">
      <c r="A1056" s="4" t="s">
        <v>6064</v>
      </c>
      <c r="B1056" s="4" t="s">
        <v>6109</v>
      </c>
      <c r="C1056" s="4" t="s">
        <v>6083</v>
      </c>
      <c r="D1056" s="4" t="s">
        <v>6033</v>
      </c>
      <c r="E1056" s="4" t="s">
        <v>6034</v>
      </c>
    </row>
    <row r="1057" spans="1:5">
      <c r="A1057" s="4" t="s">
        <v>6064</v>
      </c>
      <c r="B1057" s="4" t="s">
        <v>6109</v>
      </c>
      <c r="C1057" s="4" t="s">
        <v>6084</v>
      </c>
      <c r="D1057" s="4" t="s">
        <v>6033</v>
      </c>
      <c r="E1057" s="4" t="s">
        <v>6034</v>
      </c>
    </row>
    <row r="1058" spans="1:5">
      <c r="A1058" s="4" t="s">
        <v>6064</v>
      </c>
      <c r="B1058" s="4" t="s">
        <v>6109</v>
      </c>
      <c r="C1058" s="4" t="s">
        <v>6085</v>
      </c>
      <c r="D1058" s="4" t="s">
        <v>6033</v>
      </c>
      <c r="E1058" s="4" t="s">
        <v>6034</v>
      </c>
    </row>
    <row r="1059" spans="1:5">
      <c r="A1059" s="4" t="s">
        <v>6064</v>
      </c>
      <c r="B1059" s="4" t="s">
        <v>6109</v>
      </c>
      <c r="C1059" s="4" t="s">
        <v>6086</v>
      </c>
      <c r="D1059" s="4" t="s">
        <v>6033</v>
      </c>
      <c r="E1059" s="4" t="s">
        <v>6034</v>
      </c>
    </row>
    <row r="1060" spans="1:5">
      <c r="A1060" s="4" t="s">
        <v>6064</v>
      </c>
      <c r="B1060" s="4" t="s">
        <v>6109</v>
      </c>
      <c r="C1060" s="4" t="s">
        <v>6087</v>
      </c>
      <c r="D1060" s="4" t="s">
        <v>6033</v>
      </c>
      <c r="E1060" s="4" t="s">
        <v>6034</v>
      </c>
    </row>
    <row r="1061" spans="1:5">
      <c r="A1061" s="4" t="s">
        <v>6064</v>
      </c>
      <c r="B1061" s="4" t="s">
        <v>6109</v>
      </c>
      <c r="C1061" s="4" t="s">
        <v>6088</v>
      </c>
      <c r="D1061" s="4" t="s">
        <v>6033</v>
      </c>
      <c r="E1061" s="4" t="s">
        <v>6034</v>
      </c>
    </row>
    <row r="1062" spans="1:5">
      <c r="A1062" s="4" t="s">
        <v>6064</v>
      </c>
      <c r="B1062" s="4" t="s">
        <v>6109</v>
      </c>
      <c r="C1062" s="4" t="s">
        <v>6089</v>
      </c>
      <c r="D1062" s="4" t="s">
        <v>6033</v>
      </c>
      <c r="E1062" s="4" t="s">
        <v>6034</v>
      </c>
    </row>
    <row r="1063" spans="1:5">
      <c r="A1063" s="4" t="s">
        <v>6064</v>
      </c>
      <c r="B1063" s="4" t="s">
        <v>6109</v>
      </c>
      <c r="C1063" s="4" t="s">
        <v>6090</v>
      </c>
      <c r="D1063" s="4" t="s">
        <v>6033</v>
      </c>
      <c r="E1063" s="4" t="s">
        <v>6034</v>
      </c>
    </row>
    <row r="1064" spans="1:5">
      <c r="A1064" s="4" t="s">
        <v>6064</v>
      </c>
      <c r="B1064" s="4" t="s">
        <v>6109</v>
      </c>
      <c r="C1064" s="4" t="s">
        <v>6091</v>
      </c>
      <c r="D1064" s="4" t="s">
        <v>6033</v>
      </c>
      <c r="E1064" s="4" t="s">
        <v>6034</v>
      </c>
    </row>
    <row r="1065" spans="1:5">
      <c r="A1065" s="4" t="s">
        <v>6064</v>
      </c>
      <c r="B1065" s="4" t="s">
        <v>6109</v>
      </c>
      <c r="C1065" s="4" t="s">
        <v>6092</v>
      </c>
      <c r="D1065" s="4" t="s">
        <v>6033</v>
      </c>
      <c r="E1065" s="4" t="s">
        <v>6034</v>
      </c>
    </row>
    <row r="1066" spans="1:5">
      <c r="A1066" s="4" t="s">
        <v>6064</v>
      </c>
      <c r="B1066" s="4" t="s">
        <v>6109</v>
      </c>
      <c r="C1066" s="4" t="s">
        <v>6093</v>
      </c>
      <c r="D1066" s="4" t="s">
        <v>6033</v>
      </c>
      <c r="E1066" s="4" t="s">
        <v>6034</v>
      </c>
    </row>
    <row r="1067" spans="1:5">
      <c r="A1067" s="4" t="s">
        <v>6064</v>
      </c>
      <c r="B1067" s="4" t="s">
        <v>6109</v>
      </c>
      <c r="C1067" s="4" t="s">
        <v>6094</v>
      </c>
      <c r="D1067" s="4" t="s">
        <v>6033</v>
      </c>
      <c r="E1067" s="4" t="s">
        <v>6034</v>
      </c>
    </row>
    <row r="1068" spans="1:5">
      <c r="A1068" s="4" t="s">
        <v>6064</v>
      </c>
      <c r="B1068" s="4" t="s">
        <v>6109</v>
      </c>
      <c r="C1068" s="4" t="s">
        <v>6095</v>
      </c>
      <c r="D1068" s="4" t="s">
        <v>6033</v>
      </c>
      <c r="E1068" s="4" t="s">
        <v>6034</v>
      </c>
    </row>
    <row r="1069" spans="1:5">
      <c r="A1069" s="4" t="s">
        <v>6064</v>
      </c>
      <c r="B1069" s="4" t="s">
        <v>6109</v>
      </c>
      <c r="C1069" s="4" t="s">
        <v>6096</v>
      </c>
      <c r="D1069" s="4" t="s">
        <v>6033</v>
      </c>
      <c r="E1069" s="4" t="s">
        <v>6034</v>
      </c>
    </row>
    <row r="1070" spans="1:5">
      <c r="A1070" s="4" t="s">
        <v>6064</v>
      </c>
      <c r="B1070" s="4" t="s">
        <v>6109</v>
      </c>
      <c r="C1070" s="4" t="s">
        <v>6097</v>
      </c>
      <c r="D1070" s="4" t="s">
        <v>6039</v>
      </c>
      <c r="E1070" s="4" t="s">
        <v>6040</v>
      </c>
    </row>
    <row r="1071" spans="1:5">
      <c r="A1071" s="4" t="s">
        <v>6064</v>
      </c>
      <c r="B1071" s="4" t="s">
        <v>6109</v>
      </c>
      <c r="C1071" s="4" t="s">
        <v>6098</v>
      </c>
      <c r="D1071" s="4" t="s">
        <v>6039</v>
      </c>
      <c r="E1071" s="4" t="s">
        <v>6040</v>
      </c>
    </row>
    <row r="1072" spans="1:5">
      <c r="A1072" s="4" t="s">
        <v>6064</v>
      </c>
      <c r="B1072" s="4" t="s">
        <v>6109</v>
      </c>
      <c r="C1072" s="4" t="s">
        <v>6099</v>
      </c>
      <c r="D1072" s="4" t="s">
        <v>6039</v>
      </c>
      <c r="E1072" s="4" t="s">
        <v>6040</v>
      </c>
    </row>
    <row r="1073" spans="1:5">
      <c r="A1073" s="4" t="s">
        <v>6064</v>
      </c>
      <c r="B1073" s="4" t="s">
        <v>6109</v>
      </c>
      <c r="C1073" s="4" t="s">
        <v>6100</v>
      </c>
      <c r="D1073" s="4" t="s">
        <v>6039</v>
      </c>
      <c r="E1073" s="4" t="s">
        <v>6040</v>
      </c>
    </row>
    <row r="1074" spans="1:5">
      <c r="A1074" s="4" t="s">
        <v>6064</v>
      </c>
      <c r="B1074" s="4" t="s">
        <v>6109</v>
      </c>
      <c r="C1074" s="4" t="s">
        <v>6104</v>
      </c>
      <c r="D1074" s="4" t="s">
        <v>6033</v>
      </c>
      <c r="E1074" s="4" t="s">
        <v>6034</v>
      </c>
    </row>
    <row r="1075" spans="1:5">
      <c r="A1075" s="4" t="s">
        <v>6064</v>
      </c>
      <c r="B1075" s="4" t="s">
        <v>6109</v>
      </c>
      <c r="C1075" s="4" t="s">
        <v>6105</v>
      </c>
      <c r="D1075" s="4" t="s">
        <v>6033</v>
      </c>
      <c r="E1075" s="4" t="s">
        <v>6034</v>
      </c>
    </row>
    <row r="1076" spans="1:5">
      <c r="A1076" s="4" t="s">
        <v>6064</v>
      </c>
      <c r="B1076" s="4" t="s">
        <v>6109</v>
      </c>
      <c r="C1076" s="4" t="s">
        <v>6106</v>
      </c>
      <c r="D1076" s="4" t="s">
        <v>6033</v>
      </c>
      <c r="E1076" s="4" t="s">
        <v>6034</v>
      </c>
    </row>
    <row r="1077" spans="1:5">
      <c r="A1077" s="4" t="s">
        <v>6064</v>
      </c>
      <c r="B1077" s="4" t="s">
        <v>6109</v>
      </c>
      <c r="C1077" s="4" t="s">
        <v>6107</v>
      </c>
      <c r="D1077" s="4" t="s">
        <v>6033</v>
      </c>
      <c r="E1077" s="4" t="s">
        <v>6034</v>
      </c>
    </row>
    <row r="1078" spans="1:5">
      <c r="A1078" s="4" t="s">
        <v>6064</v>
      </c>
      <c r="B1078" s="4" t="s">
        <v>6109</v>
      </c>
      <c r="C1078" s="4" t="s">
        <v>6108</v>
      </c>
      <c r="D1078" s="4" t="s">
        <v>6033</v>
      </c>
      <c r="E1078" s="4" t="s">
        <v>6034</v>
      </c>
    </row>
    <row r="1079" spans="1:5">
      <c r="A1079" s="4" t="s">
        <v>6064</v>
      </c>
      <c r="B1079" s="4" t="s">
        <v>6110</v>
      </c>
      <c r="C1079" s="4" t="s">
        <v>6071</v>
      </c>
      <c r="D1079" s="4" t="s">
        <v>6033</v>
      </c>
      <c r="E1079" s="4" t="s">
        <v>6034</v>
      </c>
    </row>
    <row r="1080" spans="1:5">
      <c r="A1080" s="4" t="s">
        <v>6064</v>
      </c>
      <c r="B1080" s="4" t="s">
        <v>6110</v>
      </c>
      <c r="C1080" s="4" t="s">
        <v>6072</v>
      </c>
      <c r="D1080" s="4" t="s">
        <v>6033</v>
      </c>
      <c r="E1080" s="4" t="s">
        <v>6034</v>
      </c>
    </row>
    <row r="1081" spans="1:5">
      <c r="A1081" s="4" t="s">
        <v>6064</v>
      </c>
      <c r="B1081" s="4" t="s">
        <v>6110</v>
      </c>
      <c r="C1081" s="4" t="s">
        <v>6073</v>
      </c>
      <c r="D1081" s="4" t="s">
        <v>6033</v>
      </c>
      <c r="E1081" s="4" t="s">
        <v>6034</v>
      </c>
    </row>
    <row r="1082" spans="1:5">
      <c r="A1082" s="4" t="s">
        <v>6064</v>
      </c>
      <c r="B1082" s="4" t="s">
        <v>6110</v>
      </c>
      <c r="C1082" s="4" t="s">
        <v>6074</v>
      </c>
      <c r="D1082" s="4" t="s">
        <v>6033</v>
      </c>
      <c r="E1082" s="4" t="s">
        <v>6034</v>
      </c>
    </row>
    <row r="1083" spans="1:5">
      <c r="A1083" s="4" t="s">
        <v>6064</v>
      </c>
      <c r="B1083" s="4" t="s">
        <v>6110</v>
      </c>
      <c r="C1083" s="4" t="s">
        <v>6075</v>
      </c>
      <c r="D1083" s="4" t="s">
        <v>6033</v>
      </c>
      <c r="E1083" s="4" t="s">
        <v>6034</v>
      </c>
    </row>
    <row r="1084" spans="1:5">
      <c r="A1084" s="4" t="s">
        <v>6064</v>
      </c>
      <c r="B1084" s="4" t="s">
        <v>6110</v>
      </c>
      <c r="C1084" s="4" t="s">
        <v>6076</v>
      </c>
      <c r="D1084" s="4" t="s">
        <v>6033</v>
      </c>
      <c r="E1084" s="4" t="s">
        <v>6034</v>
      </c>
    </row>
    <row r="1085" spans="1:5">
      <c r="A1085" s="4" t="s">
        <v>6064</v>
      </c>
      <c r="B1085" s="4" t="s">
        <v>6110</v>
      </c>
      <c r="C1085" s="4" t="s">
        <v>6077</v>
      </c>
      <c r="D1085" s="4" t="s">
        <v>6033</v>
      </c>
      <c r="E1085" s="4" t="s">
        <v>6034</v>
      </c>
    </row>
    <row r="1086" spans="1:5">
      <c r="A1086" s="4" t="s">
        <v>6064</v>
      </c>
      <c r="B1086" s="4" t="s">
        <v>6110</v>
      </c>
      <c r="C1086" s="4" t="s">
        <v>6078</v>
      </c>
      <c r="D1086" s="4" t="s">
        <v>6033</v>
      </c>
      <c r="E1086" s="4" t="s">
        <v>6034</v>
      </c>
    </row>
    <row r="1087" spans="1:5">
      <c r="A1087" s="4" t="s">
        <v>6064</v>
      </c>
      <c r="B1087" s="4" t="s">
        <v>6110</v>
      </c>
      <c r="C1087" s="4" t="s">
        <v>6079</v>
      </c>
      <c r="D1087" s="4" t="s">
        <v>6033</v>
      </c>
      <c r="E1087" s="4" t="s">
        <v>6034</v>
      </c>
    </row>
    <row r="1088" spans="1:5">
      <c r="A1088" s="4" t="s">
        <v>6064</v>
      </c>
      <c r="B1088" s="4" t="s">
        <v>6110</v>
      </c>
      <c r="C1088" s="4" t="s">
        <v>6080</v>
      </c>
      <c r="D1088" s="4" t="s">
        <v>6033</v>
      </c>
      <c r="E1088" s="4" t="s">
        <v>6034</v>
      </c>
    </row>
    <row r="1089" spans="1:5">
      <c r="A1089" s="4" t="s">
        <v>6064</v>
      </c>
      <c r="B1089" s="4" t="s">
        <v>6110</v>
      </c>
      <c r="C1089" s="4" t="s">
        <v>6081</v>
      </c>
      <c r="D1089" s="4" t="s">
        <v>6033</v>
      </c>
      <c r="E1089" s="4" t="s">
        <v>6034</v>
      </c>
    </row>
    <row r="1090" spans="1:5">
      <c r="A1090" s="4" t="s">
        <v>6064</v>
      </c>
      <c r="B1090" s="4" t="s">
        <v>6110</v>
      </c>
      <c r="C1090" s="4" t="s">
        <v>6082</v>
      </c>
      <c r="D1090" s="4" t="s">
        <v>6033</v>
      </c>
      <c r="E1090" s="4" t="s">
        <v>6034</v>
      </c>
    </row>
    <row r="1091" spans="1:5">
      <c r="A1091" s="4" t="s">
        <v>6064</v>
      </c>
      <c r="B1091" s="4" t="s">
        <v>6110</v>
      </c>
      <c r="C1091" s="4" t="s">
        <v>6083</v>
      </c>
      <c r="D1091" s="4" t="s">
        <v>6033</v>
      </c>
      <c r="E1091" s="4" t="s">
        <v>6034</v>
      </c>
    </row>
    <row r="1092" spans="1:5">
      <c r="A1092" s="4" t="s">
        <v>6064</v>
      </c>
      <c r="B1092" s="4" t="s">
        <v>6110</v>
      </c>
      <c r="C1092" s="4" t="s">
        <v>6084</v>
      </c>
      <c r="D1092" s="4" t="s">
        <v>6033</v>
      </c>
      <c r="E1092" s="4" t="s">
        <v>6034</v>
      </c>
    </row>
    <row r="1093" spans="1:5">
      <c r="A1093" s="4" t="s">
        <v>6064</v>
      </c>
      <c r="B1093" s="4" t="s">
        <v>6110</v>
      </c>
      <c r="C1093" s="4" t="s">
        <v>6085</v>
      </c>
      <c r="D1093" s="4" t="s">
        <v>6033</v>
      </c>
      <c r="E1093" s="4" t="s">
        <v>6034</v>
      </c>
    </row>
    <row r="1094" spans="1:5">
      <c r="A1094" s="4" t="s">
        <v>6064</v>
      </c>
      <c r="B1094" s="4" t="s">
        <v>6110</v>
      </c>
      <c r="C1094" s="4" t="s">
        <v>6086</v>
      </c>
      <c r="D1094" s="4" t="s">
        <v>6033</v>
      </c>
      <c r="E1094" s="4" t="s">
        <v>6034</v>
      </c>
    </row>
    <row r="1095" spans="1:5">
      <c r="A1095" s="4" t="s">
        <v>6064</v>
      </c>
      <c r="B1095" s="4" t="s">
        <v>6110</v>
      </c>
      <c r="C1095" s="4" t="s">
        <v>6087</v>
      </c>
      <c r="D1095" s="4" t="s">
        <v>6033</v>
      </c>
      <c r="E1095" s="4" t="s">
        <v>6034</v>
      </c>
    </row>
    <row r="1096" spans="1:5">
      <c r="A1096" s="4" t="s">
        <v>6064</v>
      </c>
      <c r="B1096" s="4" t="s">
        <v>6110</v>
      </c>
      <c r="C1096" s="4" t="s">
        <v>6088</v>
      </c>
      <c r="D1096" s="4" t="s">
        <v>6033</v>
      </c>
      <c r="E1096" s="4" t="s">
        <v>6034</v>
      </c>
    </row>
    <row r="1097" spans="1:5">
      <c r="A1097" s="4" t="s">
        <v>6064</v>
      </c>
      <c r="B1097" s="4" t="s">
        <v>6110</v>
      </c>
      <c r="C1097" s="4" t="s">
        <v>6089</v>
      </c>
      <c r="D1097" s="4" t="s">
        <v>6033</v>
      </c>
      <c r="E1097" s="4" t="s">
        <v>6034</v>
      </c>
    </row>
    <row r="1098" spans="1:5">
      <c r="A1098" s="4" t="s">
        <v>6064</v>
      </c>
      <c r="B1098" s="4" t="s">
        <v>6110</v>
      </c>
      <c r="C1098" s="4" t="s">
        <v>6090</v>
      </c>
      <c r="D1098" s="4" t="s">
        <v>6033</v>
      </c>
      <c r="E1098" s="4" t="s">
        <v>6034</v>
      </c>
    </row>
    <row r="1099" spans="1:5">
      <c r="A1099" s="4" t="s">
        <v>6064</v>
      </c>
      <c r="B1099" s="4" t="s">
        <v>6110</v>
      </c>
      <c r="C1099" s="4" t="s">
        <v>6091</v>
      </c>
      <c r="D1099" s="4" t="s">
        <v>6033</v>
      </c>
      <c r="E1099" s="4" t="s">
        <v>6034</v>
      </c>
    </row>
    <row r="1100" spans="1:5">
      <c r="A1100" s="4" t="s">
        <v>6064</v>
      </c>
      <c r="B1100" s="4" t="s">
        <v>6110</v>
      </c>
      <c r="C1100" s="4" t="s">
        <v>6092</v>
      </c>
      <c r="D1100" s="4" t="s">
        <v>6033</v>
      </c>
      <c r="E1100" s="4" t="s">
        <v>6034</v>
      </c>
    </row>
    <row r="1101" spans="1:5">
      <c r="A1101" s="4" t="s">
        <v>6064</v>
      </c>
      <c r="B1101" s="4" t="s">
        <v>6110</v>
      </c>
      <c r="C1101" s="4" t="s">
        <v>6093</v>
      </c>
      <c r="D1101" s="4" t="s">
        <v>6033</v>
      </c>
      <c r="E1101" s="4" t="s">
        <v>6034</v>
      </c>
    </row>
    <row r="1102" spans="1:5">
      <c r="A1102" s="4" t="s">
        <v>6064</v>
      </c>
      <c r="B1102" s="4" t="s">
        <v>6110</v>
      </c>
      <c r="C1102" s="4" t="s">
        <v>6094</v>
      </c>
      <c r="D1102" s="4" t="s">
        <v>6033</v>
      </c>
      <c r="E1102" s="4" t="s">
        <v>6034</v>
      </c>
    </row>
    <row r="1103" spans="1:5">
      <c r="A1103" s="4" t="s">
        <v>6064</v>
      </c>
      <c r="B1103" s="4" t="s">
        <v>6110</v>
      </c>
      <c r="C1103" s="4" t="s">
        <v>6095</v>
      </c>
      <c r="D1103" s="4" t="s">
        <v>6033</v>
      </c>
      <c r="E1103" s="4" t="s">
        <v>6034</v>
      </c>
    </row>
    <row r="1104" spans="1:5">
      <c r="A1104" s="4" t="s">
        <v>6064</v>
      </c>
      <c r="B1104" s="4" t="s">
        <v>6110</v>
      </c>
      <c r="C1104" s="4" t="s">
        <v>6096</v>
      </c>
      <c r="D1104" s="4" t="s">
        <v>6033</v>
      </c>
      <c r="E1104" s="4" t="s">
        <v>6034</v>
      </c>
    </row>
    <row r="1105" spans="1:5">
      <c r="A1105" s="4" t="s">
        <v>6064</v>
      </c>
      <c r="B1105" s="4" t="s">
        <v>6110</v>
      </c>
      <c r="C1105" s="4" t="s">
        <v>6098</v>
      </c>
      <c r="D1105" s="4" t="s">
        <v>6039</v>
      </c>
      <c r="E1105" s="4" t="s">
        <v>6040</v>
      </c>
    </row>
    <row r="1106" spans="1:5">
      <c r="A1106" s="4" t="s">
        <v>6064</v>
      </c>
      <c r="B1106" s="4" t="s">
        <v>6110</v>
      </c>
      <c r="C1106" s="4" t="s">
        <v>6099</v>
      </c>
      <c r="D1106" s="4" t="s">
        <v>6039</v>
      </c>
      <c r="E1106" s="4" t="s">
        <v>6040</v>
      </c>
    </row>
    <row r="1107" spans="1:5">
      <c r="A1107" s="4" t="s">
        <v>6064</v>
      </c>
      <c r="B1107" s="4" t="s">
        <v>6110</v>
      </c>
      <c r="C1107" s="4" t="s">
        <v>6100</v>
      </c>
      <c r="D1107" s="4" t="s">
        <v>6039</v>
      </c>
      <c r="E1107" s="4" t="s">
        <v>6040</v>
      </c>
    </row>
    <row r="1108" spans="1:5">
      <c r="A1108" s="4" t="s">
        <v>6064</v>
      </c>
      <c r="B1108" s="4" t="s">
        <v>6110</v>
      </c>
      <c r="C1108" s="4" t="s">
        <v>6104</v>
      </c>
      <c r="D1108" s="4" t="s">
        <v>6033</v>
      </c>
      <c r="E1108" s="4" t="s">
        <v>6034</v>
      </c>
    </row>
    <row r="1109" spans="1:5">
      <c r="A1109" s="4" t="s">
        <v>6064</v>
      </c>
      <c r="B1109" s="4" t="s">
        <v>6110</v>
      </c>
      <c r="C1109" s="4" t="s">
        <v>6105</v>
      </c>
      <c r="D1109" s="4" t="s">
        <v>6033</v>
      </c>
      <c r="E1109" s="4" t="s">
        <v>6034</v>
      </c>
    </row>
    <row r="1110" spans="1:5">
      <c r="A1110" s="4" t="s">
        <v>6064</v>
      </c>
      <c r="B1110" s="4" t="s">
        <v>6110</v>
      </c>
      <c r="C1110" s="4" t="s">
        <v>6106</v>
      </c>
      <c r="D1110" s="4" t="s">
        <v>6033</v>
      </c>
      <c r="E1110" s="4" t="s">
        <v>6034</v>
      </c>
    </row>
    <row r="1111" spans="1:5">
      <c r="A1111" s="4" t="s">
        <v>6064</v>
      </c>
      <c r="B1111" s="4" t="s">
        <v>6110</v>
      </c>
      <c r="C1111" s="4" t="s">
        <v>6107</v>
      </c>
      <c r="D1111" s="4" t="s">
        <v>6033</v>
      </c>
      <c r="E1111" s="4" t="s">
        <v>6034</v>
      </c>
    </row>
    <row r="1112" spans="1:5">
      <c r="A1112" s="4" t="s">
        <v>6064</v>
      </c>
      <c r="B1112" s="4" t="s">
        <v>6110</v>
      </c>
      <c r="C1112" s="4" t="s">
        <v>6108</v>
      </c>
      <c r="D1112" s="4" t="s">
        <v>6033</v>
      </c>
      <c r="E1112" s="4" t="s">
        <v>6034</v>
      </c>
    </row>
    <row r="1113" spans="1:5">
      <c r="A1113" s="4" t="s">
        <v>6064</v>
      </c>
      <c r="B1113" s="4" t="s">
        <v>6110</v>
      </c>
      <c r="C1113" s="4" t="s">
        <v>6109</v>
      </c>
      <c r="D1113" s="4" t="s">
        <v>6033</v>
      </c>
      <c r="E1113" s="4" t="s">
        <v>6034</v>
      </c>
    </row>
    <row r="1114" spans="1:5">
      <c r="A1114" s="4" t="s">
        <v>6064</v>
      </c>
      <c r="B1114" s="4" t="s">
        <v>6111</v>
      </c>
      <c r="C1114" s="4" t="s">
        <v>6071</v>
      </c>
      <c r="D1114" s="4" t="s">
        <v>6033</v>
      </c>
      <c r="E1114" s="4" t="s">
        <v>6034</v>
      </c>
    </row>
    <row r="1115" spans="1:5">
      <c r="A1115" s="4" t="s">
        <v>6064</v>
      </c>
      <c r="B1115" s="4" t="s">
        <v>6111</v>
      </c>
      <c r="C1115" s="4" t="s">
        <v>6072</v>
      </c>
      <c r="D1115" s="4" t="s">
        <v>6033</v>
      </c>
      <c r="E1115" s="4" t="s">
        <v>6034</v>
      </c>
    </row>
    <row r="1116" spans="1:5">
      <c r="A1116" s="4" t="s">
        <v>6064</v>
      </c>
      <c r="B1116" s="4" t="s">
        <v>6111</v>
      </c>
      <c r="C1116" s="4" t="s">
        <v>6073</v>
      </c>
      <c r="D1116" s="4" t="s">
        <v>6033</v>
      </c>
      <c r="E1116" s="4" t="s">
        <v>6034</v>
      </c>
    </row>
    <row r="1117" spans="1:5">
      <c r="A1117" s="4" t="s">
        <v>6064</v>
      </c>
      <c r="B1117" s="4" t="s">
        <v>6111</v>
      </c>
      <c r="C1117" s="4" t="s">
        <v>6074</v>
      </c>
      <c r="D1117" s="4" t="s">
        <v>6033</v>
      </c>
      <c r="E1117" s="4" t="s">
        <v>6034</v>
      </c>
    </row>
    <row r="1118" spans="1:5">
      <c r="A1118" s="4" t="s">
        <v>6064</v>
      </c>
      <c r="B1118" s="4" t="s">
        <v>6111</v>
      </c>
      <c r="C1118" s="4" t="s">
        <v>6075</v>
      </c>
      <c r="D1118" s="4" t="s">
        <v>6033</v>
      </c>
      <c r="E1118" s="4" t="s">
        <v>6034</v>
      </c>
    </row>
    <row r="1119" spans="1:5">
      <c r="A1119" s="4" t="s">
        <v>6064</v>
      </c>
      <c r="B1119" s="4" t="s">
        <v>6111</v>
      </c>
      <c r="C1119" s="4" t="s">
        <v>6076</v>
      </c>
      <c r="D1119" s="4" t="s">
        <v>6033</v>
      </c>
      <c r="E1119" s="4" t="s">
        <v>6034</v>
      </c>
    </row>
    <row r="1120" spans="1:5">
      <c r="A1120" s="4" t="s">
        <v>6064</v>
      </c>
      <c r="B1120" s="4" t="s">
        <v>6111</v>
      </c>
      <c r="C1120" s="4" t="s">
        <v>6077</v>
      </c>
      <c r="D1120" s="4" t="s">
        <v>6033</v>
      </c>
      <c r="E1120" s="4" t="s">
        <v>6034</v>
      </c>
    </row>
    <row r="1121" spans="1:5">
      <c r="A1121" s="4" t="s">
        <v>6064</v>
      </c>
      <c r="B1121" s="4" t="s">
        <v>6111</v>
      </c>
      <c r="C1121" s="4" t="s">
        <v>6078</v>
      </c>
      <c r="D1121" s="4" t="s">
        <v>6033</v>
      </c>
      <c r="E1121" s="4" t="s">
        <v>6034</v>
      </c>
    </row>
    <row r="1122" spans="1:5">
      <c r="A1122" s="4" t="s">
        <v>6064</v>
      </c>
      <c r="B1122" s="4" t="s">
        <v>6111</v>
      </c>
      <c r="C1122" s="4" t="s">
        <v>6079</v>
      </c>
      <c r="D1122" s="4" t="s">
        <v>6033</v>
      </c>
      <c r="E1122" s="4" t="s">
        <v>6034</v>
      </c>
    </row>
    <row r="1123" spans="1:5">
      <c r="A1123" s="4" t="s">
        <v>6064</v>
      </c>
      <c r="B1123" s="4" t="s">
        <v>6111</v>
      </c>
      <c r="C1123" s="4" t="s">
        <v>6080</v>
      </c>
      <c r="D1123" s="4" t="s">
        <v>6033</v>
      </c>
      <c r="E1123" s="4" t="s">
        <v>6034</v>
      </c>
    </row>
    <row r="1124" spans="1:5">
      <c r="A1124" s="4" t="s">
        <v>6064</v>
      </c>
      <c r="B1124" s="4" t="s">
        <v>6111</v>
      </c>
      <c r="C1124" s="4" t="s">
        <v>6081</v>
      </c>
      <c r="D1124" s="4" t="s">
        <v>6033</v>
      </c>
      <c r="E1124" s="4" t="s">
        <v>6034</v>
      </c>
    </row>
    <row r="1125" spans="1:5">
      <c r="A1125" s="4" t="s">
        <v>6064</v>
      </c>
      <c r="B1125" s="4" t="s">
        <v>6111</v>
      </c>
      <c r="C1125" s="4" t="s">
        <v>6082</v>
      </c>
      <c r="D1125" s="4" t="s">
        <v>6033</v>
      </c>
      <c r="E1125" s="4" t="s">
        <v>6034</v>
      </c>
    </row>
    <row r="1126" spans="1:5">
      <c r="A1126" s="4" t="s">
        <v>6064</v>
      </c>
      <c r="B1126" s="4" t="s">
        <v>6111</v>
      </c>
      <c r="C1126" s="4" t="s">
        <v>6083</v>
      </c>
      <c r="D1126" s="4" t="s">
        <v>6033</v>
      </c>
      <c r="E1126" s="4" t="s">
        <v>6034</v>
      </c>
    </row>
    <row r="1127" spans="1:5">
      <c r="A1127" s="4" t="s">
        <v>6064</v>
      </c>
      <c r="B1127" s="4" t="s">
        <v>6111</v>
      </c>
      <c r="C1127" s="4" t="s">
        <v>6084</v>
      </c>
      <c r="D1127" s="4" t="s">
        <v>6033</v>
      </c>
      <c r="E1127" s="4" t="s">
        <v>6034</v>
      </c>
    </row>
    <row r="1128" spans="1:5">
      <c r="A1128" s="4" t="s">
        <v>6064</v>
      </c>
      <c r="B1128" s="4" t="s">
        <v>6111</v>
      </c>
      <c r="C1128" s="4" t="s">
        <v>6085</v>
      </c>
      <c r="D1128" s="4" t="s">
        <v>6033</v>
      </c>
      <c r="E1128" s="4" t="s">
        <v>6034</v>
      </c>
    </row>
    <row r="1129" spans="1:5">
      <c r="A1129" s="4" t="s">
        <v>6064</v>
      </c>
      <c r="B1129" s="4" t="s">
        <v>6111</v>
      </c>
      <c r="C1129" s="4" t="s">
        <v>6086</v>
      </c>
      <c r="D1129" s="4" t="s">
        <v>6033</v>
      </c>
      <c r="E1129" s="4" t="s">
        <v>6034</v>
      </c>
    </row>
    <row r="1130" spans="1:5">
      <c r="A1130" s="4" t="s">
        <v>6064</v>
      </c>
      <c r="B1130" s="4" t="s">
        <v>6111</v>
      </c>
      <c r="C1130" s="4" t="s">
        <v>6087</v>
      </c>
      <c r="D1130" s="4" t="s">
        <v>6033</v>
      </c>
      <c r="E1130" s="4" t="s">
        <v>6034</v>
      </c>
    </row>
    <row r="1131" spans="1:5">
      <c r="A1131" s="4" t="s">
        <v>6064</v>
      </c>
      <c r="B1131" s="4" t="s">
        <v>6111</v>
      </c>
      <c r="C1131" s="4" t="s">
        <v>6088</v>
      </c>
      <c r="D1131" s="4" t="s">
        <v>6033</v>
      </c>
      <c r="E1131" s="4" t="s">
        <v>6034</v>
      </c>
    </row>
    <row r="1132" spans="1:5">
      <c r="A1132" s="4" t="s">
        <v>6064</v>
      </c>
      <c r="B1132" s="4" t="s">
        <v>6111</v>
      </c>
      <c r="C1132" s="4" t="s">
        <v>6089</v>
      </c>
      <c r="D1132" s="4" t="s">
        <v>6033</v>
      </c>
      <c r="E1132" s="4" t="s">
        <v>6034</v>
      </c>
    </row>
    <row r="1133" spans="1:5">
      <c r="A1133" s="4" t="s">
        <v>6064</v>
      </c>
      <c r="B1133" s="4" t="s">
        <v>6111</v>
      </c>
      <c r="C1133" s="4" t="s">
        <v>6090</v>
      </c>
      <c r="D1133" s="4" t="s">
        <v>6033</v>
      </c>
      <c r="E1133" s="4" t="s">
        <v>6034</v>
      </c>
    </row>
    <row r="1134" spans="1:5">
      <c r="A1134" s="4" t="s">
        <v>6064</v>
      </c>
      <c r="B1134" s="4" t="s">
        <v>6111</v>
      </c>
      <c r="C1134" s="4" t="s">
        <v>6091</v>
      </c>
      <c r="D1134" s="4" t="s">
        <v>6033</v>
      </c>
      <c r="E1134" s="4" t="s">
        <v>6034</v>
      </c>
    </row>
    <row r="1135" spans="1:5">
      <c r="A1135" s="4" t="s">
        <v>6064</v>
      </c>
      <c r="B1135" s="4" t="s">
        <v>6111</v>
      </c>
      <c r="C1135" s="4" t="s">
        <v>6092</v>
      </c>
      <c r="D1135" s="4" t="s">
        <v>6033</v>
      </c>
      <c r="E1135" s="4" t="s">
        <v>6034</v>
      </c>
    </row>
    <row r="1136" spans="1:5">
      <c r="A1136" s="4" t="s">
        <v>6064</v>
      </c>
      <c r="B1136" s="4" t="s">
        <v>6111</v>
      </c>
      <c r="C1136" s="4" t="s">
        <v>6093</v>
      </c>
      <c r="D1136" s="4" t="s">
        <v>6033</v>
      </c>
      <c r="E1136" s="4" t="s">
        <v>6034</v>
      </c>
    </row>
    <row r="1137" spans="1:5">
      <c r="A1137" s="4" t="s">
        <v>6064</v>
      </c>
      <c r="B1137" s="4" t="s">
        <v>6111</v>
      </c>
      <c r="C1137" s="4" t="s">
        <v>6094</v>
      </c>
      <c r="D1137" s="4" t="s">
        <v>6033</v>
      </c>
      <c r="E1137" s="4" t="s">
        <v>6034</v>
      </c>
    </row>
    <row r="1138" spans="1:5">
      <c r="A1138" s="4" t="s">
        <v>6064</v>
      </c>
      <c r="B1138" s="4" t="s">
        <v>6111</v>
      </c>
      <c r="C1138" s="4" t="s">
        <v>6095</v>
      </c>
      <c r="D1138" s="4" t="s">
        <v>6033</v>
      </c>
      <c r="E1138" s="4" t="s">
        <v>6034</v>
      </c>
    </row>
    <row r="1139" spans="1:5">
      <c r="A1139" s="4" t="s">
        <v>6064</v>
      </c>
      <c r="B1139" s="4" t="s">
        <v>6111</v>
      </c>
      <c r="C1139" s="4" t="s">
        <v>6096</v>
      </c>
      <c r="D1139" s="4" t="s">
        <v>6033</v>
      </c>
      <c r="E1139" s="4" t="s">
        <v>6034</v>
      </c>
    </row>
    <row r="1140" spans="1:5">
      <c r="A1140" s="4" t="s">
        <v>6064</v>
      </c>
      <c r="B1140" s="4" t="s">
        <v>6111</v>
      </c>
      <c r="C1140" s="4" t="s">
        <v>6097</v>
      </c>
      <c r="D1140" s="4" t="s">
        <v>6033</v>
      </c>
      <c r="E1140" s="4" t="s">
        <v>6034</v>
      </c>
    </row>
    <row r="1141" spans="1:5">
      <c r="A1141" s="4" t="s">
        <v>6064</v>
      </c>
      <c r="B1141" s="4" t="s">
        <v>6111</v>
      </c>
      <c r="C1141" s="4" t="s">
        <v>6098</v>
      </c>
      <c r="D1141" s="4" t="s">
        <v>6033</v>
      </c>
      <c r="E1141" s="4" t="s">
        <v>6034</v>
      </c>
    </row>
    <row r="1142" spans="1:5">
      <c r="A1142" s="4" t="s">
        <v>6064</v>
      </c>
      <c r="B1142" s="4" t="s">
        <v>6111</v>
      </c>
      <c r="C1142" s="4" t="s">
        <v>6099</v>
      </c>
      <c r="D1142" s="4" t="s">
        <v>6039</v>
      </c>
      <c r="E1142" s="4" t="s">
        <v>6040</v>
      </c>
    </row>
    <row r="1143" spans="1:5">
      <c r="A1143" s="4" t="s">
        <v>6064</v>
      </c>
      <c r="B1143" s="4" t="s">
        <v>6111</v>
      </c>
      <c r="C1143" s="4" t="s">
        <v>6100</v>
      </c>
      <c r="D1143" s="4" t="s">
        <v>6039</v>
      </c>
      <c r="E1143" s="4" t="s">
        <v>6040</v>
      </c>
    </row>
    <row r="1144" spans="1:5">
      <c r="A1144" s="4" t="s">
        <v>6064</v>
      </c>
      <c r="B1144" s="4" t="s">
        <v>6111</v>
      </c>
      <c r="C1144" s="4" t="s">
        <v>6104</v>
      </c>
      <c r="D1144" s="4" t="s">
        <v>6033</v>
      </c>
      <c r="E1144" s="4" t="s">
        <v>6034</v>
      </c>
    </row>
    <row r="1145" spans="1:5">
      <c r="A1145" s="4" t="s">
        <v>6064</v>
      </c>
      <c r="B1145" s="4" t="s">
        <v>6111</v>
      </c>
      <c r="C1145" s="4" t="s">
        <v>6105</v>
      </c>
      <c r="D1145" s="4" t="s">
        <v>6033</v>
      </c>
      <c r="E1145" s="4" t="s">
        <v>6034</v>
      </c>
    </row>
    <row r="1146" spans="1:5">
      <c r="A1146" s="4" t="s">
        <v>6064</v>
      </c>
      <c r="B1146" s="4" t="s">
        <v>6111</v>
      </c>
      <c r="C1146" s="4" t="s">
        <v>6106</v>
      </c>
      <c r="D1146" s="4" t="s">
        <v>6033</v>
      </c>
      <c r="E1146" s="4" t="s">
        <v>6034</v>
      </c>
    </row>
    <row r="1147" spans="1:5">
      <c r="A1147" s="4" t="s">
        <v>6064</v>
      </c>
      <c r="B1147" s="4" t="s">
        <v>6111</v>
      </c>
      <c r="C1147" s="4" t="s">
        <v>6107</v>
      </c>
      <c r="D1147" s="4" t="s">
        <v>6033</v>
      </c>
      <c r="E1147" s="4" t="s">
        <v>6034</v>
      </c>
    </row>
    <row r="1148" spans="1:5">
      <c r="A1148" s="4" t="s">
        <v>6064</v>
      </c>
      <c r="B1148" s="4" t="s">
        <v>6111</v>
      </c>
      <c r="C1148" s="4" t="s">
        <v>6108</v>
      </c>
      <c r="D1148" s="4" t="s">
        <v>6033</v>
      </c>
      <c r="E1148" s="4" t="s">
        <v>6034</v>
      </c>
    </row>
    <row r="1149" spans="1:5">
      <c r="A1149" s="4" t="s">
        <v>6064</v>
      </c>
      <c r="B1149" s="4" t="s">
        <v>6111</v>
      </c>
      <c r="C1149" s="4" t="s">
        <v>6109</v>
      </c>
      <c r="D1149" s="4" t="s">
        <v>6033</v>
      </c>
      <c r="E1149" s="4" t="s">
        <v>6034</v>
      </c>
    </row>
    <row r="1150" spans="1:5">
      <c r="A1150" s="4" t="s">
        <v>6064</v>
      </c>
      <c r="B1150" s="4" t="s">
        <v>6111</v>
      </c>
      <c r="C1150" s="4" t="s">
        <v>6110</v>
      </c>
      <c r="D1150" s="4" t="s">
        <v>6033</v>
      </c>
      <c r="E1150" s="4" t="s">
        <v>6034</v>
      </c>
    </row>
    <row r="1151" spans="1:5">
      <c r="A1151" s="4" t="s">
        <v>6064</v>
      </c>
      <c r="B1151" s="4" t="s">
        <v>6112</v>
      </c>
      <c r="C1151" s="4" t="s">
        <v>6078</v>
      </c>
      <c r="D1151" s="4" t="s">
        <v>6033</v>
      </c>
      <c r="E1151" s="4" t="s">
        <v>6034</v>
      </c>
    </row>
    <row r="1152" spans="1:5">
      <c r="A1152" s="4" t="s">
        <v>6064</v>
      </c>
      <c r="B1152" s="4" t="s">
        <v>6112</v>
      </c>
      <c r="C1152" s="4" t="s">
        <v>6079</v>
      </c>
      <c r="D1152" s="4" t="s">
        <v>6033</v>
      </c>
      <c r="E1152" s="4" t="s">
        <v>6034</v>
      </c>
    </row>
    <row r="1153" spans="1:5">
      <c r="A1153" s="4" t="s">
        <v>6064</v>
      </c>
      <c r="B1153" s="4" t="s">
        <v>6112</v>
      </c>
      <c r="C1153" s="4" t="s">
        <v>6080</v>
      </c>
      <c r="D1153" s="4" t="s">
        <v>6033</v>
      </c>
      <c r="E1153" s="4" t="s">
        <v>6034</v>
      </c>
    </row>
    <row r="1154" spans="1:5">
      <c r="A1154" s="4" t="s">
        <v>6064</v>
      </c>
      <c r="B1154" s="4" t="s">
        <v>6112</v>
      </c>
      <c r="C1154" s="4" t="s">
        <v>6081</v>
      </c>
      <c r="D1154" s="4" t="s">
        <v>6033</v>
      </c>
      <c r="E1154" s="4" t="s">
        <v>6034</v>
      </c>
    </row>
    <row r="1155" spans="1:5">
      <c r="A1155" s="4" t="s">
        <v>6064</v>
      </c>
      <c r="B1155" s="4" t="s">
        <v>6112</v>
      </c>
      <c r="C1155" s="4" t="s">
        <v>6082</v>
      </c>
      <c r="D1155" s="4" t="s">
        <v>6033</v>
      </c>
      <c r="E1155" s="4" t="s">
        <v>6034</v>
      </c>
    </row>
    <row r="1156" spans="1:5">
      <c r="A1156" s="4" t="s">
        <v>6064</v>
      </c>
      <c r="B1156" s="4" t="s">
        <v>6112</v>
      </c>
      <c r="C1156" s="4" t="s">
        <v>6083</v>
      </c>
      <c r="D1156" s="4" t="s">
        <v>6033</v>
      </c>
      <c r="E1156" s="4" t="s">
        <v>6034</v>
      </c>
    </row>
    <row r="1157" spans="1:5">
      <c r="A1157" s="4" t="s">
        <v>6064</v>
      </c>
      <c r="B1157" s="4" t="s">
        <v>6112</v>
      </c>
      <c r="C1157" s="4" t="s">
        <v>6084</v>
      </c>
      <c r="D1157" s="4" t="s">
        <v>6033</v>
      </c>
      <c r="E1157" s="4" t="s">
        <v>6034</v>
      </c>
    </row>
    <row r="1158" spans="1:5">
      <c r="A1158" s="4" t="s">
        <v>6064</v>
      </c>
      <c r="B1158" s="4" t="s">
        <v>6112</v>
      </c>
      <c r="C1158" s="4" t="s">
        <v>6085</v>
      </c>
      <c r="D1158" s="4" t="s">
        <v>6033</v>
      </c>
      <c r="E1158" s="4" t="s">
        <v>6034</v>
      </c>
    </row>
    <row r="1159" spans="1:5">
      <c r="A1159" s="4" t="s">
        <v>6064</v>
      </c>
      <c r="B1159" s="4" t="s">
        <v>6112</v>
      </c>
      <c r="C1159" s="4" t="s">
        <v>6086</v>
      </c>
      <c r="D1159" s="4" t="s">
        <v>6033</v>
      </c>
      <c r="E1159" s="4" t="s">
        <v>6034</v>
      </c>
    </row>
    <row r="1160" spans="1:5">
      <c r="A1160" s="4" t="s">
        <v>6064</v>
      </c>
      <c r="B1160" s="4" t="s">
        <v>6112</v>
      </c>
      <c r="C1160" s="4" t="s">
        <v>6087</v>
      </c>
      <c r="D1160" s="4" t="s">
        <v>6033</v>
      </c>
      <c r="E1160" s="4" t="s">
        <v>6034</v>
      </c>
    </row>
    <row r="1161" spans="1:5">
      <c r="A1161" s="4" t="s">
        <v>6064</v>
      </c>
      <c r="B1161" s="4" t="s">
        <v>6112</v>
      </c>
      <c r="C1161" s="4" t="s">
        <v>6089</v>
      </c>
      <c r="D1161" s="4" t="s">
        <v>6033</v>
      </c>
      <c r="E1161" s="4" t="s">
        <v>6034</v>
      </c>
    </row>
    <row r="1162" spans="1:5">
      <c r="A1162" s="4" t="s">
        <v>6064</v>
      </c>
      <c r="B1162" s="4" t="s">
        <v>6112</v>
      </c>
      <c r="C1162" s="4" t="s">
        <v>6090</v>
      </c>
      <c r="D1162" s="4" t="s">
        <v>6033</v>
      </c>
      <c r="E1162" s="4" t="s">
        <v>6034</v>
      </c>
    </row>
    <row r="1163" spans="1:5">
      <c r="A1163" s="4" t="s">
        <v>6064</v>
      </c>
      <c r="B1163" s="4" t="s">
        <v>6112</v>
      </c>
      <c r="C1163" s="4" t="s">
        <v>6091</v>
      </c>
      <c r="D1163" s="4" t="s">
        <v>6033</v>
      </c>
      <c r="E1163" s="4" t="s">
        <v>6034</v>
      </c>
    </row>
    <row r="1164" spans="1:5">
      <c r="A1164" s="4" t="s">
        <v>6064</v>
      </c>
      <c r="B1164" s="4" t="s">
        <v>6112</v>
      </c>
      <c r="C1164" s="4" t="s">
        <v>6092</v>
      </c>
      <c r="D1164" s="4" t="s">
        <v>6033</v>
      </c>
      <c r="E1164" s="4" t="s">
        <v>6034</v>
      </c>
    </row>
    <row r="1165" spans="1:5">
      <c r="A1165" s="4" t="s">
        <v>6064</v>
      </c>
      <c r="B1165" s="4" t="s">
        <v>6112</v>
      </c>
      <c r="C1165" s="4" t="s">
        <v>6093</v>
      </c>
      <c r="D1165" s="4" t="s">
        <v>6033</v>
      </c>
      <c r="E1165" s="4" t="s">
        <v>6034</v>
      </c>
    </row>
    <row r="1166" spans="1:5">
      <c r="A1166" s="4" t="s">
        <v>6064</v>
      </c>
      <c r="B1166" s="4" t="s">
        <v>6112</v>
      </c>
      <c r="C1166" s="4" t="s">
        <v>6094</v>
      </c>
      <c r="D1166" s="4" t="s">
        <v>6033</v>
      </c>
      <c r="E1166" s="4" t="s">
        <v>6034</v>
      </c>
    </row>
    <row r="1167" spans="1:5">
      <c r="A1167" s="4" t="s">
        <v>6064</v>
      </c>
      <c r="B1167" s="4" t="s">
        <v>6112</v>
      </c>
      <c r="C1167" s="4" t="s">
        <v>6095</v>
      </c>
      <c r="D1167" s="4" t="s">
        <v>6033</v>
      </c>
      <c r="E1167" s="4" t="s">
        <v>6034</v>
      </c>
    </row>
    <row r="1168" spans="1:5">
      <c r="A1168" s="4" t="s">
        <v>6064</v>
      </c>
      <c r="B1168" s="4" t="s">
        <v>6112</v>
      </c>
      <c r="C1168" s="4" t="s">
        <v>6096</v>
      </c>
      <c r="D1168" s="4" t="s">
        <v>6033</v>
      </c>
      <c r="E1168" s="4" t="s">
        <v>6034</v>
      </c>
    </row>
    <row r="1169" spans="1:5">
      <c r="A1169" s="4" t="s">
        <v>6064</v>
      </c>
      <c r="B1169" s="4" t="s">
        <v>6112</v>
      </c>
      <c r="C1169" s="4" t="s">
        <v>6097</v>
      </c>
      <c r="D1169" s="4" t="s">
        <v>6033</v>
      </c>
      <c r="E1169" s="4" t="s">
        <v>6034</v>
      </c>
    </row>
    <row r="1170" spans="1:5">
      <c r="A1170" s="4" t="s">
        <v>6064</v>
      </c>
      <c r="B1170" s="4" t="s">
        <v>6112</v>
      </c>
      <c r="C1170" s="4" t="s">
        <v>6098</v>
      </c>
      <c r="D1170" s="4" t="s">
        <v>6033</v>
      </c>
      <c r="E1170" s="4" t="s">
        <v>6034</v>
      </c>
    </row>
    <row r="1171" spans="1:5">
      <c r="A1171" s="4" t="s">
        <v>6064</v>
      </c>
      <c r="B1171" s="4" t="s">
        <v>6112</v>
      </c>
      <c r="C1171" s="4" t="s">
        <v>6099</v>
      </c>
      <c r="D1171" s="4" t="s">
        <v>6033</v>
      </c>
      <c r="E1171" s="4" t="s">
        <v>6034</v>
      </c>
    </row>
    <row r="1172" spans="1:5">
      <c r="A1172" s="4" t="s">
        <v>6064</v>
      </c>
      <c r="B1172" s="4" t="s">
        <v>6112</v>
      </c>
      <c r="C1172" s="4" t="s">
        <v>6100</v>
      </c>
      <c r="D1172" s="4" t="s">
        <v>6033</v>
      </c>
      <c r="E1172" s="4" t="s">
        <v>6034</v>
      </c>
    </row>
    <row r="1173" spans="1:5">
      <c r="A1173" s="4" t="s">
        <v>6064</v>
      </c>
      <c r="B1173" s="4" t="s">
        <v>6112</v>
      </c>
      <c r="C1173" s="4" t="s">
        <v>6106</v>
      </c>
      <c r="D1173" s="4" t="s">
        <v>6033</v>
      </c>
      <c r="E1173" s="4" t="s">
        <v>6034</v>
      </c>
    </row>
    <row r="1174" spans="1:5">
      <c r="A1174" s="4" t="s">
        <v>6064</v>
      </c>
      <c r="B1174" s="4" t="s">
        <v>6112</v>
      </c>
      <c r="C1174" s="4" t="s">
        <v>6107</v>
      </c>
      <c r="D1174" s="4" t="s">
        <v>6033</v>
      </c>
      <c r="E1174" s="4" t="s">
        <v>6034</v>
      </c>
    </row>
    <row r="1175" spans="1:5">
      <c r="A1175" s="4" t="s">
        <v>6064</v>
      </c>
      <c r="B1175" s="4" t="s">
        <v>6112</v>
      </c>
      <c r="C1175" s="4" t="s">
        <v>6108</v>
      </c>
      <c r="D1175" s="4" t="s">
        <v>6033</v>
      </c>
      <c r="E1175" s="4" t="s">
        <v>6034</v>
      </c>
    </row>
    <row r="1176" spans="1:5">
      <c r="A1176" s="4" t="s">
        <v>6064</v>
      </c>
      <c r="B1176" s="4" t="s">
        <v>6112</v>
      </c>
      <c r="C1176" s="4" t="s">
        <v>6109</v>
      </c>
      <c r="D1176" s="4" t="s">
        <v>6033</v>
      </c>
      <c r="E1176" s="4" t="s">
        <v>6034</v>
      </c>
    </row>
    <row r="1177" spans="1:5">
      <c r="A1177" s="4" t="s">
        <v>6064</v>
      </c>
      <c r="B1177" s="4" t="s">
        <v>6112</v>
      </c>
      <c r="C1177" s="4" t="s">
        <v>6110</v>
      </c>
      <c r="D1177" s="4" t="s">
        <v>6033</v>
      </c>
      <c r="E1177" s="4" t="s">
        <v>6034</v>
      </c>
    </row>
    <row r="1178" spans="1:5">
      <c r="A1178" s="4" t="s">
        <v>6064</v>
      </c>
      <c r="B1178" s="4" t="s">
        <v>6112</v>
      </c>
      <c r="C1178" s="4" t="s">
        <v>6111</v>
      </c>
      <c r="D1178" s="4" t="s">
        <v>6033</v>
      </c>
      <c r="E1178" s="4" t="s">
        <v>6034</v>
      </c>
    </row>
    <row r="1179" spans="1:5">
      <c r="A1179" s="4" t="s">
        <v>6113</v>
      </c>
      <c r="B1179" s="4" t="s">
        <v>6114</v>
      </c>
      <c r="C1179" s="4" t="s">
        <v>6115</v>
      </c>
      <c r="D1179" s="4" t="s">
        <v>6033</v>
      </c>
      <c r="E1179" s="4" t="s">
        <v>6034</v>
      </c>
    </row>
    <row r="1180" spans="1:5">
      <c r="A1180" s="4" t="s">
        <v>6113</v>
      </c>
      <c r="B1180" s="4" t="s">
        <v>6116</v>
      </c>
      <c r="C1180" s="4" t="s">
        <v>6115</v>
      </c>
      <c r="D1180" s="4" t="s">
        <v>6033</v>
      </c>
      <c r="E1180" s="4" t="s">
        <v>6034</v>
      </c>
    </row>
    <row r="1181" spans="1:5">
      <c r="A1181" s="4" t="s">
        <v>6113</v>
      </c>
      <c r="B1181" s="4" t="s">
        <v>6116</v>
      </c>
      <c r="C1181" s="4" t="s">
        <v>6114</v>
      </c>
      <c r="D1181" s="4" t="s">
        <v>6033</v>
      </c>
      <c r="E1181" s="4" t="s">
        <v>6034</v>
      </c>
    </row>
    <row r="1182" spans="1:5">
      <c r="A1182" s="4" t="s">
        <v>6113</v>
      </c>
      <c r="B1182" s="4" t="s">
        <v>6117</v>
      </c>
      <c r="C1182" s="4" t="s">
        <v>6115</v>
      </c>
      <c r="D1182" s="4" t="s">
        <v>6033</v>
      </c>
      <c r="E1182" s="4" t="s">
        <v>6034</v>
      </c>
    </row>
    <row r="1183" spans="1:5">
      <c r="A1183" s="4" t="s">
        <v>6113</v>
      </c>
      <c r="B1183" s="4" t="s">
        <v>6117</v>
      </c>
      <c r="C1183" s="4" t="s">
        <v>6114</v>
      </c>
      <c r="D1183" s="4" t="s">
        <v>6033</v>
      </c>
      <c r="E1183" s="4" t="s">
        <v>6034</v>
      </c>
    </row>
    <row r="1184" spans="1:5">
      <c r="A1184" s="4" t="s">
        <v>6113</v>
      </c>
      <c r="B1184" s="4" t="s">
        <v>6117</v>
      </c>
      <c r="C1184" s="4" t="s">
        <v>6116</v>
      </c>
      <c r="D1184" s="4" t="s">
        <v>6033</v>
      </c>
      <c r="E1184" s="4" t="s">
        <v>6034</v>
      </c>
    </row>
    <row r="1185" spans="1:5">
      <c r="A1185" s="4" t="s">
        <v>6113</v>
      </c>
      <c r="B1185" s="4" t="s">
        <v>6118</v>
      </c>
      <c r="C1185" s="4" t="s">
        <v>6115</v>
      </c>
      <c r="D1185" s="4" t="s">
        <v>6033</v>
      </c>
      <c r="E1185" s="4" t="s">
        <v>6034</v>
      </c>
    </row>
    <row r="1186" spans="1:5">
      <c r="A1186" s="4" t="s">
        <v>6113</v>
      </c>
      <c r="B1186" s="4" t="s">
        <v>6118</v>
      </c>
      <c r="C1186" s="4" t="s">
        <v>6114</v>
      </c>
      <c r="D1186" s="4" t="s">
        <v>6033</v>
      </c>
      <c r="E1186" s="4" t="s">
        <v>6034</v>
      </c>
    </row>
    <row r="1187" spans="1:5">
      <c r="A1187" s="4" t="s">
        <v>6113</v>
      </c>
      <c r="B1187" s="4" t="s">
        <v>6118</v>
      </c>
      <c r="C1187" s="4" t="s">
        <v>6116</v>
      </c>
      <c r="D1187" s="4" t="s">
        <v>6033</v>
      </c>
      <c r="E1187" s="4" t="s">
        <v>6034</v>
      </c>
    </row>
    <row r="1188" spans="1:5">
      <c r="A1188" s="4" t="s">
        <v>6113</v>
      </c>
      <c r="B1188" s="4" t="s">
        <v>6118</v>
      </c>
      <c r="C1188" s="4" t="s">
        <v>6117</v>
      </c>
      <c r="D1188" s="4" t="s">
        <v>6033</v>
      </c>
      <c r="E1188" s="4" t="s">
        <v>6034</v>
      </c>
    </row>
    <row r="1189" spans="1:5">
      <c r="A1189" s="4" t="s">
        <v>6113</v>
      </c>
      <c r="B1189" s="4" t="s">
        <v>6119</v>
      </c>
      <c r="C1189" s="4" t="s">
        <v>6115</v>
      </c>
      <c r="D1189" s="4" t="s">
        <v>6039</v>
      </c>
      <c r="E1189" s="4" t="s">
        <v>6040</v>
      </c>
    </row>
    <row r="1190" spans="1:5">
      <c r="A1190" s="4" t="s">
        <v>6113</v>
      </c>
      <c r="B1190" s="4" t="s">
        <v>6119</v>
      </c>
      <c r="C1190" s="4" t="s">
        <v>6114</v>
      </c>
      <c r="D1190" s="4" t="s">
        <v>6039</v>
      </c>
      <c r="E1190" s="4" t="s">
        <v>6040</v>
      </c>
    </row>
    <row r="1191" spans="1:5">
      <c r="A1191" s="4" t="s">
        <v>6113</v>
      </c>
      <c r="B1191" s="4" t="s">
        <v>6119</v>
      </c>
      <c r="C1191" s="4" t="s">
        <v>6116</v>
      </c>
      <c r="D1191" s="4" t="s">
        <v>6039</v>
      </c>
      <c r="E1191" s="4" t="s">
        <v>6040</v>
      </c>
    </row>
    <row r="1192" spans="1:5">
      <c r="A1192" s="4" t="s">
        <v>6113</v>
      </c>
      <c r="B1192" s="4" t="s">
        <v>6119</v>
      </c>
      <c r="C1192" s="4" t="s">
        <v>6117</v>
      </c>
      <c r="D1192" s="4" t="s">
        <v>6039</v>
      </c>
      <c r="E1192" s="4" t="s">
        <v>6040</v>
      </c>
    </row>
    <row r="1193" spans="1:5">
      <c r="A1193" s="4" t="s">
        <v>6113</v>
      </c>
      <c r="B1193" s="4" t="s">
        <v>6119</v>
      </c>
      <c r="C1193" s="4" t="s">
        <v>6118</v>
      </c>
      <c r="D1193" s="4" t="s">
        <v>6039</v>
      </c>
      <c r="E1193" s="4" t="s">
        <v>6040</v>
      </c>
    </row>
    <row r="1194" spans="1:5">
      <c r="A1194" s="4" t="s">
        <v>6113</v>
      </c>
      <c r="B1194" s="4" t="s">
        <v>6120</v>
      </c>
      <c r="C1194" s="4" t="s">
        <v>6115</v>
      </c>
      <c r="D1194" s="4" t="s">
        <v>6033</v>
      </c>
      <c r="E1194" s="4" t="s">
        <v>6034</v>
      </c>
    </row>
    <row r="1195" spans="1:5">
      <c r="A1195" s="4" t="s">
        <v>6113</v>
      </c>
      <c r="B1195" s="4" t="s">
        <v>6120</v>
      </c>
      <c r="C1195" s="4" t="s">
        <v>6114</v>
      </c>
      <c r="D1195" s="4" t="s">
        <v>6033</v>
      </c>
      <c r="E1195" s="4" t="s">
        <v>6034</v>
      </c>
    </row>
    <row r="1196" spans="1:5">
      <c r="A1196" s="4" t="s">
        <v>6113</v>
      </c>
      <c r="B1196" s="4" t="s">
        <v>6120</v>
      </c>
      <c r="C1196" s="4" t="s">
        <v>6116</v>
      </c>
      <c r="D1196" s="4" t="s">
        <v>6033</v>
      </c>
      <c r="E1196" s="4" t="s">
        <v>6034</v>
      </c>
    </row>
    <row r="1197" spans="1:5">
      <c r="A1197" s="4" t="s">
        <v>6113</v>
      </c>
      <c r="B1197" s="4" t="s">
        <v>6120</v>
      </c>
      <c r="C1197" s="4" t="s">
        <v>6117</v>
      </c>
      <c r="D1197" s="4" t="s">
        <v>6033</v>
      </c>
      <c r="E1197" s="4" t="s">
        <v>6034</v>
      </c>
    </row>
    <row r="1198" spans="1:5">
      <c r="A1198" s="4" t="s">
        <v>6113</v>
      </c>
      <c r="B1198" s="4" t="s">
        <v>6120</v>
      </c>
      <c r="C1198" s="4" t="s">
        <v>6118</v>
      </c>
      <c r="D1198" s="4" t="s">
        <v>6033</v>
      </c>
      <c r="E1198" s="4" t="s">
        <v>6034</v>
      </c>
    </row>
    <row r="1199" spans="1:5">
      <c r="A1199" s="4" t="s">
        <v>6113</v>
      </c>
      <c r="B1199" s="4" t="s">
        <v>6120</v>
      </c>
      <c r="C1199" s="4" t="s">
        <v>6119</v>
      </c>
      <c r="D1199" s="4" t="s">
        <v>6033</v>
      </c>
      <c r="E1199" s="4" t="s">
        <v>6034</v>
      </c>
    </row>
    <row r="1200" spans="1:5">
      <c r="A1200" s="4" t="s">
        <v>6113</v>
      </c>
      <c r="B1200" s="4" t="s">
        <v>6121</v>
      </c>
      <c r="C1200" s="4" t="s">
        <v>6115</v>
      </c>
      <c r="D1200" s="4" t="s">
        <v>6033</v>
      </c>
      <c r="E1200" s="4" t="s">
        <v>6034</v>
      </c>
    </row>
    <row r="1201" spans="1:5">
      <c r="A1201" s="4" t="s">
        <v>6113</v>
      </c>
      <c r="B1201" s="4" t="s">
        <v>6121</v>
      </c>
      <c r="C1201" s="4" t="s">
        <v>6114</v>
      </c>
      <c r="D1201" s="4" t="s">
        <v>6033</v>
      </c>
      <c r="E1201" s="4" t="s">
        <v>6034</v>
      </c>
    </row>
    <row r="1202" spans="1:5">
      <c r="A1202" s="4" t="s">
        <v>6113</v>
      </c>
      <c r="B1202" s="4" t="s">
        <v>6121</v>
      </c>
      <c r="C1202" s="4" t="s">
        <v>6116</v>
      </c>
      <c r="D1202" s="4" t="s">
        <v>6033</v>
      </c>
      <c r="E1202" s="4" t="s">
        <v>6034</v>
      </c>
    </row>
    <row r="1203" spans="1:5">
      <c r="A1203" s="4" t="s">
        <v>6113</v>
      </c>
      <c r="B1203" s="4" t="s">
        <v>6121</v>
      </c>
      <c r="C1203" s="4" t="s">
        <v>6117</v>
      </c>
      <c r="D1203" s="4" t="s">
        <v>6033</v>
      </c>
      <c r="E1203" s="4" t="s">
        <v>6034</v>
      </c>
    </row>
    <row r="1204" spans="1:5">
      <c r="A1204" s="4" t="s">
        <v>6113</v>
      </c>
      <c r="B1204" s="4" t="s">
        <v>6121</v>
      </c>
      <c r="C1204" s="4" t="s">
        <v>6118</v>
      </c>
      <c r="D1204" s="4" t="s">
        <v>6033</v>
      </c>
      <c r="E1204" s="4" t="s">
        <v>6034</v>
      </c>
    </row>
    <row r="1205" spans="1:5">
      <c r="A1205" s="4" t="s">
        <v>6113</v>
      </c>
      <c r="B1205" s="4" t="s">
        <v>6121</v>
      </c>
      <c r="C1205" s="4" t="s">
        <v>6119</v>
      </c>
      <c r="D1205" s="4" t="s">
        <v>6033</v>
      </c>
      <c r="E1205" s="4" t="s">
        <v>6034</v>
      </c>
    </row>
    <row r="1206" spans="1:5">
      <c r="A1206" s="4" t="s">
        <v>6113</v>
      </c>
      <c r="B1206" s="4" t="s">
        <v>6121</v>
      </c>
      <c r="C1206" s="4" t="s">
        <v>6120</v>
      </c>
      <c r="D1206" s="4" t="s">
        <v>6033</v>
      </c>
      <c r="E1206" s="4" t="s">
        <v>6034</v>
      </c>
    </row>
    <row r="1207" spans="1:5">
      <c r="A1207" s="4" t="s">
        <v>6113</v>
      </c>
      <c r="B1207" s="4" t="s">
        <v>6122</v>
      </c>
      <c r="C1207" s="4" t="s">
        <v>6115</v>
      </c>
      <c r="D1207" s="4" t="s">
        <v>6033</v>
      </c>
      <c r="E1207" s="4" t="s">
        <v>6034</v>
      </c>
    </row>
    <row r="1208" spans="1:5">
      <c r="A1208" s="4" t="s">
        <v>6113</v>
      </c>
      <c r="B1208" s="4" t="s">
        <v>6122</v>
      </c>
      <c r="C1208" s="4" t="s">
        <v>6114</v>
      </c>
      <c r="D1208" s="4" t="s">
        <v>6033</v>
      </c>
      <c r="E1208" s="4" t="s">
        <v>6034</v>
      </c>
    </row>
    <row r="1209" spans="1:5">
      <c r="A1209" s="4" t="s">
        <v>6113</v>
      </c>
      <c r="B1209" s="4" t="s">
        <v>6122</v>
      </c>
      <c r="C1209" s="4" t="s">
        <v>6116</v>
      </c>
      <c r="D1209" s="4" t="s">
        <v>6033</v>
      </c>
      <c r="E1209" s="4" t="s">
        <v>6034</v>
      </c>
    </row>
    <row r="1210" spans="1:5">
      <c r="A1210" s="4" t="s">
        <v>6113</v>
      </c>
      <c r="B1210" s="4" t="s">
        <v>6122</v>
      </c>
      <c r="C1210" s="4" t="s">
        <v>6117</v>
      </c>
      <c r="D1210" s="4" t="s">
        <v>6033</v>
      </c>
      <c r="E1210" s="4" t="s">
        <v>6034</v>
      </c>
    </row>
    <row r="1211" spans="1:5">
      <c r="A1211" s="4" t="s">
        <v>6113</v>
      </c>
      <c r="B1211" s="4" t="s">
        <v>6122</v>
      </c>
      <c r="C1211" s="4" t="s">
        <v>6118</v>
      </c>
      <c r="D1211" s="4" t="s">
        <v>6033</v>
      </c>
      <c r="E1211" s="4" t="s">
        <v>6034</v>
      </c>
    </row>
    <row r="1212" spans="1:5">
      <c r="A1212" s="4" t="s">
        <v>6113</v>
      </c>
      <c r="B1212" s="4" t="s">
        <v>6122</v>
      </c>
      <c r="C1212" s="4" t="s">
        <v>6119</v>
      </c>
      <c r="D1212" s="4" t="s">
        <v>6033</v>
      </c>
      <c r="E1212" s="4" t="s">
        <v>6034</v>
      </c>
    </row>
    <row r="1213" spans="1:5">
      <c r="A1213" s="4" t="s">
        <v>6113</v>
      </c>
      <c r="B1213" s="4" t="s">
        <v>6122</v>
      </c>
      <c r="C1213" s="4" t="s">
        <v>6120</v>
      </c>
      <c r="D1213" s="4" t="s">
        <v>6033</v>
      </c>
      <c r="E1213" s="4" t="s">
        <v>6034</v>
      </c>
    </row>
    <row r="1214" spans="1:5">
      <c r="A1214" s="4" t="s">
        <v>6113</v>
      </c>
      <c r="B1214" s="4" t="s">
        <v>6122</v>
      </c>
      <c r="C1214" s="4" t="s">
        <v>6121</v>
      </c>
      <c r="D1214" s="4" t="s">
        <v>6033</v>
      </c>
      <c r="E1214" s="4" t="s">
        <v>6034</v>
      </c>
    </row>
    <row r="1215" spans="1:5">
      <c r="A1215" s="4" t="s">
        <v>6113</v>
      </c>
      <c r="B1215" s="4" t="s">
        <v>6123</v>
      </c>
      <c r="C1215" s="4" t="s">
        <v>6118</v>
      </c>
      <c r="D1215" s="4" t="s">
        <v>6039</v>
      </c>
      <c r="E1215" s="4" t="s">
        <v>6040</v>
      </c>
    </row>
    <row r="1216" spans="1:5">
      <c r="A1216" s="4" t="s">
        <v>6113</v>
      </c>
      <c r="B1216" s="4" t="s">
        <v>6123</v>
      </c>
      <c r="C1216" s="4" t="s">
        <v>6120</v>
      </c>
      <c r="D1216" s="4" t="s">
        <v>6039</v>
      </c>
      <c r="E1216" s="4" t="s">
        <v>6040</v>
      </c>
    </row>
    <row r="1217" spans="1:5">
      <c r="A1217" s="4" t="s">
        <v>6113</v>
      </c>
      <c r="B1217" s="4" t="s">
        <v>6123</v>
      </c>
      <c r="C1217" s="4" t="s">
        <v>6121</v>
      </c>
      <c r="D1217" s="4" t="s">
        <v>6039</v>
      </c>
      <c r="E1217" s="4" t="s">
        <v>6040</v>
      </c>
    </row>
    <row r="1218" spans="1:5">
      <c r="A1218" s="4" t="s">
        <v>6113</v>
      </c>
      <c r="B1218" s="4" t="s">
        <v>6123</v>
      </c>
      <c r="C1218" s="4" t="s">
        <v>6122</v>
      </c>
      <c r="D1218" s="4" t="s">
        <v>6039</v>
      </c>
      <c r="E1218" s="4" t="s">
        <v>6040</v>
      </c>
    </row>
    <row r="1219" spans="1:5">
      <c r="A1219" s="4" t="s">
        <v>6113</v>
      </c>
      <c r="B1219" s="4" t="s">
        <v>6124</v>
      </c>
      <c r="C1219" s="4" t="s">
        <v>6115</v>
      </c>
      <c r="D1219" s="4" t="s">
        <v>6033</v>
      </c>
      <c r="E1219" s="4" t="s">
        <v>6034</v>
      </c>
    </row>
    <row r="1220" spans="1:5">
      <c r="A1220" s="4" t="s">
        <v>6113</v>
      </c>
      <c r="B1220" s="4" t="s">
        <v>6124</v>
      </c>
      <c r="C1220" s="4" t="s">
        <v>6114</v>
      </c>
      <c r="D1220" s="4" t="s">
        <v>6033</v>
      </c>
      <c r="E1220" s="4" t="s">
        <v>6034</v>
      </c>
    </row>
    <row r="1221" spans="1:5">
      <c r="A1221" s="4" t="s">
        <v>6113</v>
      </c>
      <c r="B1221" s="4" t="s">
        <v>6124</v>
      </c>
      <c r="C1221" s="4" t="s">
        <v>6116</v>
      </c>
      <c r="D1221" s="4" t="s">
        <v>6033</v>
      </c>
      <c r="E1221" s="4" t="s">
        <v>6034</v>
      </c>
    </row>
    <row r="1222" spans="1:5">
      <c r="A1222" s="4" t="s">
        <v>6113</v>
      </c>
      <c r="B1222" s="4" t="s">
        <v>6124</v>
      </c>
      <c r="C1222" s="4" t="s">
        <v>6117</v>
      </c>
      <c r="D1222" s="4" t="s">
        <v>6033</v>
      </c>
      <c r="E1222" s="4" t="s">
        <v>6034</v>
      </c>
    </row>
    <row r="1223" spans="1:5">
      <c r="A1223" s="4" t="s">
        <v>6113</v>
      </c>
      <c r="B1223" s="4" t="s">
        <v>6124</v>
      </c>
      <c r="C1223" s="4" t="s">
        <v>6118</v>
      </c>
      <c r="D1223" s="4" t="s">
        <v>6033</v>
      </c>
      <c r="E1223" s="4" t="s">
        <v>6034</v>
      </c>
    </row>
    <row r="1224" spans="1:5">
      <c r="A1224" s="4" t="s">
        <v>6113</v>
      </c>
      <c r="B1224" s="4" t="s">
        <v>6124</v>
      </c>
      <c r="C1224" s="4" t="s">
        <v>6120</v>
      </c>
      <c r="D1224" s="4" t="s">
        <v>6039</v>
      </c>
      <c r="E1224" s="4" t="s">
        <v>6040</v>
      </c>
    </row>
    <row r="1225" spans="1:5">
      <c r="A1225" s="4" t="s">
        <v>6113</v>
      </c>
      <c r="B1225" s="4" t="s">
        <v>6124</v>
      </c>
      <c r="C1225" s="4" t="s">
        <v>6121</v>
      </c>
      <c r="D1225" s="4" t="s">
        <v>6039</v>
      </c>
      <c r="E1225" s="4" t="s">
        <v>6040</v>
      </c>
    </row>
    <row r="1226" spans="1:5">
      <c r="A1226" s="4" t="s">
        <v>6113</v>
      </c>
      <c r="B1226" s="4" t="s">
        <v>6124</v>
      </c>
      <c r="C1226" s="4" t="s">
        <v>6122</v>
      </c>
      <c r="D1226" s="4" t="s">
        <v>6039</v>
      </c>
      <c r="E1226" s="4" t="s">
        <v>6040</v>
      </c>
    </row>
    <row r="1227" spans="1:5">
      <c r="A1227" s="4" t="s">
        <v>6113</v>
      </c>
      <c r="B1227" s="4" t="s">
        <v>6124</v>
      </c>
      <c r="C1227" s="4" t="s">
        <v>6123</v>
      </c>
      <c r="D1227" s="4" t="s">
        <v>6033</v>
      </c>
      <c r="E1227" s="4" t="s">
        <v>6034</v>
      </c>
    </row>
    <row r="1228" spans="1:5">
      <c r="A1228" s="4" t="s">
        <v>6113</v>
      </c>
      <c r="B1228" s="4" t="s">
        <v>6125</v>
      </c>
      <c r="C1228" s="4" t="s">
        <v>6115</v>
      </c>
      <c r="D1228" s="4" t="s">
        <v>6033</v>
      </c>
      <c r="E1228" s="4" t="s">
        <v>6034</v>
      </c>
    </row>
    <row r="1229" spans="1:5">
      <c r="A1229" s="4" t="s">
        <v>6113</v>
      </c>
      <c r="B1229" s="4" t="s">
        <v>6125</v>
      </c>
      <c r="C1229" s="4" t="s">
        <v>6114</v>
      </c>
      <c r="D1229" s="4" t="s">
        <v>6033</v>
      </c>
      <c r="E1229" s="4" t="s">
        <v>6034</v>
      </c>
    </row>
    <row r="1230" spans="1:5">
      <c r="A1230" s="4" t="s">
        <v>6113</v>
      </c>
      <c r="B1230" s="4" t="s">
        <v>6125</v>
      </c>
      <c r="C1230" s="4" t="s">
        <v>6116</v>
      </c>
      <c r="D1230" s="4" t="s">
        <v>6033</v>
      </c>
      <c r="E1230" s="4" t="s">
        <v>6034</v>
      </c>
    </row>
    <row r="1231" spans="1:5">
      <c r="A1231" s="4" t="s">
        <v>6113</v>
      </c>
      <c r="B1231" s="4" t="s">
        <v>6125</v>
      </c>
      <c r="C1231" s="4" t="s">
        <v>6117</v>
      </c>
      <c r="D1231" s="4" t="s">
        <v>6033</v>
      </c>
      <c r="E1231" s="4" t="s">
        <v>6034</v>
      </c>
    </row>
    <row r="1232" spans="1:5">
      <c r="A1232" s="4" t="s">
        <v>6113</v>
      </c>
      <c r="B1232" s="4" t="s">
        <v>6125</v>
      </c>
      <c r="C1232" s="4" t="s">
        <v>6118</v>
      </c>
      <c r="D1232" s="4" t="s">
        <v>6033</v>
      </c>
      <c r="E1232" s="4" t="s">
        <v>6034</v>
      </c>
    </row>
    <row r="1233" spans="1:5">
      <c r="A1233" s="4" t="s">
        <v>6113</v>
      </c>
      <c r="B1233" s="4" t="s">
        <v>6125</v>
      </c>
      <c r="C1233" s="4" t="s">
        <v>6119</v>
      </c>
      <c r="D1233" s="4" t="s">
        <v>6033</v>
      </c>
      <c r="E1233" s="4" t="s">
        <v>6034</v>
      </c>
    </row>
    <row r="1234" spans="1:5">
      <c r="A1234" s="4" t="s">
        <v>6113</v>
      </c>
      <c r="B1234" s="4" t="s">
        <v>6125</v>
      </c>
      <c r="C1234" s="4" t="s">
        <v>6120</v>
      </c>
      <c r="D1234" s="4" t="s">
        <v>6033</v>
      </c>
      <c r="E1234" s="4" t="s">
        <v>6034</v>
      </c>
    </row>
    <row r="1235" spans="1:5">
      <c r="A1235" s="4" t="s">
        <v>6113</v>
      </c>
      <c r="B1235" s="4" t="s">
        <v>6125</v>
      </c>
      <c r="C1235" s="4" t="s">
        <v>6121</v>
      </c>
      <c r="D1235" s="4" t="s">
        <v>6033</v>
      </c>
      <c r="E1235" s="4" t="s">
        <v>6034</v>
      </c>
    </row>
    <row r="1236" spans="1:5">
      <c r="A1236" s="4" t="s">
        <v>6113</v>
      </c>
      <c r="B1236" s="4" t="s">
        <v>6125</v>
      </c>
      <c r="C1236" s="4" t="s">
        <v>6122</v>
      </c>
      <c r="D1236" s="4" t="s">
        <v>6039</v>
      </c>
      <c r="E1236" s="4" t="s">
        <v>6040</v>
      </c>
    </row>
    <row r="1237" spans="1:5">
      <c r="A1237" s="4" t="s">
        <v>6113</v>
      </c>
      <c r="B1237" s="4" t="s">
        <v>6125</v>
      </c>
      <c r="C1237" s="4" t="s">
        <v>6123</v>
      </c>
      <c r="D1237" s="4" t="s">
        <v>6033</v>
      </c>
      <c r="E1237" s="4" t="s">
        <v>6034</v>
      </c>
    </row>
    <row r="1238" spans="1:5">
      <c r="A1238" s="4" t="s">
        <v>6113</v>
      </c>
      <c r="B1238" s="4" t="s">
        <v>6125</v>
      </c>
      <c r="C1238" s="4" t="s">
        <v>6124</v>
      </c>
      <c r="D1238" s="4" t="s">
        <v>6033</v>
      </c>
      <c r="E1238" s="4" t="s">
        <v>6034</v>
      </c>
    </row>
    <row r="1239" spans="1:5">
      <c r="A1239" s="4" t="s">
        <v>6113</v>
      </c>
      <c r="B1239" s="4" t="s">
        <v>6126</v>
      </c>
      <c r="C1239" s="4" t="s">
        <v>6115</v>
      </c>
      <c r="D1239" s="4" t="s">
        <v>6033</v>
      </c>
      <c r="E1239" s="4" t="s">
        <v>6034</v>
      </c>
    </row>
    <row r="1240" spans="1:5">
      <c r="A1240" s="4" t="s">
        <v>6113</v>
      </c>
      <c r="B1240" s="4" t="s">
        <v>6126</v>
      </c>
      <c r="C1240" s="4" t="s">
        <v>6114</v>
      </c>
      <c r="D1240" s="4" t="s">
        <v>6033</v>
      </c>
      <c r="E1240" s="4" t="s">
        <v>6034</v>
      </c>
    </row>
    <row r="1241" spans="1:5">
      <c r="A1241" s="4" t="s">
        <v>6113</v>
      </c>
      <c r="B1241" s="4" t="s">
        <v>6126</v>
      </c>
      <c r="C1241" s="4" t="s">
        <v>6116</v>
      </c>
      <c r="D1241" s="4" t="s">
        <v>6033</v>
      </c>
      <c r="E1241" s="4" t="s">
        <v>6034</v>
      </c>
    </row>
    <row r="1242" spans="1:5">
      <c r="A1242" s="4" t="s">
        <v>6113</v>
      </c>
      <c r="B1242" s="4" t="s">
        <v>6126</v>
      </c>
      <c r="C1242" s="4" t="s">
        <v>6117</v>
      </c>
      <c r="D1242" s="4" t="s">
        <v>6033</v>
      </c>
      <c r="E1242" s="4" t="s">
        <v>6034</v>
      </c>
    </row>
    <row r="1243" spans="1:5">
      <c r="A1243" s="4" t="s">
        <v>6113</v>
      </c>
      <c r="B1243" s="4" t="s">
        <v>6126</v>
      </c>
      <c r="C1243" s="4" t="s">
        <v>6118</v>
      </c>
      <c r="D1243" s="4" t="s">
        <v>6033</v>
      </c>
      <c r="E1243" s="4" t="s">
        <v>6034</v>
      </c>
    </row>
    <row r="1244" spans="1:5">
      <c r="A1244" s="4" t="s">
        <v>6113</v>
      </c>
      <c r="B1244" s="4" t="s">
        <v>6126</v>
      </c>
      <c r="C1244" s="4" t="s">
        <v>6119</v>
      </c>
      <c r="D1244" s="4" t="s">
        <v>6033</v>
      </c>
      <c r="E1244" s="4" t="s">
        <v>6034</v>
      </c>
    </row>
    <row r="1245" spans="1:5">
      <c r="A1245" s="4" t="s">
        <v>6113</v>
      </c>
      <c r="B1245" s="4" t="s">
        <v>6126</v>
      </c>
      <c r="C1245" s="4" t="s">
        <v>6120</v>
      </c>
      <c r="D1245" s="4" t="s">
        <v>6033</v>
      </c>
      <c r="E1245" s="4" t="s">
        <v>6034</v>
      </c>
    </row>
    <row r="1246" spans="1:5">
      <c r="A1246" s="4" t="s">
        <v>6113</v>
      </c>
      <c r="B1246" s="4" t="s">
        <v>6126</v>
      </c>
      <c r="C1246" s="4" t="s">
        <v>6121</v>
      </c>
      <c r="D1246" s="4" t="s">
        <v>6033</v>
      </c>
      <c r="E1246" s="4" t="s">
        <v>6034</v>
      </c>
    </row>
    <row r="1247" spans="1:5">
      <c r="A1247" s="4" t="s">
        <v>6113</v>
      </c>
      <c r="B1247" s="4" t="s">
        <v>6126</v>
      </c>
      <c r="C1247" s="4" t="s">
        <v>6122</v>
      </c>
      <c r="D1247" s="4" t="s">
        <v>6033</v>
      </c>
      <c r="E1247" s="4" t="s">
        <v>6034</v>
      </c>
    </row>
    <row r="1248" spans="1:5">
      <c r="A1248" s="4" t="s">
        <v>6113</v>
      </c>
      <c r="B1248" s="4" t="s">
        <v>6126</v>
      </c>
      <c r="C1248" s="4" t="s">
        <v>6123</v>
      </c>
      <c r="D1248" s="4" t="s">
        <v>6033</v>
      </c>
      <c r="E1248" s="4" t="s">
        <v>6034</v>
      </c>
    </row>
    <row r="1249" spans="1:5">
      <c r="A1249" s="4" t="s">
        <v>6113</v>
      </c>
      <c r="B1249" s="4" t="s">
        <v>6126</v>
      </c>
      <c r="C1249" s="4" t="s">
        <v>6124</v>
      </c>
      <c r="D1249" s="4" t="s">
        <v>6033</v>
      </c>
      <c r="E1249" s="4" t="s">
        <v>6034</v>
      </c>
    </row>
    <row r="1250" spans="1:5">
      <c r="A1250" s="4" t="s">
        <v>6113</v>
      </c>
      <c r="B1250" s="4" t="s">
        <v>6126</v>
      </c>
      <c r="C1250" s="4" t="s">
        <v>6125</v>
      </c>
      <c r="D1250" s="4" t="s">
        <v>6033</v>
      </c>
      <c r="E1250" s="4" t="s">
        <v>6034</v>
      </c>
    </row>
    <row r="1251" spans="1:5">
      <c r="A1251" s="4" t="s">
        <v>6113</v>
      </c>
      <c r="B1251" s="4" t="s">
        <v>6127</v>
      </c>
      <c r="C1251" s="4" t="s">
        <v>6118</v>
      </c>
      <c r="D1251" s="4" t="s">
        <v>6033</v>
      </c>
      <c r="E1251" s="4" t="s">
        <v>6034</v>
      </c>
    </row>
    <row r="1252" spans="1:5">
      <c r="A1252" s="4" t="s">
        <v>6113</v>
      </c>
      <c r="B1252" s="4" t="s">
        <v>6127</v>
      </c>
      <c r="C1252" s="4" t="s">
        <v>6120</v>
      </c>
      <c r="D1252" s="4" t="s">
        <v>6033</v>
      </c>
      <c r="E1252" s="4" t="s">
        <v>6034</v>
      </c>
    </row>
    <row r="1253" spans="1:5">
      <c r="A1253" s="4" t="s">
        <v>6113</v>
      </c>
      <c r="B1253" s="4" t="s">
        <v>6127</v>
      </c>
      <c r="C1253" s="4" t="s">
        <v>6121</v>
      </c>
      <c r="D1253" s="4" t="s">
        <v>6033</v>
      </c>
      <c r="E1253" s="4" t="s">
        <v>6034</v>
      </c>
    </row>
    <row r="1254" spans="1:5">
      <c r="A1254" s="4" t="s">
        <v>6113</v>
      </c>
      <c r="B1254" s="4" t="s">
        <v>6127</v>
      </c>
      <c r="C1254" s="4" t="s">
        <v>6122</v>
      </c>
      <c r="D1254" s="4" t="s">
        <v>6033</v>
      </c>
      <c r="E1254" s="4" t="s">
        <v>6034</v>
      </c>
    </row>
    <row r="1255" spans="1:5">
      <c r="A1255" s="4" t="s">
        <v>6113</v>
      </c>
      <c r="B1255" s="4" t="s">
        <v>6127</v>
      </c>
      <c r="C1255" s="4" t="s">
        <v>6123</v>
      </c>
      <c r="D1255" s="4" t="s">
        <v>6033</v>
      </c>
      <c r="E1255" s="4" t="s">
        <v>6034</v>
      </c>
    </row>
    <row r="1256" spans="1:5">
      <c r="A1256" s="4" t="s">
        <v>6113</v>
      </c>
      <c r="B1256" s="4" t="s">
        <v>6127</v>
      </c>
      <c r="C1256" s="4" t="s">
        <v>6124</v>
      </c>
      <c r="D1256" s="4" t="s">
        <v>6033</v>
      </c>
      <c r="E1256" s="4" t="s">
        <v>6034</v>
      </c>
    </row>
    <row r="1257" spans="1:5">
      <c r="A1257" s="4" t="s">
        <v>6113</v>
      </c>
      <c r="B1257" s="4" t="s">
        <v>6127</v>
      </c>
      <c r="C1257" s="4" t="s">
        <v>6125</v>
      </c>
      <c r="D1257" s="4" t="s">
        <v>6033</v>
      </c>
      <c r="E1257" s="4" t="s">
        <v>6034</v>
      </c>
    </row>
    <row r="1258" spans="1:5">
      <c r="A1258" s="4" t="s">
        <v>6113</v>
      </c>
      <c r="B1258" s="4" t="s">
        <v>6127</v>
      </c>
      <c r="C1258" s="4" t="s">
        <v>6126</v>
      </c>
      <c r="D1258" s="4" t="s">
        <v>6033</v>
      </c>
      <c r="E1258" s="4" t="s">
        <v>6034</v>
      </c>
    </row>
    <row r="1259" spans="1:5">
      <c r="A1259" s="4" t="s">
        <v>6113</v>
      </c>
      <c r="B1259" s="4" t="s">
        <v>6128</v>
      </c>
      <c r="C1259" s="4" t="s">
        <v>6118</v>
      </c>
      <c r="D1259" s="4" t="s">
        <v>6033</v>
      </c>
      <c r="E1259" s="4" t="s">
        <v>6034</v>
      </c>
    </row>
    <row r="1260" spans="1:5">
      <c r="A1260" s="4" t="s">
        <v>6113</v>
      </c>
      <c r="B1260" s="4" t="s">
        <v>6128</v>
      </c>
      <c r="C1260" s="4" t="s">
        <v>6120</v>
      </c>
      <c r="D1260" s="4" t="s">
        <v>6033</v>
      </c>
      <c r="E1260" s="4" t="s">
        <v>6034</v>
      </c>
    </row>
    <row r="1261" spans="1:5">
      <c r="A1261" s="4" t="s">
        <v>6113</v>
      </c>
      <c r="B1261" s="4" t="s">
        <v>6128</v>
      </c>
      <c r="C1261" s="4" t="s">
        <v>6121</v>
      </c>
      <c r="D1261" s="4" t="s">
        <v>6033</v>
      </c>
      <c r="E1261" s="4" t="s">
        <v>6034</v>
      </c>
    </row>
    <row r="1262" spans="1:5">
      <c r="A1262" s="4" t="s">
        <v>6113</v>
      </c>
      <c r="B1262" s="4" t="s">
        <v>6128</v>
      </c>
      <c r="C1262" s="4" t="s">
        <v>6122</v>
      </c>
      <c r="D1262" s="4" t="s">
        <v>6033</v>
      </c>
      <c r="E1262" s="4" t="s">
        <v>6034</v>
      </c>
    </row>
    <row r="1263" spans="1:5">
      <c r="A1263" s="4" t="s">
        <v>6113</v>
      </c>
      <c r="B1263" s="4" t="s">
        <v>6128</v>
      </c>
      <c r="C1263" s="4" t="s">
        <v>6123</v>
      </c>
      <c r="D1263" s="4" t="s">
        <v>6033</v>
      </c>
      <c r="E1263" s="4" t="s">
        <v>6034</v>
      </c>
    </row>
    <row r="1264" spans="1:5">
      <c r="A1264" s="4" t="s">
        <v>6113</v>
      </c>
      <c r="B1264" s="4" t="s">
        <v>6128</v>
      </c>
      <c r="C1264" s="4" t="s">
        <v>6124</v>
      </c>
      <c r="D1264" s="4" t="s">
        <v>6033</v>
      </c>
      <c r="E1264" s="4" t="s">
        <v>6034</v>
      </c>
    </row>
    <row r="1265" spans="1:5">
      <c r="A1265" s="4" t="s">
        <v>6113</v>
      </c>
      <c r="B1265" s="4" t="s">
        <v>6128</v>
      </c>
      <c r="C1265" s="4" t="s">
        <v>6125</v>
      </c>
      <c r="D1265" s="4" t="s">
        <v>6033</v>
      </c>
      <c r="E1265" s="4" t="s">
        <v>6034</v>
      </c>
    </row>
    <row r="1266" spans="1:5">
      <c r="A1266" s="4" t="s">
        <v>6113</v>
      </c>
      <c r="B1266" s="4" t="s">
        <v>6128</v>
      </c>
      <c r="C1266" s="4" t="s">
        <v>6126</v>
      </c>
      <c r="D1266" s="4" t="s">
        <v>6033</v>
      </c>
      <c r="E1266" s="4" t="s">
        <v>6034</v>
      </c>
    </row>
    <row r="1267" spans="1:5">
      <c r="A1267" s="4" t="s">
        <v>6113</v>
      </c>
      <c r="B1267" s="4" t="s">
        <v>6128</v>
      </c>
      <c r="C1267" s="4" t="s">
        <v>6127</v>
      </c>
      <c r="D1267" s="4" t="s">
        <v>6033</v>
      </c>
      <c r="E1267" s="4" t="s">
        <v>6034</v>
      </c>
    </row>
    <row r="1268" spans="1:5">
      <c r="A1268" s="4" t="s">
        <v>6113</v>
      </c>
      <c r="B1268" s="4" t="s">
        <v>6129</v>
      </c>
      <c r="C1268" s="4" t="s">
        <v>6118</v>
      </c>
      <c r="D1268" s="4" t="s">
        <v>6033</v>
      </c>
      <c r="E1268" s="4" t="s">
        <v>6034</v>
      </c>
    </row>
    <row r="1269" spans="1:5">
      <c r="A1269" s="4" t="s">
        <v>6113</v>
      </c>
      <c r="B1269" s="4" t="s">
        <v>6129</v>
      </c>
      <c r="C1269" s="4" t="s">
        <v>6120</v>
      </c>
      <c r="D1269" s="4" t="s">
        <v>6033</v>
      </c>
      <c r="E1269" s="4" t="s">
        <v>6034</v>
      </c>
    </row>
    <row r="1270" spans="1:5">
      <c r="A1270" s="4" t="s">
        <v>6113</v>
      </c>
      <c r="B1270" s="4" t="s">
        <v>6129</v>
      </c>
      <c r="C1270" s="4" t="s">
        <v>6121</v>
      </c>
      <c r="D1270" s="4" t="s">
        <v>6033</v>
      </c>
      <c r="E1270" s="4" t="s">
        <v>6034</v>
      </c>
    </row>
    <row r="1271" spans="1:5">
      <c r="A1271" s="4" t="s">
        <v>6113</v>
      </c>
      <c r="B1271" s="4" t="s">
        <v>6129</v>
      </c>
      <c r="C1271" s="4" t="s">
        <v>6122</v>
      </c>
      <c r="D1271" s="4" t="s">
        <v>6033</v>
      </c>
      <c r="E1271" s="4" t="s">
        <v>6034</v>
      </c>
    </row>
    <row r="1272" spans="1:5">
      <c r="A1272" s="4" t="s">
        <v>6113</v>
      </c>
      <c r="B1272" s="4" t="s">
        <v>6129</v>
      </c>
      <c r="C1272" s="4" t="s">
        <v>6123</v>
      </c>
      <c r="D1272" s="4" t="s">
        <v>6033</v>
      </c>
      <c r="E1272" s="4" t="s">
        <v>6034</v>
      </c>
    </row>
    <row r="1273" spans="1:5">
      <c r="A1273" s="4" t="s">
        <v>6113</v>
      </c>
      <c r="B1273" s="4" t="s">
        <v>6129</v>
      </c>
      <c r="C1273" s="4" t="s">
        <v>6124</v>
      </c>
      <c r="D1273" s="4" t="s">
        <v>6033</v>
      </c>
      <c r="E1273" s="4" t="s">
        <v>6034</v>
      </c>
    </row>
    <row r="1274" spans="1:5">
      <c r="A1274" s="4" t="s">
        <v>6113</v>
      </c>
      <c r="B1274" s="4" t="s">
        <v>6129</v>
      </c>
      <c r="C1274" s="4" t="s">
        <v>6125</v>
      </c>
      <c r="D1274" s="4" t="s">
        <v>6033</v>
      </c>
      <c r="E1274" s="4" t="s">
        <v>6034</v>
      </c>
    </row>
    <row r="1275" spans="1:5">
      <c r="A1275" s="4" t="s">
        <v>6113</v>
      </c>
      <c r="B1275" s="4" t="s">
        <v>6129</v>
      </c>
      <c r="C1275" s="4" t="s">
        <v>6126</v>
      </c>
      <c r="D1275" s="4" t="s">
        <v>6033</v>
      </c>
      <c r="E1275" s="4" t="s">
        <v>6034</v>
      </c>
    </row>
    <row r="1276" spans="1:5">
      <c r="A1276" s="4" t="s">
        <v>6113</v>
      </c>
      <c r="B1276" s="4" t="s">
        <v>6129</v>
      </c>
      <c r="C1276" s="4" t="s">
        <v>6127</v>
      </c>
      <c r="D1276" s="4" t="s">
        <v>6033</v>
      </c>
      <c r="E1276" s="4" t="s">
        <v>6034</v>
      </c>
    </row>
    <row r="1277" spans="1:5">
      <c r="A1277" s="4" t="s">
        <v>6113</v>
      </c>
      <c r="B1277" s="4" t="s">
        <v>6129</v>
      </c>
      <c r="C1277" s="4" t="s">
        <v>6128</v>
      </c>
      <c r="D1277" s="4" t="s">
        <v>6033</v>
      </c>
      <c r="E1277" s="4" t="s">
        <v>6034</v>
      </c>
    </row>
    <row r="1278" spans="1:5">
      <c r="A1278" s="4" t="s">
        <v>6113</v>
      </c>
      <c r="B1278" s="4" t="s">
        <v>6130</v>
      </c>
      <c r="C1278" s="4" t="s">
        <v>6119</v>
      </c>
      <c r="D1278" s="4" t="s">
        <v>6033</v>
      </c>
      <c r="E1278" s="4" t="s">
        <v>6034</v>
      </c>
    </row>
    <row r="1279" spans="1:5">
      <c r="A1279" s="4" t="s">
        <v>6113</v>
      </c>
      <c r="B1279" s="4" t="s">
        <v>6130</v>
      </c>
      <c r="C1279" s="4" t="s">
        <v>6120</v>
      </c>
      <c r="D1279" s="4" t="s">
        <v>6033</v>
      </c>
      <c r="E1279" s="4" t="s">
        <v>6034</v>
      </c>
    </row>
    <row r="1280" spans="1:5">
      <c r="A1280" s="4" t="s">
        <v>6113</v>
      </c>
      <c r="B1280" s="4" t="s">
        <v>6130</v>
      </c>
      <c r="C1280" s="4" t="s">
        <v>6121</v>
      </c>
      <c r="D1280" s="4" t="s">
        <v>6033</v>
      </c>
      <c r="E1280" s="4" t="s">
        <v>6034</v>
      </c>
    </row>
    <row r="1281" spans="1:5">
      <c r="A1281" s="4" t="s">
        <v>6113</v>
      </c>
      <c r="B1281" s="4" t="s">
        <v>6130</v>
      </c>
      <c r="C1281" s="4" t="s">
        <v>6122</v>
      </c>
      <c r="D1281" s="4" t="s">
        <v>6033</v>
      </c>
      <c r="E1281" s="4" t="s">
        <v>6034</v>
      </c>
    </row>
    <row r="1282" spans="1:5">
      <c r="A1282" s="4" t="s">
        <v>6113</v>
      </c>
      <c r="B1282" s="4" t="s">
        <v>6130</v>
      </c>
      <c r="C1282" s="4" t="s">
        <v>6123</v>
      </c>
      <c r="D1282" s="4" t="s">
        <v>6033</v>
      </c>
      <c r="E1282" s="4" t="s">
        <v>6034</v>
      </c>
    </row>
    <row r="1283" spans="1:5">
      <c r="A1283" s="4" t="s">
        <v>6113</v>
      </c>
      <c r="B1283" s="4" t="s">
        <v>6130</v>
      </c>
      <c r="C1283" s="4" t="s">
        <v>6124</v>
      </c>
      <c r="D1283" s="4" t="s">
        <v>6033</v>
      </c>
      <c r="E1283" s="4" t="s">
        <v>6034</v>
      </c>
    </row>
    <row r="1284" spans="1:5">
      <c r="A1284" s="4" t="s">
        <v>6113</v>
      </c>
      <c r="B1284" s="4" t="s">
        <v>6130</v>
      </c>
      <c r="C1284" s="4" t="s">
        <v>6125</v>
      </c>
      <c r="D1284" s="4" t="s">
        <v>6033</v>
      </c>
      <c r="E1284" s="4" t="s">
        <v>6034</v>
      </c>
    </row>
    <row r="1285" spans="1:5">
      <c r="A1285" s="4" t="s">
        <v>6113</v>
      </c>
      <c r="B1285" s="4" t="s">
        <v>6130</v>
      </c>
      <c r="C1285" s="4" t="s">
        <v>6128</v>
      </c>
      <c r="D1285" s="4" t="s">
        <v>6033</v>
      </c>
      <c r="E1285" s="4" t="s">
        <v>6034</v>
      </c>
    </row>
    <row r="1286" spans="1:5">
      <c r="A1286" s="4" t="s">
        <v>6113</v>
      </c>
      <c r="B1286" s="4" t="s">
        <v>6130</v>
      </c>
      <c r="C1286" s="4" t="s">
        <v>6129</v>
      </c>
      <c r="D1286" s="4" t="s">
        <v>6033</v>
      </c>
      <c r="E1286" s="4" t="s">
        <v>6034</v>
      </c>
    </row>
    <row r="1287" spans="1:5">
      <c r="A1287" s="4" t="s">
        <v>6113</v>
      </c>
      <c r="B1287" s="4" t="s">
        <v>6131</v>
      </c>
      <c r="C1287" s="4" t="s">
        <v>6119</v>
      </c>
      <c r="D1287" s="4" t="s">
        <v>6033</v>
      </c>
      <c r="E1287" s="4" t="s">
        <v>6034</v>
      </c>
    </row>
    <row r="1288" spans="1:5">
      <c r="A1288" s="4" t="s">
        <v>6113</v>
      </c>
      <c r="B1288" s="4" t="s">
        <v>6131</v>
      </c>
      <c r="C1288" s="4" t="s">
        <v>6120</v>
      </c>
      <c r="D1288" s="4" t="s">
        <v>6033</v>
      </c>
      <c r="E1288" s="4" t="s">
        <v>6034</v>
      </c>
    </row>
    <row r="1289" spans="1:5">
      <c r="A1289" s="4" t="s">
        <v>6113</v>
      </c>
      <c r="B1289" s="4" t="s">
        <v>6131</v>
      </c>
      <c r="C1289" s="4" t="s">
        <v>6121</v>
      </c>
      <c r="D1289" s="4" t="s">
        <v>6033</v>
      </c>
      <c r="E1289" s="4" t="s">
        <v>6034</v>
      </c>
    </row>
    <row r="1290" spans="1:5">
      <c r="A1290" s="4" t="s">
        <v>6113</v>
      </c>
      <c r="B1290" s="4" t="s">
        <v>6131</v>
      </c>
      <c r="C1290" s="4" t="s">
        <v>6122</v>
      </c>
      <c r="D1290" s="4" t="s">
        <v>6033</v>
      </c>
      <c r="E1290" s="4" t="s">
        <v>6034</v>
      </c>
    </row>
    <row r="1291" spans="1:5">
      <c r="A1291" s="4" t="s">
        <v>6113</v>
      </c>
      <c r="B1291" s="4" t="s">
        <v>6131</v>
      </c>
      <c r="C1291" s="4" t="s">
        <v>6123</v>
      </c>
      <c r="D1291" s="4" t="s">
        <v>6033</v>
      </c>
      <c r="E1291" s="4" t="s">
        <v>6034</v>
      </c>
    </row>
    <row r="1292" spans="1:5">
      <c r="A1292" s="4" t="s">
        <v>6113</v>
      </c>
      <c r="B1292" s="4" t="s">
        <v>6131</v>
      </c>
      <c r="C1292" s="4" t="s">
        <v>6124</v>
      </c>
      <c r="D1292" s="4" t="s">
        <v>6033</v>
      </c>
      <c r="E1292" s="4" t="s">
        <v>6034</v>
      </c>
    </row>
    <row r="1293" spans="1:5">
      <c r="A1293" s="4" t="s">
        <v>6113</v>
      </c>
      <c r="B1293" s="4" t="s">
        <v>6131</v>
      </c>
      <c r="C1293" s="4" t="s">
        <v>6125</v>
      </c>
      <c r="D1293" s="4" t="s">
        <v>6033</v>
      </c>
      <c r="E1293" s="4" t="s">
        <v>6034</v>
      </c>
    </row>
    <row r="1294" spans="1:5">
      <c r="A1294" s="4" t="s">
        <v>6113</v>
      </c>
      <c r="B1294" s="4" t="s">
        <v>6131</v>
      </c>
      <c r="C1294" s="4" t="s">
        <v>6128</v>
      </c>
      <c r="D1294" s="4" t="s">
        <v>6033</v>
      </c>
      <c r="E1294" s="4" t="s">
        <v>6034</v>
      </c>
    </row>
    <row r="1295" spans="1:5">
      <c r="A1295" s="4" t="s">
        <v>6113</v>
      </c>
      <c r="B1295" s="4" t="s">
        <v>6131</v>
      </c>
      <c r="C1295" s="4" t="s">
        <v>6129</v>
      </c>
      <c r="D1295" s="4" t="s">
        <v>6033</v>
      </c>
      <c r="E1295" s="4" t="s">
        <v>6034</v>
      </c>
    </row>
    <row r="1296" spans="1:5">
      <c r="A1296" s="4" t="s">
        <v>6113</v>
      </c>
      <c r="B1296" s="4" t="s">
        <v>6131</v>
      </c>
      <c r="C1296" s="4" t="s">
        <v>6130</v>
      </c>
      <c r="D1296" s="4" t="s">
        <v>6033</v>
      </c>
      <c r="E1296" s="4" t="s">
        <v>6034</v>
      </c>
    </row>
    <row r="1297" spans="1:5">
      <c r="A1297" s="4" t="s">
        <v>6113</v>
      </c>
      <c r="B1297" s="4" t="s">
        <v>6132</v>
      </c>
      <c r="C1297" s="4" t="s">
        <v>6119</v>
      </c>
      <c r="D1297" s="4" t="s">
        <v>6033</v>
      </c>
      <c r="E1297" s="4" t="s">
        <v>6034</v>
      </c>
    </row>
    <row r="1298" spans="1:5">
      <c r="A1298" s="4" t="s">
        <v>6113</v>
      </c>
      <c r="B1298" s="4" t="s">
        <v>6132</v>
      </c>
      <c r="C1298" s="4" t="s">
        <v>6120</v>
      </c>
      <c r="D1298" s="4" t="s">
        <v>6033</v>
      </c>
      <c r="E1298" s="4" t="s">
        <v>6034</v>
      </c>
    </row>
    <row r="1299" spans="1:5">
      <c r="A1299" s="4" t="s">
        <v>6113</v>
      </c>
      <c r="B1299" s="4" t="s">
        <v>6132</v>
      </c>
      <c r="C1299" s="4" t="s">
        <v>6121</v>
      </c>
      <c r="D1299" s="4" t="s">
        <v>6033</v>
      </c>
      <c r="E1299" s="4" t="s">
        <v>6034</v>
      </c>
    </row>
    <row r="1300" spans="1:5">
      <c r="A1300" s="4" t="s">
        <v>6113</v>
      </c>
      <c r="B1300" s="4" t="s">
        <v>6132</v>
      </c>
      <c r="C1300" s="4" t="s">
        <v>6122</v>
      </c>
      <c r="D1300" s="4" t="s">
        <v>6033</v>
      </c>
      <c r="E1300" s="4" t="s">
        <v>6034</v>
      </c>
    </row>
    <row r="1301" spans="1:5">
      <c r="A1301" s="4" t="s">
        <v>6113</v>
      </c>
      <c r="B1301" s="4" t="s">
        <v>6132</v>
      </c>
      <c r="C1301" s="4" t="s">
        <v>6123</v>
      </c>
      <c r="D1301" s="4" t="s">
        <v>6033</v>
      </c>
      <c r="E1301" s="4" t="s">
        <v>6034</v>
      </c>
    </row>
    <row r="1302" spans="1:5">
      <c r="A1302" s="4" t="s">
        <v>6113</v>
      </c>
      <c r="B1302" s="4" t="s">
        <v>6132</v>
      </c>
      <c r="C1302" s="4" t="s">
        <v>6124</v>
      </c>
      <c r="D1302" s="4" t="s">
        <v>6033</v>
      </c>
      <c r="E1302" s="4" t="s">
        <v>6034</v>
      </c>
    </row>
    <row r="1303" spans="1:5">
      <c r="A1303" s="4" t="s">
        <v>6113</v>
      </c>
      <c r="B1303" s="4" t="s">
        <v>6132</v>
      </c>
      <c r="C1303" s="4" t="s">
        <v>6125</v>
      </c>
      <c r="D1303" s="4" t="s">
        <v>6033</v>
      </c>
      <c r="E1303" s="4" t="s">
        <v>6034</v>
      </c>
    </row>
    <row r="1304" spans="1:5">
      <c r="A1304" s="4" t="s">
        <v>6113</v>
      </c>
      <c r="B1304" s="4" t="s">
        <v>6132</v>
      </c>
      <c r="C1304" s="4" t="s">
        <v>6128</v>
      </c>
      <c r="D1304" s="4" t="s">
        <v>6033</v>
      </c>
      <c r="E1304" s="4" t="s">
        <v>6034</v>
      </c>
    </row>
    <row r="1305" spans="1:5">
      <c r="A1305" s="4" t="s">
        <v>6113</v>
      </c>
      <c r="B1305" s="4" t="s">
        <v>6132</v>
      </c>
      <c r="C1305" s="4" t="s">
        <v>6129</v>
      </c>
      <c r="D1305" s="4" t="s">
        <v>6033</v>
      </c>
      <c r="E1305" s="4" t="s">
        <v>6034</v>
      </c>
    </row>
    <row r="1306" spans="1:5">
      <c r="A1306" s="4" t="s">
        <v>6113</v>
      </c>
      <c r="B1306" s="4" t="s">
        <v>6132</v>
      </c>
      <c r="C1306" s="4" t="s">
        <v>6130</v>
      </c>
      <c r="D1306" s="4" t="s">
        <v>6033</v>
      </c>
      <c r="E1306" s="4" t="s">
        <v>6034</v>
      </c>
    </row>
    <row r="1307" spans="1:5">
      <c r="A1307" s="4" t="s">
        <v>6113</v>
      </c>
      <c r="B1307" s="4" t="s">
        <v>6132</v>
      </c>
      <c r="C1307" s="4" t="s">
        <v>6131</v>
      </c>
      <c r="D1307" s="4" t="s">
        <v>6033</v>
      </c>
      <c r="E1307" s="4" t="s">
        <v>6034</v>
      </c>
    </row>
    <row r="1308" spans="1:5">
      <c r="A1308" s="4" t="s">
        <v>6113</v>
      </c>
      <c r="B1308" s="4" t="s">
        <v>6133</v>
      </c>
      <c r="C1308" s="4" t="s">
        <v>6119</v>
      </c>
      <c r="D1308" s="4" t="s">
        <v>6033</v>
      </c>
      <c r="E1308" s="4" t="s">
        <v>6034</v>
      </c>
    </row>
    <row r="1309" spans="1:5">
      <c r="A1309" s="4" t="s">
        <v>6113</v>
      </c>
      <c r="B1309" s="4" t="s">
        <v>6133</v>
      </c>
      <c r="C1309" s="4" t="s">
        <v>6120</v>
      </c>
      <c r="D1309" s="4" t="s">
        <v>6033</v>
      </c>
      <c r="E1309" s="4" t="s">
        <v>6034</v>
      </c>
    </row>
    <row r="1310" spans="1:5">
      <c r="A1310" s="4" t="s">
        <v>6113</v>
      </c>
      <c r="B1310" s="4" t="s">
        <v>6133</v>
      </c>
      <c r="C1310" s="4" t="s">
        <v>6121</v>
      </c>
      <c r="D1310" s="4" t="s">
        <v>6033</v>
      </c>
      <c r="E1310" s="4" t="s">
        <v>6034</v>
      </c>
    </row>
    <row r="1311" spans="1:5">
      <c r="A1311" s="4" t="s">
        <v>6113</v>
      </c>
      <c r="B1311" s="4" t="s">
        <v>6133</v>
      </c>
      <c r="C1311" s="4" t="s">
        <v>6122</v>
      </c>
      <c r="D1311" s="4" t="s">
        <v>6033</v>
      </c>
      <c r="E1311" s="4" t="s">
        <v>6034</v>
      </c>
    </row>
    <row r="1312" spans="1:5">
      <c r="A1312" s="4" t="s">
        <v>6113</v>
      </c>
      <c r="B1312" s="4" t="s">
        <v>6133</v>
      </c>
      <c r="C1312" s="4" t="s">
        <v>6123</v>
      </c>
      <c r="D1312" s="4" t="s">
        <v>6033</v>
      </c>
      <c r="E1312" s="4" t="s">
        <v>6034</v>
      </c>
    </row>
    <row r="1313" spans="1:5">
      <c r="A1313" s="4" t="s">
        <v>6113</v>
      </c>
      <c r="B1313" s="4" t="s">
        <v>6133</v>
      </c>
      <c r="C1313" s="4" t="s">
        <v>6124</v>
      </c>
      <c r="D1313" s="4" t="s">
        <v>6033</v>
      </c>
      <c r="E1313" s="4" t="s">
        <v>6034</v>
      </c>
    </row>
    <row r="1314" spans="1:5">
      <c r="A1314" s="4" t="s">
        <v>6113</v>
      </c>
      <c r="B1314" s="4" t="s">
        <v>6133</v>
      </c>
      <c r="C1314" s="4" t="s">
        <v>6125</v>
      </c>
      <c r="D1314" s="4" t="s">
        <v>6033</v>
      </c>
      <c r="E1314" s="4" t="s">
        <v>6034</v>
      </c>
    </row>
    <row r="1315" spans="1:5">
      <c r="A1315" s="4" t="s">
        <v>6113</v>
      </c>
      <c r="B1315" s="4" t="s">
        <v>6133</v>
      </c>
      <c r="C1315" s="4" t="s">
        <v>6128</v>
      </c>
      <c r="D1315" s="4" t="s">
        <v>6033</v>
      </c>
      <c r="E1315" s="4" t="s">
        <v>6034</v>
      </c>
    </row>
    <row r="1316" spans="1:5">
      <c r="A1316" s="4" t="s">
        <v>6113</v>
      </c>
      <c r="B1316" s="4" t="s">
        <v>6133</v>
      </c>
      <c r="C1316" s="4" t="s">
        <v>6129</v>
      </c>
      <c r="D1316" s="4" t="s">
        <v>6033</v>
      </c>
      <c r="E1316" s="4" t="s">
        <v>6034</v>
      </c>
    </row>
    <row r="1317" spans="1:5">
      <c r="A1317" s="4" t="s">
        <v>6113</v>
      </c>
      <c r="B1317" s="4" t="s">
        <v>6133</v>
      </c>
      <c r="C1317" s="4" t="s">
        <v>6130</v>
      </c>
      <c r="D1317" s="4" t="s">
        <v>6033</v>
      </c>
      <c r="E1317" s="4" t="s">
        <v>6034</v>
      </c>
    </row>
    <row r="1318" spans="1:5">
      <c r="A1318" s="4" t="s">
        <v>6113</v>
      </c>
      <c r="B1318" s="4" t="s">
        <v>6133</v>
      </c>
      <c r="C1318" s="4" t="s">
        <v>6131</v>
      </c>
      <c r="D1318" s="4" t="s">
        <v>6033</v>
      </c>
      <c r="E1318" s="4" t="s">
        <v>6034</v>
      </c>
    </row>
    <row r="1319" spans="1:5">
      <c r="A1319" s="4" t="s">
        <v>6113</v>
      </c>
      <c r="B1319" s="4" t="s">
        <v>6133</v>
      </c>
      <c r="C1319" s="4" t="s">
        <v>6132</v>
      </c>
      <c r="D1319" s="4" t="s">
        <v>6033</v>
      </c>
      <c r="E1319" s="4" t="s">
        <v>6034</v>
      </c>
    </row>
    <row r="1320" spans="1:5">
      <c r="A1320" s="4" t="s">
        <v>6113</v>
      </c>
      <c r="B1320" s="4" t="s">
        <v>6134</v>
      </c>
      <c r="C1320" s="4" t="s">
        <v>6123</v>
      </c>
      <c r="D1320" s="4" t="s">
        <v>6033</v>
      </c>
      <c r="E1320" s="4" t="s">
        <v>6034</v>
      </c>
    </row>
    <row r="1321" spans="1:5">
      <c r="A1321" s="4" t="s">
        <v>6113</v>
      </c>
      <c r="B1321" s="4" t="s">
        <v>6134</v>
      </c>
      <c r="C1321" s="4" t="s">
        <v>6124</v>
      </c>
      <c r="D1321" s="4" t="s">
        <v>6033</v>
      </c>
      <c r="E1321" s="4" t="s">
        <v>6034</v>
      </c>
    </row>
    <row r="1322" spans="1:5">
      <c r="A1322" s="4" t="s">
        <v>6113</v>
      </c>
      <c r="B1322" s="4" t="s">
        <v>6134</v>
      </c>
      <c r="C1322" s="4" t="s">
        <v>6125</v>
      </c>
      <c r="D1322" s="4" t="s">
        <v>6033</v>
      </c>
      <c r="E1322" s="4" t="s">
        <v>6034</v>
      </c>
    </row>
    <row r="1323" spans="1:5">
      <c r="A1323" s="4" t="s">
        <v>6113</v>
      </c>
      <c r="B1323" s="4" t="s">
        <v>6134</v>
      </c>
      <c r="C1323" s="4" t="s">
        <v>6128</v>
      </c>
      <c r="D1323" s="4" t="s">
        <v>6033</v>
      </c>
      <c r="E1323" s="4" t="s">
        <v>6034</v>
      </c>
    </row>
    <row r="1324" spans="1:5">
      <c r="A1324" s="4" t="s">
        <v>6113</v>
      </c>
      <c r="B1324" s="4" t="s">
        <v>6134</v>
      </c>
      <c r="C1324" s="4" t="s">
        <v>6129</v>
      </c>
      <c r="D1324" s="4" t="s">
        <v>6033</v>
      </c>
      <c r="E1324" s="4" t="s">
        <v>6034</v>
      </c>
    </row>
    <row r="1325" spans="1:5">
      <c r="A1325" s="4" t="s">
        <v>6113</v>
      </c>
      <c r="B1325" s="4" t="s">
        <v>6134</v>
      </c>
      <c r="C1325" s="4" t="s">
        <v>6130</v>
      </c>
      <c r="D1325" s="4" t="s">
        <v>6033</v>
      </c>
      <c r="E1325" s="4" t="s">
        <v>6034</v>
      </c>
    </row>
    <row r="1326" spans="1:5">
      <c r="A1326" s="4" t="s">
        <v>6113</v>
      </c>
      <c r="B1326" s="4" t="s">
        <v>6134</v>
      </c>
      <c r="C1326" s="4" t="s">
        <v>6131</v>
      </c>
      <c r="D1326" s="4" t="s">
        <v>6033</v>
      </c>
      <c r="E1326" s="4" t="s">
        <v>6034</v>
      </c>
    </row>
    <row r="1327" spans="1:5">
      <c r="A1327" s="4" t="s">
        <v>6113</v>
      </c>
      <c r="B1327" s="4" t="s">
        <v>6134</v>
      </c>
      <c r="C1327" s="4" t="s">
        <v>6132</v>
      </c>
      <c r="D1327" s="4" t="s">
        <v>6033</v>
      </c>
      <c r="E1327" s="4" t="s">
        <v>6034</v>
      </c>
    </row>
    <row r="1328" spans="1:5">
      <c r="A1328" s="4" t="s">
        <v>6113</v>
      </c>
      <c r="B1328" s="4" t="s">
        <v>6134</v>
      </c>
      <c r="C1328" s="4" t="s">
        <v>6133</v>
      </c>
      <c r="D1328" s="4" t="s">
        <v>6033</v>
      </c>
      <c r="E1328" s="4" t="s">
        <v>6034</v>
      </c>
    </row>
    <row r="1329" spans="1:5">
      <c r="A1329" s="4" t="s">
        <v>6113</v>
      </c>
      <c r="B1329" s="4" t="s">
        <v>6135</v>
      </c>
      <c r="C1329" s="4" t="s">
        <v>6128</v>
      </c>
      <c r="D1329" s="4" t="s">
        <v>6033</v>
      </c>
      <c r="E1329" s="4" t="s">
        <v>6034</v>
      </c>
    </row>
    <row r="1330" spans="1:5">
      <c r="A1330" s="4" t="s">
        <v>6113</v>
      </c>
      <c r="B1330" s="4" t="s">
        <v>6135</v>
      </c>
      <c r="C1330" s="4" t="s">
        <v>6129</v>
      </c>
      <c r="D1330" s="4" t="s">
        <v>6033</v>
      </c>
      <c r="E1330" s="4" t="s">
        <v>6034</v>
      </c>
    </row>
    <row r="1331" spans="1:5">
      <c r="A1331" s="4" t="s">
        <v>6113</v>
      </c>
      <c r="B1331" s="4" t="s">
        <v>6135</v>
      </c>
      <c r="C1331" s="4" t="s">
        <v>6130</v>
      </c>
      <c r="D1331" s="4" t="s">
        <v>6033</v>
      </c>
      <c r="E1331" s="4" t="s">
        <v>6034</v>
      </c>
    </row>
    <row r="1332" spans="1:5">
      <c r="A1332" s="4" t="s">
        <v>6113</v>
      </c>
      <c r="B1332" s="4" t="s">
        <v>6135</v>
      </c>
      <c r="C1332" s="4" t="s">
        <v>6131</v>
      </c>
      <c r="D1332" s="4" t="s">
        <v>6033</v>
      </c>
      <c r="E1332" s="4" t="s">
        <v>6034</v>
      </c>
    </row>
    <row r="1333" spans="1:5">
      <c r="A1333" s="4" t="s">
        <v>6113</v>
      </c>
      <c r="B1333" s="4" t="s">
        <v>6135</v>
      </c>
      <c r="C1333" s="4" t="s">
        <v>6132</v>
      </c>
      <c r="D1333" s="4" t="s">
        <v>6033</v>
      </c>
      <c r="E1333" s="4" t="s">
        <v>6034</v>
      </c>
    </row>
    <row r="1334" spans="1:5">
      <c r="A1334" s="4" t="s">
        <v>6113</v>
      </c>
      <c r="B1334" s="4" t="s">
        <v>6135</v>
      </c>
      <c r="C1334" s="4" t="s">
        <v>6133</v>
      </c>
      <c r="D1334" s="4" t="s">
        <v>6033</v>
      </c>
      <c r="E1334" s="4" t="s">
        <v>6034</v>
      </c>
    </row>
    <row r="1335" spans="1:5">
      <c r="A1335" s="4" t="s">
        <v>6113</v>
      </c>
      <c r="B1335" s="4" t="s">
        <v>6135</v>
      </c>
      <c r="C1335" s="4" t="s">
        <v>6134</v>
      </c>
      <c r="D1335" s="4" t="s">
        <v>6033</v>
      </c>
      <c r="E1335" s="4" t="s">
        <v>6034</v>
      </c>
    </row>
    <row r="1336" spans="1:5">
      <c r="A1336" s="4" t="s">
        <v>6113</v>
      </c>
      <c r="B1336" s="4" t="s">
        <v>6136</v>
      </c>
      <c r="C1336" s="4" t="s">
        <v>6128</v>
      </c>
      <c r="D1336" s="4" t="s">
        <v>6033</v>
      </c>
      <c r="E1336" s="4" t="s">
        <v>6034</v>
      </c>
    </row>
    <row r="1337" spans="1:5">
      <c r="A1337" s="4" t="s">
        <v>6113</v>
      </c>
      <c r="B1337" s="4" t="s">
        <v>6136</v>
      </c>
      <c r="C1337" s="4" t="s">
        <v>6129</v>
      </c>
      <c r="D1337" s="4" t="s">
        <v>6033</v>
      </c>
      <c r="E1337" s="4" t="s">
        <v>6034</v>
      </c>
    </row>
    <row r="1338" spans="1:5">
      <c r="A1338" s="4" t="s">
        <v>6113</v>
      </c>
      <c r="B1338" s="4" t="s">
        <v>6136</v>
      </c>
      <c r="C1338" s="4" t="s">
        <v>6130</v>
      </c>
      <c r="D1338" s="4" t="s">
        <v>6033</v>
      </c>
      <c r="E1338" s="4" t="s">
        <v>6034</v>
      </c>
    </row>
    <row r="1339" spans="1:5">
      <c r="A1339" s="4" t="s">
        <v>6113</v>
      </c>
      <c r="B1339" s="4" t="s">
        <v>6136</v>
      </c>
      <c r="C1339" s="4" t="s">
        <v>6131</v>
      </c>
      <c r="D1339" s="4" t="s">
        <v>6033</v>
      </c>
      <c r="E1339" s="4" t="s">
        <v>6034</v>
      </c>
    </row>
    <row r="1340" spans="1:5">
      <c r="A1340" s="4" t="s">
        <v>6113</v>
      </c>
      <c r="B1340" s="4" t="s">
        <v>6136</v>
      </c>
      <c r="C1340" s="4" t="s">
        <v>6132</v>
      </c>
      <c r="D1340" s="4" t="s">
        <v>6033</v>
      </c>
      <c r="E1340" s="4" t="s">
        <v>6034</v>
      </c>
    </row>
    <row r="1341" spans="1:5">
      <c r="A1341" s="4" t="s">
        <v>6113</v>
      </c>
      <c r="B1341" s="4" t="s">
        <v>6136</v>
      </c>
      <c r="C1341" s="4" t="s">
        <v>6133</v>
      </c>
      <c r="D1341" s="4" t="s">
        <v>6033</v>
      </c>
      <c r="E1341" s="4" t="s">
        <v>6034</v>
      </c>
    </row>
    <row r="1342" spans="1:5">
      <c r="A1342" s="4" t="s">
        <v>6113</v>
      </c>
      <c r="B1342" s="4" t="s">
        <v>6136</v>
      </c>
      <c r="C1342" s="4" t="s">
        <v>6134</v>
      </c>
      <c r="D1342" s="4" t="s">
        <v>6033</v>
      </c>
      <c r="E1342" s="4" t="s">
        <v>6034</v>
      </c>
    </row>
    <row r="1343" spans="1:5">
      <c r="A1343" s="4" t="s">
        <v>6113</v>
      </c>
      <c r="B1343" s="4" t="s">
        <v>6136</v>
      </c>
      <c r="C1343" s="4" t="s">
        <v>6135</v>
      </c>
      <c r="D1343" s="4" t="s">
        <v>6033</v>
      </c>
      <c r="E1343" s="4" t="s">
        <v>6034</v>
      </c>
    </row>
    <row r="1344" spans="1:5">
      <c r="A1344" s="4" t="s">
        <v>6113</v>
      </c>
      <c r="B1344" s="4" t="s">
        <v>6137</v>
      </c>
      <c r="C1344" s="4" t="s">
        <v>6128</v>
      </c>
      <c r="D1344" s="4" t="s">
        <v>6033</v>
      </c>
      <c r="E1344" s="4" t="s">
        <v>6034</v>
      </c>
    </row>
    <row r="1345" spans="1:5">
      <c r="A1345" s="4" t="s">
        <v>6113</v>
      </c>
      <c r="B1345" s="4" t="s">
        <v>6137</v>
      </c>
      <c r="C1345" s="4" t="s">
        <v>6129</v>
      </c>
      <c r="D1345" s="4" t="s">
        <v>6033</v>
      </c>
      <c r="E1345" s="4" t="s">
        <v>6034</v>
      </c>
    </row>
    <row r="1346" spans="1:5">
      <c r="A1346" s="4" t="s">
        <v>6113</v>
      </c>
      <c r="B1346" s="4" t="s">
        <v>6137</v>
      </c>
      <c r="C1346" s="4" t="s">
        <v>6130</v>
      </c>
      <c r="D1346" s="4" t="s">
        <v>6033</v>
      </c>
      <c r="E1346" s="4" t="s">
        <v>6034</v>
      </c>
    </row>
    <row r="1347" spans="1:5">
      <c r="A1347" s="4" t="s">
        <v>6113</v>
      </c>
      <c r="B1347" s="4" t="s">
        <v>6137</v>
      </c>
      <c r="C1347" s="4" t="s">
        <v>6132</v>
      </c>
      <c r="D1347" s="4" t="s">
        <v>6033</v>
      </c>
      <c r="E1347" s="4" t="s">
        <v>6034</v>
      </c>
    </row>
    <row r="1348" spans="1:5">
      <c r="A1348" s="4" t="s">
        <v>6113</v>
      </c>
      <c r="B1348" s="4" t="s">
        <v>6137</v>
      </c>
      <c r="C1348" s="4" t="s">
        <v>6133</v>
      </c>
      <c r="D1348" s="4" t="s">
        <v>6033</v>
      </c>
      <c r="E1348" s="4" t="s">
        <v>6034</v>
      </c>
    </row>
    <row r="1349" spans="1:5">
      <c r="A1349" s="4" t="s">
        <v>6113</v>
      </c>
      <c r="B1349" s="4" t="s">
        <v>6137</v>
      </c>
      <c r="C1349" s="4" t="s">
        <v>6134</v>
      </c>
      <c r="D1349" s="4" t="s">
        <v>6033</v>
      </c>
      <c r="E1349" s="4" t="s">
        <v>6034</v>
      </c>
    </row>
    <row r="1350" spans="1:5">
      <c r="A1350" s="4" t="s">
        <v>6113</v>
      </c>
      <c r="B1350" s="4" t="s">
        <v>6137</v>
      </c>
      <c r="C1350" s="4" t="s">
        <v>6135</v>
      </c>
      <c r="D1350" s="4" t="s">
        <v>6033</v>
      </c>
      <c r="E1350" s="4" t="s">
        <v>6034</v>
      </c>
    </row>
    <row r="1351" spans="1:5">
      <c r="A1351" s="4" t="s">
        <v>6113</v>
      </c>
      <c r="B1351" s="4" t="s">
        <v>6137</v>
      </c>
      <c r="C1351" s="4" t="s">
        <v>6136</v>
      </c>
      <c r="D1351" s="4" t="s">
        <v>6033</v>
      </c>
      <c r="E1351" s="4" t="s">
        <v>6034</v>
      </c>
    </row>
    <row r="1352" spans="1:5">
      <c r="A1352" s="4" t="s">
        <v>6113</v>
      </c>
      <c r="B1352" s="4" t="s">
        <v>6138</v>
      </c>
      <c r="C1352" s="4" t="s">
        <v>6128</v>
      </c>
      <c r="D1352" s="4" t="s">
        <v>6033</v>
      </c>
      <c r="E1352" s="4" t="s">
        <v>6034</v>
      </c>
    </row>
    <row r="1353" spans="1:5">
      <c r="A1353" s="4" t="s">
        <v>6113</v>
      </c>
      <c r="B1353" s="4" t="s">
        <v>6138</v>
      </c>
      <c r="C1353" s="4" t="s">
        <v>6129</v>
      </c>
      <c r="D1353" s="4" t="s">
        <v>6033</v>
      </c>
      <c r="E1353" s="4" t="s">
        <v>6034</v>
      </c>
    </row>
    <row r="1354" spans="1:5">
      <c r="A1354" s="4" t="s">
        <v>6113</v>
      </c>
      <c r="B1354" s="4" t="s">
        <v>6138</v>
      </c>
      <c r="C1354" s="4" t="s">
        <v>6130</v>
      </c>
      <c r="D1354" s="4" t="s">
        <v>6033</v>
      </c>
      <c r="E1354" s="4" t="s">
        <v>6034</v>
      </c>
    </row>
    <row r="1355" spans="1:5">
      <c r="A1355" s="4" t="s">
        <v>6113</v>
      </c>
      <c r="B1355" s="4" t="s">
        <v>6138</v>
      </c>
      <c r="C1355" s="4" t="s">
        <v>6132</v>
      </c>
      <c r="D1355" s="4" t="s">
        <v>6033</v>
      </c>
      <c r="E1355" s="4" t="s">
        <v>6034</v>
      </c>
    </row>
    <row r="1356" spans="1:5">
      <c r="A1356" s="4" t="s">
        <v>6113</v>
      </c>
      <c r="B1356" s="4" t="s">
        <v>6138</v>
      </c>
      <c r="C1356" s="4" t="s">
        <v>6133</v>
      </c>
      <c r="D1356" s="4" t="s">
        <v>6033</v>
      </c>
      <c r="E1356" s="4" t="s">
        <v>6034</v>
      </c>
    </row>
    <row r="1357" spans="1:5">
      <c r="A1357" s="4" t="s">
        <v>6113</v>
      </c>
      <c r="B1357" s="4" t="s">
        <v>6138</v>
      </c>
      <c r="C1357" s="4" t="s">
        <v>6134</v>
      </c>
      <c r="D1357" s="4" t="s">
        <v>6033</v>
      </c>
      <c r="E1357" s="4" t="s">
        <v>6034</v>
      </c>
    </row>
    <row r="1358" spans="1:5">
      <c r="A1358" s="4" t="s">
        <v>6113</v>
      </c>
      <c r="B1358" s="4" t="s">
        <v>6138</v>
      </c>
      <c r="C1358" s="4" t="s">
        <v>6135</v>
      </c>
      <c r="D1358" s="4" t="s">
        <v>6033</v>
      </c>
      <c r="E1358" s="4" t="s">
        <v>6034</v>
      </c>
    </row>
    <row r="1359" spans="1:5">
      <c r="A1359" s="4" t="s">
        <v>6113</v>
      </c>
      <c r="B1359" s="4" t="s">
        <v>6138</v>
      </c>
      <c r="C1359" s="4" t="s">
        <v>6136</v>
      </c>
      <c r="D1359" s="4" t="s">
        <v>6033</v>
      </c>
      <c r="E1359" s="4" t="s">
        <v>6034</v>
      </c>
    </row>
    <row r="1360" spans="1:5">
      <c r="A1360" s="4" t="s">
        <v>6113</v>
      </c>
      <c r="B1360" s="4" t="s">
        <v>6139</v>
      </c>
      <c r="C1360" s="4" t="s">
        <v>6128</v>
      </c>
      <c r="D1360" s="4" t="s">
        <v>6033</v>
      </c>
      <c r="E1360" s="4" t="s">
        <v>6034</v>
      </c>
    </row>
    <row r="1361" spans="1:5">
      <c r="A1361" s="4" t="s">
        <v>6113</v>
      </c>
      <c r="B1361" s="4" t="s">
        <v>6139</v>
      </c>
      <c r="C1361" s="4" t="s">
        <v>6129</v>
      </c>
      <c r="D1361" s="4" t="s">
        <v>6033</v>
      </c>
      <c r="E1361" s="4" t="s">
        <v>6034</v>
      </c>
    </row>
    <row r="1362" spans="1:5">
      <c r="A1362" s="4" t="s">
        <v>6113</v>
      </c>
      <c r="B1362" s="4" t="s">
        <v>6139</v>
      </c>
      <c r="C1362" s="4" t="s">
        <v>6130</v>
      </c>
      <c r="D1362" s="4" t="s">
        <v>6033</v>
      </c>
      <c r="E1362" s="4" t="s">
        <v>6034</v>
      </c>
    </row>
    <row r="1363" spans="1:5">
      <c r="A1363" s="4" t="s">
        <v>6113</v>
      </c>
      <c r="B1363" s="4" t="s">
        <v>6139</v>
      </c>
      <c r="C1363" s="4" t="s">
        <v>6132</v>
      </c>
      <c r="D1363" s="4" t="s">
        <v>6033</v>
      </c>
      <c r="E1363" s="4" t="s">
        <v>6034</v>
      </c>
    </row>
    <row r="1364" spans="1:5">
      <c r="A1364" s="4" t="s">
        <v>6113</v>
      </c>
      <c r="B1364" s="4" t="s">
        <v>6139</v>
      </c>
      <c r="C1364" s="4" t="s">
        <v>6133</v>
      </c>
      <c r="D1364" s="4" t="s">
        <v>6033</v>
      </c>
      <c r="E1364" s="4" t="s">
        <v>6034</v>
      </c>
    </row>
    <row r="1365" spans="1:5">
      <c r="A1365" s="4" t="s">
        <v>6113</v>
      </c>
      <c r="B1365" s="4" t="s">
        <v>6139</v>
      </c>
      <c r="C1365" s="4" t="s">
        <v>6134</v>
      </c>
      <c r="D1365" s="4" t="s">
        <v>6033</v>
      </c>
      <c r="E1365" s="4" t="s">
        <v>6034</v>
      </c>
    </row>
    <row r="1366" spans="1:5">
      <c r="A1366" s="4" t="s">
        <v>6113</v>
      </c>
      <c r="B1366" s="4" t="s">
        <v>6139</v>
      </c>
      <c r="C1366" s="4" t="s">
        <v>6135</v>
      </c>
      <c r="D1366" s="4" t="s">
        <v>6033</v>
      </c>
      <c r="E1366" s="4" t="s">
        <v>6034</v>
      </c>
    </row>
    <row r="1367" spans="1:5">
      <c r="A1367" s="4" t="s">
        <v>6113</v>
      </c>
      <c r="B1367" s="4" t="s">
        <v>6139</v>
      </c>
      <c r="C1367" s="4" t="s">
        <v>6136</v>
      </c>
      <c r="D1367" s="4" t="s">
        <v>6033</v>
      </c>
      <c r="E1367" s="4" t="s">
        <v>6034</v>
      </c>
    </row>
    <row r="1368" spans="1:5">
      <c r="A1368" s="4" t="s">
        <v>6113</v>
      </c>
      <c r="B1368" s="4" t="s">
        <v>6140</v>
      </c>
      <c r="C1368" s="4" t="s">
        <v>6132</v>
      </c>
      <c r="D1368" s="4" t="s">
        <v>6033</v>
      </c>
      <c r="E1368" s="4" t="s">
        <v>6034</v>
      </c>
    </row>
    <row r="1369" spans="1:5">
      <c r="A1369" s="4" t="s">
        <v>6113</v>
      </c>
      <c r="B1369" s="4" t="s">
        <v>6140</v>
      </c>
      <c r="C1369" s="4" t="s">
        <v>6133</v>
      </c>
      <c r="D1369" s="4" t="s">
        <v>6033</v>
      </c>
      <c r="E1369" s="4" t="s">
        <v>6034</v>
      </c>
    </row>
    <row r="1370" spans="1:5">
      <c r="A1370" s="4" t="s">
        <v>6113</v>
      </c>
      <c r="B1370" s="4" t="s">
        <v>6140</v>
      </c>
      <c r="C1370" s="4" t="s">
        <v>6134</v>
      </c>
      <c r="D1370" s="4" t="s">
        <v>6033</v>
      </c>
      <c r="E1370" s="4" t="s">
        <v>6034</v>
      </c>
    </row>
    <row r="1371" spans="1:5">
      <c r="A1371" s="4" t="s">
        <v>6113</v>
      </c>
      <c r="B1371" s="4" t="s">
        <v>6140</v>
      </c>
      <c r="C1371" s="4" t="s">
        <v>6135</v>
      </c>
      <c r="D1371" s="4" t="s">
        <v>6033</v>
      </c>
      <c r="E1371" s="4" t="s">
        <v>6034</v>
      </c>
    </row>
    <row r="1372" spans="1:5">
      <c r="A1372" s="4" t="s">
        <v>6113</v>
      </c>
      <c r="B1372" s="4" t="s">
        <v>6140</v>
      </c>
      <c r="C1372" s="4" t="s">
        <v>6136</v>
      </c>
      <c r="D1372" s="4" t="s">
        <v>6033</v>
      </c>
      <c r="E1372" s="4" t="s">
        <v>6034</v>
      </c>
    </row>
    <row r="1373" spans="1:5">
      <c r="A1373" s="4" t="s">
        <v>6113</v>
      </c>
      <c r="B1373" s="4" t="s">
        <v>6141</v>
      </c>
      <c r="C1373" s="4" t="s">
        <v>6132</v>
      </c>
      <c r="D1373" s="4" t="s">
        <v>6033</v>
      </c>
      <c r="E1373" s="4" t="s">
        <v>6034</v>
      </c>
    </row>
    <row r="1374" spans="1:5">
      <c r="A1374" s="4" t="s">
        <v>6113</v>
      </c>
      <c r="B1374" s="4" t="s">
        <v>6141</v>
      </c>
      <c r="C1374" s="4" t="s">
        <v>6133</v>
      </c>
      <c r="D1374" s="4" t="s">
        <v>6033</v>
      </c>
      <c r="E1374" s="4" t="s">
        <v>6034</v>
      </c>
    </row>
    <row r="1375" spans="1:5">
      <c r="A1375" s="4" t="s">
        <v>6113</v>
      </c>
      <c r="B1375" s="4" t="s">
        <v>6141</v>
      </c>
      <c r="C1375" s="4" t="s">
        <v>6134</v>
      </c>
      <c r="D1375" s="4" t="s">
        <v>6033</v>
      </c>
      <c r="E1375" s="4" t="s">
        <v>6034</v>
      </c>
    </row>
    <row r="1376" spans="1:5">
      <c r="A1376" s="4" t="s">
        <v>6113</v>
      </c>
      <c r="B1376" s="4" t="s">
        <v>6141</v>
      </c>
      <c r="C1376" s="4" t="s">
        <v>6135</v>
      </c>
      <c r="D1376" s="4" t="s">
        <v>6033</v>
      </c>
      <c r="E1376" s="4" t="s">
        <v>6034</v>
      </c>
    </row>
    <row r="1377" spans="1:5">
      <c r="A1377" s="4" t="s">
        <v>6113</v>
      </c>
      <c r="B1377" s="4" t="s">
        <v>6141</v>
      </c>
      <c r="C1377" s="4" t="s">
        <v>6136</v>
      </c>
      <c r="D1377" s="4" t="s">
        <v>6033</v>
      </c>
      <c r="E1377" s="4" t="s">
        <v>6034</v>
      </c>
    </row>
    <row r="1378" spans="1:5">
      <c r="A1378" s="4" t="s">
        <v>6113</v>
      </c>
      <c r="B1378" s="4" t="s">
        <v>6141</v>
      </c>
      <c r="C1378" s="4" t="s">
        <v>6139</v>
      </c>
      <c r="D1378" s="4" t="s">
        <v>6033</v>
      </c>
      <c r="E1378" s="4" t="s">
        <v>6034</v>
      </c>
    </row>
    <row r="1379" spans="1:5">
      <c r="A1379" s="4" t="s">
        <v>6113</v>
      </c>
      <c r="B1379" s="4" t="s">
        <v>6142</v>
      </c>
      <c r="C1379" s="4" t="s">
        <v>6132</v>
      </c>
      <c r="D1379" s="4" t="s">
        <v>6033</v>
      </c>
      <c r="E1379" s="4" t="s">
        <v>6034</v>
      </c>
    </row>
    <row r="1380" spans="1:5">
      <c r="A1380" s="4" t="s">
        <v>6113</v>
      </c>
      <c r="B1380" s="4" t="s">
        <v>6142</v>
      </c>
      <c r="C1380" s="4" t="s">
        <v>6133</v>
      </c>
      <c r="D1380" s="4" t="s">
        <v>6033</v>
      </c>
      <c r="E1380" s="4" t="s">
        <v>6034</v>
      </c>
    </row>
    <row r="1381" spans="1:5">
      <c r="A1381" s="4" t="s">
        <v>6113</v>
      </c>
      <c r="B1381" s="4" t="s">
        <v>6142</v>
      </c>
      <c r="C1381" s="4" t="s">
        <v>6134</v>
      </c>
      <c r="D1381" s="4" t="s">
        <v>6033</v>
      </c>
      <c r="E1381" s="4" t="s">
        <v>6034</v>
      </c>
    </row>
    <row r="1382" spans="1:5">
      <c r="A1382" s="4" t="s">
        <v>6113</v>
      </c>
      <c r="B1382" s="4" t="s">
        <v>6142</v>
      </c>
      <c r="C1382" s="4" t="s">
        <v>6135</v>
      </c>
      <c r="D1382" s="4" t="s">
        <v>6033</v>
      </c>
      <c r="E1382" s="4" t="s">
        <v>6034</v>
      </c>
    </row>
    <row r="1383" spans="1:5">
      <c r="A1383" s="4" t="s">
        <v>6113</v>
      </c>
      <c r="B1383" s="4" t="s">
        <v>6142</v>
      </c>
      <c r="C1383" s="4" t="s">
        <v>6136</v>
      </c>
      <c r="D1383" s="4" t="s">
        <v>6033</v>
      </c>
      <c r="E1383" s="4" t="s">
        <v>6034</v>
      </c>
    </row>
    <row r="1384" spans="1:5">
      <c r="A1384" s="4" t="s">
        <v>6113</v>
      </c>
      <c r="B1384" s="4" t="s">
        <v>6142</v>
      </c>
      <c r="C1384" s="4" t="s">
        <v>6139</v>
      </c>
      <c r="D1384" s="4" t="s">
        <v>6033</v>
      </c>
      <c r="E1384" s="4" t="s">
        <v>6034</v>
      </c>
    </row>
    <row r="1385" spans="1:5">
      <c r="A1385" s="4" t="s">
        <v>6113</v>
      </c>
      <c r="B1385" s="4" t="s">
        <v>6143</v>
      </c>
      <c r="C1385" s="4" t="s">
        <v>6135</v>
      </c>
      <c r="D1385" s="4" t="s">
        <v>6033</v>
      </c>
      <c r="E1385" s="4" t="s">
        <v>6034</v>
      </c>
    </row>
    <row r="1386" spans="1:5">
      <c r="A1386" s="4" t="s">
        <v>6113</v>
      </c>
      <c r="B1386" s="4" t="s">
        <v>6143</v>
      </c>
      <c r="C1386" s="4" t="s">
        <v>6136</v>
      </c>
      <c r="D1386" s="4" t="s">
        <v>6033</v>
      </c>
      <c r="E1386" s="4" t="s">
        <v>6034</v>
      </c>
    </row>
    <row r="1387" spans="1:5">
      <c r="A1387" s="4" t="s">
        <v>6113</v>
      </c>
      <c r="B1387" s="4" t="s">
        <v>6143</v>
      </c>
      <c r="C1387" s="4" t="s">
        <v>6139</v>
      </c>
      <c r="D1387" s="4" t="s">
        <v>6033</v>
      </c>
      <c r="E1387" s="4" t="s">
        <v>6034</v>
      </c>
    </row>
    <row r="1388" spans="1:5">
      <c r="A1388" s="4" t="s">
        <v>6113</v>
      </c>
      <c r="B1388" s="4" t="s">
        <v>6144</v>
      </c>
      <c r="C1388" s="4" t="s">
        <v>6139</v>
      </c>
      <c r="D1388" s="4" t="s">
        <v>6033</v>
      </c>
      <c r="E1388" s="4" t="s">
        <v>6034</v>
      </c>
    </row>
    <row r="1389" spans="1:5">
      <c r="A1389" s="4" t="s">
        <v>6113</v>
      </c>
      <c r="B1389" s="4" t="s">
        <v>6145</v>
      </c>
      <c r="C1389" s="4" t="s">
        <v>6139</v>
      </c>
      <c r="D1389" s="4" t="s">
        <v>6033</v>
      </c>
      <c r="E1389" s="4" t="s">
        <v>6034</v>
      </c>
    </row>
    <row r="1390" spans="1:5">
      <c r="A1390" s="4" t="s">
        <v>6146</v>
      </c>
      <c r="B1390" s="4" t="s">
        <v>6147</v>
      </c>
      <c r="C1390" s="4" t="s">
        <v>6148</v>
      </c>
      <c r="D1390" s="4" t="s">
        <v>6033</v>
      </c>
      <c r="E1390" s="4" t="s">
        <v>6034</v>
      </c>
    </row>
    <row r="1391" spans="1:5">
      <c r="A1391" s="4" t="s">
        <v>6146</v>
      </c>
      <c r="B1391" s="4" t="s">
        <v>6149</v>
      </c>
      <c r="C1391" s="4" t="s">
        <v>6148</v>
      </c>
      <c r="D1391" s="4" t="s">
        <v>6033</v>
      </c>
      <c r="E1391" s="4" t="s">
        <v>6034</v>
      </c>
    </row>
    <row r="1392" spans="1:5">
      <c r="A1392" s="4" t="s">
        <v>6146</v>
      </c>
      <c r="B1392" s="4" t="s">
        <v>6149</v>
      </c>
      <c r="C1392" s="4" t="s">
        <v>6147</v>
      </c>
      <c r="D1392" s="4" t="s">
        <v>6033</v>
      </c>
      <c r="E1392" s="4" t="s">
        <v>6034</v>
      </c>
    </row>
    <row r="1393" spans="1:5">
      <c r="A1393" s="4" t="s">
        <v>6146</v>
      </c>
      <c r="B1393" s="4" t="s">
        <v>6150</v>
      </c>
      <c r="C1393" s="4" t="s">
        <v>6148</v>
      </c>
      <c r="D1393" s="4" t="s">
        <v>6033</v>
      </c>
      <c r="E1393" s="4" t="s">
        <v>6034</v>
      </c>
    </row>
    <row r="1394" spans="1:5">
      <c r="A1394" s="4" t="s">
        <v>6146</v>
      </c>
      <c r="B1394" s="4" t="s">
        <v>6150</v>
      </c>
      <c r="C1394" s="4" t="s">
        <v>6147</v>
      </c>
      <c r="D1394" s="4" t="s">
        <v>6033</v>
      </c>
      <c r="E1394" s="4" t="s">
        <v>6034</v>
      </c>
    </row>
    <row r="1395" spans="1:5">
      <c r="A1395" s="4" t="s">
        <v>6146</v>
      </c>
      <c r="B1395" s="4" t="s">
        <v>6150</v>
      </c>
      <c r="C1395" s="4" t="s">
        <v>6149</v>
      </c>
      <c r="D1395" s="4" t="s">
        <v>6039</v>
      </c>
      <c r="E1395" s="4" t="s">
        <v>6040</v>
      </c>
    </row>
    <row r="1396" spans="1:5">
      <c r="A1396" s="4" t="s">
        <v>6146</v>
      </c>
      <c r="B1396" s="4" t="s">
        <v>6151</v>
      </c>
      <c r="C1396" s="4" t="s">
        <v>6148</v>
      </c>
      <c r="D1396" s="4" t="s">
        <v>6033</v>
      </c>
      <c r="E1396" s="4" t="s">
        <v>6034</v>
      </c>
    </row>
    <row r="1397" spans="1:5">
      <c r="A1397" s="4" t="s">
        <v>6146</v>
      </c>
      <c r="B1397" s="4" t="s">
        <v>6151</v>
      </c>
      <c r="C1397" s="4" t="s">
        <v>6147</v>
      </c>
      <c r="D1397" s="4" t="s">
        <v>6033</v>
      </c>
      <c r="E1397" s="4" t="s">
        <v>6034</v>
      </c>
    </row>
    <row r="1398" spans="1:5">
      <c r="A1398" s="4" t="s">
        <v>6146</v>
      </c>
      <c r="B1398" s="4" t="s">
        <v>6151</v>
      </c>
      <c r="C1398" s="4" t="s">
        <v>6149</v>
      </c>
      <c r="D1398" s="4" t="s">
        <v>6033</v>
      </c>
      <c r="E1398" s="4" t="s">
        <v>6034</v>
      </c>
    </row>
    <row r="1399" spans="1:5">
      <c r="A1399" s="4" t="s">
        <v>6146</v>
      </c>
      <c r="B1399" s="4" t="s">
        <v>6151</v>
      </c>
      <c r="C1399" s="4" t="s">
        <v>6150</v>
      </c>
      <c r="D1399" s="4" t="s">
        <v>6033</v>
      </c>
      <c r="E1399" s="4" t="s">
        <v>6034</v>
      </c>
    </row>
    <row r="1400" spans="1:5">
      <c r="A1400" s="4" t="s">
        <v>6146</v>
      </c>
      <c r="B1400" s="4" t="s">
        <v>6152</v>
      </c>
      <c r="C1400" s="4" t="s">
        <v>6148</v>
      </c>
      <c r="D1400" s="4" t="s">
        <v>6033</v>
      </c>
      <c r="E1400" s="4" t="s">
        <v>6034</v>
      </c>
    </row>
    <row r="1401" spans="1:5">
      <c r="A1401" s="4" t="s">
        <v>6146</v>
      </c>
      <c r="B1401" s="4" t="s">
        <v>6152</v>
      </c>
      <c r="C1401" s="4" t="s">
        <v>6147</v>
      </c>
      <c r="D1401" s="4" t="s">
        <v>6033</v>
      </c>
      <c r="E1401" s="4" t="s">
        <v>6034</v>
      </c>
    </row>
    <row r="1402" spans="1:5">
      <c r="A1402" s="4" t="s">
        <v>6146</v>
      </c>
      <c r="B1402" s="4" t="s">
        <v>6152</v>
      </c>
      <c r="C1402" s="4" t="s">
        <v>6149</v>
      </c>
      <c r="D1402" s="4" t="s">
        <v>6033</v>
      </c>
      <c r="E1402" s="4" t="s">
        <v>6034</v>
      </c>
    </row>
    <row r="1403" spans="1:5">
      <c r="A1403" s="4" t="s">
        <v>6146</v>
      </c>
      <c r="B1403" s="4" t="s">
        <v>6152</v>
      </c>
      <c r="C1403" s="4" t="s">
        <v>6150</v>
      </c>
      <c r="D1403" s="4" t="s">
        <v>6033</v>
      </c>
      <c r="E1403" s="4" t="s">
        <v>6034</v>
      </c>
    </row>
    <row r="1404" spans="1:5">
      <c r="A1404" s="4" t="s">
        <v>6146</v>
      </c>
      <c r="B1404" s="4" t="s">
        <v>6152</v>
      </c>
      <c r="C1404" s="4" t="s">
        <v>6151</v>
      </c>
      <c r="D1404" s="4" t="s">
        <v>6033</v>
      </c>
      <c r="E1404" s="4" t="s">
        <v>6034</v>
      </c>
    </row>
    <row r="1405" spans="1:5">
      <c r="A1405" s="4" t="s">
        <v>6146</v>
      </c>
      <c r="B1405" s="4" t="s">
        <v>6153</v>
      </c>
      <c r="C1405" s="4" t="s">
        <v>6148</v>
      </c>
      <c r="D1405" s="4" t="s">
        <v>6033</v>
      </c>
      <c r="E1405" s="4" t="s">
        <v>6034</v>
      </c>
    </row>
    <row r="1406" spans="1:5">
      <c r="A1406" s="4" t="s">
        <v>6146</v>
      </c>
      <c r="B1406" s="4" t="s">
        <v>6153</v>
      </c>
      <c r="C1406" s="4" t="s">
        <v>6147</v>
      </c>
      <c r="D1406" s="4" t="s">
        <v>6033</v>
      </c>
      <c r="E1406" s="4" t="s">
        <v>6034</v>
      </c>
    </row>
    <row r="1407" spans="1:5">
      <c r="A1407" s="4" t="s">
        <v>6146</v>
      </c>
      <c r="B1407" s="4" t="s">
        <v>6153</v>
      </c>
      <c r="C1407" s="4" t="s">
        <v>6149</v>
      </c>
      <c r="D1407" s="4" t="s">
        <v>6033</v>
      </c>
      <c r="E1407" s="4" t="s">
        <v>6034</v>
      </c>
    </row>
    <row r="1408" spans="1:5">
      <c r="A1408" s="4" t="s">
        <v>6146</v>
      </c>
      <c r="B1408" s="4" t="s">
        <v>6153</v>
      </c>
      <c r="C1408" s="4" t="s">
        <v>6150</v>
      </c>
      <c r="D1408" s="4" t="s">
        <v>6033</v>
      </c>
      <c r="E1408" s="4" t="s">
        <v>6034</v>
      </c>
    </row>
    <row r="1409" spans="1:5">
      <c r="A1409" s="4" t="s">
        <v>6146</v>
      </c>
      <c r="B1409" s="4" t="s">
        <v>6153</v>
      </c>
      <c r="C1409" s="4" t="s">
        <v>6151</v>
      </c>
      <c r="D1409" s="4" t="s">
        <v>6033</v>
      </c>
      <c r="E1409" s="4" t="s">
        <v>6034</v>
      </c>
    </row>
    <row r="1410" spans="1:5">
      <c r="A1410" s="4" t="s">
        <v>6146</v>
      </c>
      <c r="B1410" s="4" t="s">
        <v>6153</v>
      </c>
      <c r="C1410" s="4" t="s">
        <v>6152</v>
      </c>
      <c r="D1410" s="4" t="s">
        <v>6033</v>
      </c>
      <c r="E1410" s="4" t="s">
        <v>6034</v>
      </c>
    </row>
    <row r="1411" spans="1:5">
      <c r="A1411" s="4" t="s">
        <v>6146</v>
      </c>
      <c r="B1411" s="4" t="s">
        <v>6154</v>
      </c>
      <c r="C1411" s="4" t="s">
        <v>6148</v>
      </c>
      <c r="D1411" s="4" t="s">
        <v>6033</v>
      </c>
      <c r="E1411" s="4" t="s">
        <v>6034</v>
      </c>
    </row>
    <row r="1412" spans="1:5">
      <c r="A1412" s="4" t="s">
        <v>6146</v>
      </c>
      <c r="B1412" s="4" t="s">
        <v>6154</v>
      </c>
      <c r="C1412" s="4" t="s">
        <v>6147</v>
      </c>
      <c r="D1412" s="4" t="s">
        <v>6033</v>
      </c>
      <c r="E1412" s="4" t="s">
        <v>6034</v>
      </c>
    </row>
    <row r="1413" spans="1:5">
      <c r="A1413" s="4" t="s">
        <v>6146</v>
      </c>
      <c r="B1413" s="4" t="s">
        <v>6154</v>
      </c>
      <c r="C1413" s="4" t="s">
        <v>6149</v>
      </c>
      <c r="D1413" s="4" t="s">
        <v>6033</v>
      </c>
      <c r="E1413" s="4" t="s">
        <v>6034</v>
      </c>
    </row>
    <row r="1414" spans="1:5">
      <c r="A1414" s="4" t="s">
        <v>6146</v>
      </c>
      <c r="B1414" s="4" t="s">
        <v>6154</v>
      </c>
      <c r="C1414" s="4" t="s">
        <v>6150</v>
      </c>
      <c r="D1414" s="4" t="s">
        <v>6033</v>
      </c>
      <c r="E1414" s="4" t="s">
        <v>6034</v>
      </c>
    </row>
    <row r="1415" spans="1:5">
      <c r="A1415" s="4" t="s">
        <v>6146</v>
      </c>
      <c r="B1415" s="4" t="s">
        <v>6154</v>
      </c>
      <c r="C1415" s="4" t="s">
        <v>6151</v>
      </c>
      <c r="D1415" s="4" t="s">
        <v>6033</v>
      </c>
      <c r="E1415" s="4" t="s">
        <v>6034</v>
      </c>
    </row>
    <row r="1416" spans="1:5">
      <c r="A1416" s="4" t="s">
        <v>6146</v>
      </c>
      <c r="B1416" s="4" t="s">
        <v>6154</v>
      </c>
      <c r="C1416" s="4" t="s">
        <v>6152</v>
      </c>
      <c r="D1416" s="4" t="s">
        <v>6033</v>
      </c>
      <c r="E1416" s="4" t="s">
        <v>6034</v>
      </c>
    </row>
    <row r="1417" spans="1:5">
      <c r="A1417" s="4" t="s">
        <v>6146</v>
      </c>
      <c r="B1417" s="4" t="s">
        <v>6154</v>
      </c>
      <c r="C1417" s="4" t="s">
        <v>6153</v>
      </c>
      <c r="D1417" s="4" t="s">
        <v>6033</v>
      </c>
      <c r="E1417" s="4" t="s">
        <v>6034</v>
      </c>
    </row>
    <row r="1418" spans="1:5">
      <c r="A1418" s="4" t="s">
        <v>6146</v>
      </c>
      <c r="B1418" s="4" t="s">
        <v>6155</v>
      </c>
      <c r="C1418" s="4" t="s">
        <v>6148</v>
      </c>
      <c r="D1418" s="4" t="s">
        <v>6033</v>
      </c>
      <c r="E1418" s="4" t="s">
        <v>6034</v>
      </c>
    </row>
    <row r="1419" spans="1:5">
      <c r="A1419" s="4" t="s">
        <v>6146</v>
      </c>
      <c r="B1419" s="4" t="s">
        <v>6155</v>
      </c>
      <c r="C1419" s="4" t="s">
        <v>6147</v>
      </c>
      <c r="D1419" s="4" t="s">
        <v>6033</v>
      </c>
      <c r="E1419" s="4" t="s">
        <v>6034</v>
      </c>
    </row>
    <row r="1420" spans="1:5">
      <c r="A1420" s="4" t="s">
        <v>6146</v>
      </c>
      <c r="B1420" s="4" t="s">
        <v>6155</v>
      </c>
      <c r="C1420" s="4" t="s">
        <v>6149</v>
      </c>
      <c r="D1420" s="4" t="s">
        <v>6033</v>
      </c>
      <c r="E1420" s="4" t="s">
        <v>6034</v>
      </c>
    </row>
    <row r="1421" spans="1:5">
      <c r="A1421" s="4" t="s">
        <v>6146</v>
      </c>
      <c r="B1421" s="4" t="s">
        <v>6155</v>
      </c>
      <c r="C1421" s="4" t="s">
        <v>6150</v>
      </c>
      <c r="D1421" s="4" t="s">
        <v>6033</v>
      </c>
      <c r="E1421" s="4" t="s">
        <v>6034</v>
      </c>
    </row>
    <row r="1422" spans="1:5">
      <c r="A1422" s="4" t="s">
        <v>6146</v>
      </c>
      <c r="B1422" s="4" t="s">
        <v>6155</v>
      </c>
      <c r="C1422" s="4" t="s">
        <v>6151</v>
      </c>
      <c r="D1422" s="4" t="s">
        <v>6033</v>
      </c>
      <c r="E1422" s="4" t="s">
        <v>6034</v>
      </c>
    </row>
    <row r="1423" spans="1:5">
      <c r="A1423" s="4" t="s">
        <v>6146</v>
      </c>
      <c r="B1423" s="4" t="s">
        <v>6155</v>
      </c>
      <c r="C1423" s="4" t="s">
        <v>6152</v>
      </c>
      <c r="D1423" s="4" t="s">
        <v>6033</v>
      </c>
      <c r="E1423" s="4" t="s">
        <v>6034</v>
      </c>
    </row>
    <row r="1424" spans="1:5">
      <c r="A1424" s="4" t="s">
        <v>6146</v>
      </c>
      <c r="B1424" s="4" t="s">
        <v>6155</v>
      </c>
      <c r="C1424" s="4" t="s">
        <v>6153</v>
      </c>
      <c r="D1424" s="4" t="s">
        <v>6033</v>
      </c>
      <c r="E1424" s="4" t="s">
        <v>6034</v>
      </c>
    </row>
    <row r="1425" spans="1:5">
      <c r="A1425" s="4" t="s">
        <v>6146</v>
      </c>
      <c r="B1425" s="4" t="s">
        <v>6155</v>
      </c>
      <c r="C1425" s="4" t="s">
        <v>6154</v>
      </c>
      <c r="D1425" s="4" t="s">
        <v>6033</v>
      </c>
      <c r="E1425" s="4" t="s">
        <v>6034</v>
      </c>
    </row>
    <row r="1426" spans="1:5">
      <c r="A1426" s="4" t="s">
        <v>6146</v>
      </c>
      <c r="B1426" s="4" t="s">
        <v>6156</v>
      </c>
      <c r="C1426" s="4" t="s">
        <v>6148</v>
      </c>
      <c r="D1426" s="4" t="s">
        <v>6033</v>
      </c>
      <c r="E1426" s="4" t="s">
        <v>6034</v>
      </c>
    </row>
    <row r="1427" spans="1:5">
      <c r="A1427" s="4" t="s">
        <v>6146</v>
      </c>
      <c r="B1427" s="4" t="s">
        <v>6156</v>
      </c>
      <c r="C1427" s="4" t="s">
        <v>6147</v>
      </c>
      <c r="D1427" s="4" t="s">
        <v>6033</v>
      </c>
      <c r="E1427" s="4" t="s">
        <v>6034</v>
      </c>
    </row>
    <row r="1428" spans="1:5">
      <c r="A1428" s="4" t="s">
        <v>6146</v>
      </c>
      <c r="B1428" s="4" t="s">
        <v>6156</v>
      </c>
      <c r="C1428" s="4" t="s">
        <v>6149</v>
      </c>
      <c r="D1428" s="4" t="s">
        <v>6033</v>
      </c>
      <c r="E1428" s="4" t="s">
        <v>6034</v>
      </c>
    </row>
    <row r="1429" spans="1:5">
      <c r="A1429" s="4" t="s">
        <v>6146</v>
      </c>
      <c r="B1429" s="4" t="s">
        <v>6156</v>
      </c>
      <c r="C1429" s="4" t="s">
        <v>6150</v>
      </c>
      <c r="D1429" s="4" t="s">
        <v>6033</v>
      </c>
      <c r="E1429" s="4" t="s">
        <v>6034</v>
      </c>
    </row>
    <row r="1430" spans="1:5">
      <c r="A1430" s="4" t="s">
        <v>6146</v>
      </c>
      <c r="B1430" s="4" t="s">
        <v>6156</v>
      </c>
      <c r="C1430" s="4" t="s">
        <v>6151</v>
      </c>
      <c r="D1430" s="4" t="s">
        <v>6033</v>
      </c>
      <c r="E1430" s="4" t="s">
        <v>6034</v>
      </c>
    </row>
    <row r="1431" spans="1:5">
      <c r="A1431" s="4" t="s">
        <v>6146</v>
      </c>
      <c r="B1431" s="4" t="s">
        <v>6156</v>
      </c>
      <c r="C1431" s="4" t="s">
        <v>6152</v>
      </c>
      <c r="D1431" s="4" t="s">
        <v>6033</v>
      </c>
      <c r="E1431" s="4" t="s">
        <v>6034</v>
      </c>
    </row>
    <row r="1432" spans="1:5">
      <c r="A1432" s="4" t="s">
        <v>6146</v>
      </c>
      <c r="B1432" s="4" t="s">
        <v>6156</v>
      </c>
      <c r="C1432" s="4" t="s">
        <v>6153</v>
      </c>
      <c r="D1432" s="4" t="s">
        <v>6033</v>
      </c>
      <c r="E1432" s="4" t="s">
        <v>6034</v>
      </c>
    </row>
    <row r="1433" spans="1:5">
      <c r="A1433" s="4" t="s">
        <v>6146</v>
      </c>
      <c r="B1433" s="4" t="s">
        <v>6156</v>
      </c>
      <c r="C1433" s="4" t="s">
        <v>6154</v>
      </c>
      <c r="D1433" s="4" t="s">
        <v>6033</v>
      </c>
      <c r="E1433" s="4" t="s">
        <v>6034</v>
      </c>
    </row>
    <row r="1434" spans="1:5">
      <c r="A1434" s="4" t="s">
        <v>6146</v>
      </c>
      <c r="B1434" s="4" t="s">
        <v>6156</v>
      </c>
      <c r="C1434" s="4" t="s">
        <v>6155</v>
      </c>
      <c r="D1434" s="4" t="s">
        <v>6033</v>
      </c>
      <c r="E1434" s="4" t="s">
        <v>6034</v>
      </c>
    </row>
    <row r="1435" spans="1:5">
      <c r="A1435" s="4" t="s">
        <v>6146</v>
      </c>
      <c r="B1435" s="4" t="s">
        <v>6157</v>
      </c>
      <c r="C1435" s="4" t="s">
        <v>6148</v>
      </c>
      <c r="D1435" s="4" t="s">
        <v>6033</v>
      </c>
      <c r="E1435" s="4" t="s">
        <v>6034</v>
      </c>
    </row>
    <row r="1436" spans="1:5">
      <c r="A1436" s="4" t="s">
        <v>6146</v>
      </c>
      <c r="B1436" s="4" t="s">
        <v>6157</v>
      </c>
      <c r="C1436" s="4" t="s">
        <v>6147</v>
      </c>
      <c r="D1436" s="4" t="s">
        <v>6033</v>
      </c>
      <c r="E1436" s="4" t="s">
        <v>6034</v>
      </c>
    </row>
    <row r="1437" spans="1:5">
      <c r="A1437" s="4" t="s">
        <v>6146</v>
      </c>
      <c r="B1437" s="4" t="s">
        <v>6157</v>
      </c>
      <c r="C1437" s="4" t="s">
        <v>6149</v>
      </c>
      <c r="D1437" s="4" t="s">
        <v>6033</v>
      </c>
      <c r="E1437" s="4" t="s">
        <v>6034</v>
      </c>
    </row>
    <row r="1438" spans="1:5">
      <c r="A1438" s="4" t="s">
        <v>6146</v>
      </c>
      <c r="B1438" s="4" t="s">
        <v>6157</v>
      </c>
      <c r="C1438" s="4" t="s">
        <v>6150</v>
      </c>
      <c r="D1438" s="4" t="s">
        <v>6033</v>
      </c>
      <c r="E1438" s="4" t="s">
        <v>6034</v>
      </c>
    </row>
    <row r="1439" spans="1:5">
      <c r="A1439" s="4" t="s">
        <v>6146</v>
      </c>
      <c r="B1439" s="4" t="s">
        <v>6157</v>
      </c>
      <c r="C1439" s="4" t="s">
        <v>6151</v>
      </c>
      <c r="D1439" s="4" t="s">
        <v>6033</v>
      </c>
      <c r="E1439" s="4" t="s">
        <v>6034</v>
      </c>
    </row>
    <row r="1440" spans="1:5">
      <c r="A1440" s="4" t="s">
        <v>6146</v>
      </c>
      <c r="B1440" s="4" t="s">
        <v>6157</v>
      </c>
      <c r="C1440" s="4" t="s">
        <v>6152</v>
      </c>
      <c r="D1440" s="4" t="s">
        <v>6033</v>
      </c>
      <c r="E1440" s="4" t="s">
        <v>6034</v>
      </c>
    </row>
    <row r="1441" spans="1:5">
      <c r="A1441" s="4" t="s">
        <v>6146</v>
      </c>
      <c r="B1441" s="4" t="s">
        <v>6157</v>
      </c>
      <c r="C1441" s="4" t="s">
        <v>6153</v>
      </c>
      <c r="D1441" s="4" t="s">
        <v>6033</v>
      </c>
      <c r="E1441" s="4" t="s">
        <v>6034</v>
      </c>
    </row>
    <row r="1442" spans="1:5">
      <c r="A1442" s="4" t="s">
        <v>6146</v>
      </c>
      <c r="B1442" s="4" t="s">
        <v>6157</v>
      </c>
      <c r="C1442" s="4" t="s">
        <v>6154</v>
      </c>
      <c r="D1442" s="4" t="s">
        <v>6033</v>
      </c>
      <c r="E1442" s="4" t="s">
        <v>6034</v>
      </c>
    </row>
    <row r="1443" spans="1:5">
      <c r="A1443" s="4" t="s">
        <v>6146</v>
      </c>
      <c r="B1443" s="4" t="s">
        <v>6157</v>
      </c>
      <c r="C1443" s="4" t="s">
        <v>6155</v>
      </c>
      <c r="D1443" s="4" t="s">
        <v>6033</v>
      </c>
      <c r="E1443" s="4" t="s">
        <v>6034</v>
      </c>
    </row>
    <row r="1444" spans="1:5">
      <c r="A1444" s="4" t="s">
        <v>6146</v>
      </c>
      <c r="B1444" s="4" t="s">
        <v>6157</v>
      </c>
      <c r="C1444" s="4" t="s">
        <v>6156</v>
      </c>
      <c r="D1444" s="4" t="s">
        <v>6033</v>
      </c>
      <c r="E1444" s="4" t="s">
        <v>6034</v>
      </c>
    </row>
    <row r="1445" spans="1:5">
      <c r="A1445" s="4" t="s">
        <v>6146</v>
      </c>
      <c r="B1445" s="4" t="s">
        <v>6158</v>
      </c>
      <c r="C1445" s="4" t="s">
        <v>6148</v>
      </c>
      <c r="D1445" s="4" t="s">
        <v>6033</v>
      </c>
      <c r="E1445" s="4" t="s">
        <v>6034</v>
      </c>
    </row>
    <row r="1446" spans="1:5">
      <c r="A1446" s="4" t="s">
        <v>6146</v>
      </c>
      <c r="B1446" s="4" t="s">
        <v>6158</v>
      </c>
      <c r="C1446" s="4" t="s">
        <v>6147</v>
      </c>
      <c r="D1446" s="4" t="s">
        <v>6033</v>
      </c>
      <c r="E1446" s="4" t="s">
        <v>6034</v>
      </c>
    </row>
    <row r="1447" spans="1:5">
      <c r="A1447" s="4" t="s">
        <v>6146</v>
      </c>
      <c r="B1447" s="4" t="s">
        <v>6158</v>
      </c>
      <c r="C1447" s="4" t="s">
        <v>6149</v>
      </c>
      <c r="D1447" s="4" t="s">
        <v>6033</v>
      </c>
      <c r="E1447" s="4" t="s">
        <v>6034</v>
      </c>
    </row>
    <row r="1448" spans="1:5">
      <c r="A1448" s="4" t="s">
        <v>6146</v>
      </c>
      <c r="B1448" s="4" t="s">
        <v>6158</v>
      </c>
      <c r="C1448" s="4" t="s">
        <v>6150</v>
      </c>
      <c r="D1448" s="4" t="s">
        <v>6033</v>
      </c>
      <c r="E1448" s="4" t="s">
        <v>6034</v>
      </c>
    </row>
    <row r="1449" spans="1:5">
      <c r="A1449" s="4" t="s">
        <v>6146</v>
      </c>
      <c r="B1449" s="4" t="s">
        <v>6158</v>
      </c>
      <c r="C1449" s="4" t="s">
        <v>6151</v>
      </c>
      <c r="D1449" s="4" t="s">
        <v>6033</v>
      </c>
      <c r="E1449" s="4" t="s">
        <v>6034</v>
      </c>
    </row>
    <row r="1450" spans="1:5">
      <c r="A1450" s="4" t="s">
        <v>6146</v>
      </c>
      <c r="B1450" s="4" t="s">
        <v>6158</v>
      </c>
      <c r="C1450" s="4" t="s">
        <v>6152</v>
      </c>
      <c r="D1450" s="4" t="s">
        <v>6033</v>
      </c>
      <c r="E1450" s="4" t="s">
        <v>6034</v>
      </c>
    </row>
    <row r="1451" spans="1:5">
      <c r="A1451" s="4" t="s">
        <v>6146</v>
      </c>
      <c r="B1451" s="4" t="s">
        <v>6158</v>
      </c>
      <c r="C1451" s="4" t="s">
        <v>6153</v>
      </c>
      <c r="D1451" s="4" t="s">
        <v>6033</v>
      </c>
      <c r="E1451" s="4" t="s">
        <v>6034</v>
      </c>
    </row>
    <row r="1452" spans="1:5">
      <c r="A1452" s="4" t="s">
        <v>6146</v>
      </c>
      <c r="B1452" s="4" t="s">
        <v>6158</v>
      </c>
      <c r="C1452" s="4" t="s">
        <v>6154</v>
      </c>
      <c r="D1452" s="4" t="s">
        <v>6033</v>
      </c>
      <c r="E1452" s="4" t="s">
        <v>6034</v>
      </c>
    </row>
    <row r="1453" spans="1:5">
      <c r="A1453" s="4" t="s">
        <v>6146</v>
      </c>
      <c r="B1453" s="4" t="s">
        <v>6158</v>
      </c>
      <c r="C1453" s="4" t="s">
        <v>6155</v>
      </c>
      <c r="D1453" s="4" t="s">
        <v>6033</v>
      </c>
      <c r="E1453" s="4" t="s">
        <v>6034</v>
      </c>
    </row>
    <row r="1454" spans="1:5">
      <c r="A1454" s="4" t="s">
        <v>6146</v>
      </c>
      <c r="B1454" s="4" t="s">
        <v>6158</v>
      </c>
      <c r="C1454" s="4" t="s">
        <v>6156</v>
      </c>
      <c r="D1454" s="4" t="s">
        <v>6033</v>
      </c>
      <c r="E1454" s="4" t="s">
        <v>6034</v>
      </c>
    </row>
    <row r="1455" spans="1:5">
      <c r="A1455" s="4" t="s">
        <v>6146</v>
      </c>
      <c r="B1455" s="4" t="s">
        <v>6158</v>
      </c>
      <c r="C1455" s="4" t="s">
        <v>6157</v>
      </c>
      <c r="D1455" s="4" t="s">
        <v>6033</v>
      </c>
      <c r="E1455" s="4" t="s">
        <v>6034</v>
      </c>
    </row>
    <row r="1456" spans="1:5">
      <c r="A1456" s="4" t="s">
        <v>6146</v>
      </c>
      <c r="B1456" s="4" t="s">
        <v>6159</v>
      </c>
      <c r="C1456" s="4" t="s">
        <v>6148</v>
      </c>
      <c r="D1456" s="4" t="s">
        <v>6033</v>
      </c>
      <c r="E1456" s="4" t="s">
        <v>6034</v>
      </c>
    </row>
    <row r="1457" spans="1:5">
      <c r="A1457" s="4" t="s">
        <v>6146</v>
      </c>
      <c r="B1457" s="4" t="s">
        <v>6159</v>
      </c>
      <c r="C1457" s="4" t="s">
        <v>6147</v>
      </c>
      <c r="D1457" s="4" t="s">
        <v>6033</v>
      </c>
      <c r="E1457" s="4" t="s">
        <v>6034</v>
      </c>
    </row>
    <row r="1458" spans="1:5">
      <c r="A1458" s="4" t="s">
        <v>6146</v>
      </c>
      <c r="B1458" s="4" t="s">
        <v>6159</v>
      </c>
      <c r="C1458" s="4" t="s">
        <v>6149</v>
      </c>
      <c r="D1458" s="4" t="s">
        <v>6033</v>
      </c>
      <c r="E1458" s="4" t="s">
        <v>6034</v>
      </c>
    </row>
    <row r="1459" spans="1:5">
      <c r="A1459" s="4" t="s">
        <v>6146</v>
      </c>
      <c r="B1459" s="4" t="s">
        <v>6159</v>
      </c>
      <c r="C1459" s="4" t="s">
        <v>6150</v>
      </c>
      <c r="D1459" s="4" t="s">
        <v>6033</v>
      </c>
      <c r="E1459" s="4" t="s">
        <v>6034</v>
      </c>
    </row>
    <row r="1460" spans="1:5">
      <c r="A1460" s="4" t="s">
        <v>6146</v>
      </c>
      <c r="B1460" s="4" t="s">
        <v>6159</v>
      </c>
      <c r="C1460" s="4" t="s">
        <v>6151</v>
      </c>
      <c r="D1460" s="4" t="s">
        <v>6033</v>
      </c>
      <c r="E1460" s="4" t="s">
        <v>6034</v>
      </c>
    </row>
    <row r="1461" spans="1:5">
      <c r="A1461" s="4" t="s">
        <v>6146</v>
      </c>
      <c r="B1461" s="4" t="s">
        <v>6159</v>
      </c>
      <c r="C1461" s="4" t="s">
        <v>6152</v>
      </c>
      <c r="D1461" s="4" t="s">
        <v>6033</v>
      </c>
      <c r="E1461" s="4" t="s">
        <v>6034</v>
      </c>
    </row>
    <row r="1462" spans="1:5">
      <c r="A1462" s="4" t="s">
        <v>6146</v>
      </c>
      <c r="B1462" s="4" t="s">
        <v>6159</v>
      </c>
      <c r="C1462" s="4" t="s">
        <v>6153</v>
      </c>
      <c r="D1462" s="4" t="s">
        <v>6033</v>
      </c>
      <c r="E1462" s="4" t="s">
        <v>6034</v>
      </c>
    </row>
    <row r="1463" spans="1:5">
      <c r="A1463" s="4" t="s">
        <v>6146</v>
      </c>
      <c r="B1463" s="4" t="s">
        <v>6159</v>
      </c>
      <c r="C1463" s="4" t="s">
        <v>6154</v>
      </c>
      <c r="D1463" s="4" t="s">
        <v>6033</v>
      </c>
      <c r="E1463" s="4" t="s">
        <v>6034</v>
      </c>
    </row>
    <row r="1464" spans="1:5">
      <c r="A1464" s="4" t="s">
        <v>6146</v>
      </c>
      <c r="B1464" s="4" t="s">
        <v>6159</v>
      </c>
      <c r="C1464" s="4" t="s">
        <v>6155</v>
      </c>
      <c r="D1464" s="4" t="s">
        <v>6033</v>
      </c>
      <c r="E1464" s="4" t="s">
        <v>6034</v>
      </c>
    </row>
    <row r="1465" spans="1:5">
      <c r="A1465" s="4" t="s">
        <v>6146</v>
      </c>
      <c r="B1465" s="4" t="s">
        <v>6159</v>
      </c>
      <c r="C1465" s="4" t="s">
        <v>6156</v>
      </c>
      <c r="D1465" s="4" t="s">
        <v>6033</v>
      </c>
      <c r="E1465" s="4" t="s">
        <v>6034</v>
      </c>
    </row>
    <row r="1466" spans="1:5">
      <c r="A1466" s="4" t="s">
        <v>6146</v>
      </c>
      <c r="B1466" s="4" t="s">
        <v>6159</v>
      </c>
      <c r="C1466" s="4" t="s">
        <v>6157</v>
      </c>
      <c r="D1466" s="4" t="s">
        <v>6033</v>
      </c>
      <c r="E1466" s="4" t="s">
        <v>6034</v>
      </c>
    </row>
    <row r="1467" spans="1:5">
      <c r="A1467" s="4" t="s">
        <v>6146</v>
      </c>
      <c r="B1467" s="4" t="s">
        <v>6159</v>
      </c>
      <c r="C1467" s="4" t="s">
        <v>6158</v>
      </c>
      <c r="D1467" s="4" t="s">
        <v>6033</v>
      </c>
      <c r="E1467" s="4" t="s">
        <v>6034</v>
      </c>
    </row>
    <row r="1468" spans="1:5">
      <c r="A1468" s="4" t="s">
        <v>6146</v>
      </c>
      <c r="B1468" s="4" t="s">
        <v>6160</v>
      </c>
      <c r="C1468" s="4" t="s">
        <v>6148</v>
      </c>
      <c r="D1468" s="4" t="s">
        <v>6033</v>
      </c>
      <c r="E1468" s="4" t="s">
        <v>6034</v>
      </c>
    </row>
    <row r="1469" spans="1:5">
      <c r="A1469" s="4" t="s">
        <v>6146</v>
      </c>
      <c r="B1469" s="4" t="s">
        <v>6160</v>
      </c>
      <c r="C1469" s="4" t="s">
        <v>6147</v>
      </c>
      <c r="D1469" s="4" t="s">
        <v>6033</v>
      </c>
      <c r="E1469" s="4" t="s">
        <v>6034</v>
      </c>
    </row>
    <row r="1470" spans="1:5">
      <c r="A1470" s="4" t="s">
        <v>6146</v>
      </c>
      <c r="B1470" s="4" t="s">
        <v>6160</v>
      </c>
      <c r="C1470" s="4" t="s">
        <v>6149</v>
      </c>
      <c r="D1470" s="4" t="s">
        <v>6033</v>
      </c>
      <c r="E1470" s="4" t="s">
        <v>6034</v>
      </c>
    </row>
    <row r="1471" spans="1:5">
      <c r="A1471" s="4" t="s">
        <v>6146</v>
      </c>
      <c r="B1471" s="4" t="s">
        <v>6160</v>
      </c>
      <c r="C1471" s="4" t="s">
        <v>6150</v>
      </c>
      <c r="D1471" s="4" t="s">
        <v>6033</v>
      </c>
      <c r="E1471" s="4" t="s">
        <v>6034</v>
      </c>
    </row>
    <row r="1472" spans="1:5">
      <c r="A1472" s="4" t="s">
        <v>6146</v>
      </c>
      <c r="B1472" s="4" t="s">
        <v>6160</v>
      </c>
      <c r="C1472" s="4" t="s">
        <v>6151</v>
      </c>
      <c r="D1472" s="4" t="s">
        <v>6033</v>
      </c>
      <c r="E1472" s="4" t="s">
        <v>6034</v>
      </c>
    </row>
    <row r="1473" spans="1:5">
      <c r="A1473" s="4" t="s">
        <v>6146</v>
      </c>
      <c r="B1473" s="4" t="s">
        <v>6160</v>
      </c>
      <c r="C1473" s="4" t="s">
        <v>6152</v>
      </c>
      <c r="D1473" s="4" t="s">
        <v>6033</v>
      </c>
      <c r="E1473" s="4" t="s">
        <v>6034</v>
      </c>
    </row>
    <row r="1474" spans="1:5">
      <c r="A1474" s="4" t="s">
        <v>6146</v>
      </c>
      <c r="B1474" s="4" t="s">
        <v>6160</v>
      </c>
      <c r="C1474" s="4" t="s">
        <v>6153</v>
      </c>
      <c r="D1474" s="4" t="s">
        <v>6033</v>
      </c>
      <c r="E1474" s="4" t="s">
        <v>6034</v>
      </c>
    </row>
    <row r="1475" spans="1:5">
      <c r="A1475" s="4" t="s">
        <v>6146</v>
      </c>
      <c r="B1475" s="4" t="s">
        <v>6160</v>
      </c>
      <c r="C1475" s="4" t="s">
        <v>6154</v>
      </c>
      <c r="D1475" s="4" t="s">
        <v>6033</v>
      </c>
      <c r="E1475" s="4" t="s">
        <v>6034</v>
      </c>
    </row>
    <row r="1476" spans="1:5">
      <c r="A1476" s="4" t="s">
        <v>6146</v>
      </c>
      <c r="B1476" s="4" t="s">
        <v>6160</v>
      </c>
      <c r="C1476" s="4" t="s">
        <v>6155</v>
      </c>
      <c r="D1476" s="4" t="s">
        <v>6033</v>
      </c>
      <c r="E1476" s="4" t="s">
        <v>6034</v>
      </c>
    </row>
    <row r="1477" spans="1:5">
      <c r="A1477" s="4" t="s">
        <v>6146</v>
      </c>
      <c r="B1477" s="4" t="s">
        <v>6160</v>
      </c>
      <c r="C1477" s="4" t="s">
        <v>6156</v>
      </c>
      <c r="D1477" s="4" t="s">
        <v>6033</v>
      </c>
      <c r="E1477" s="4" t="s">
        <v>6034</v>
      </c>
    </row>
    <row r="1478" spans="1:5">
      <c r="A1478" s="4" t="s">
        <v>6146</v>
      </c>
      <c r="B1478" s="4" t="s">
        <v>6160</v>
      </c>
      <c r="C1478" s="4" t="s">
        <v>6157</v>
      </c>
      <c r="D1478" s="4" t="s">
        <v>6033</v>
      </c>
      <c r="E1478" s="4" t="s">
        <v>6034</v>
      </c>
    </row>
    <row r="1479" spans="1:5">
      <c r="A1479" s="4" t="s">
        <v>6146</v>
      </c>
      <c r="B1479" s="4" t="s">
        <v>6160</v>
      </c>
      <c r="C1479" s="4" t="s">
        <v>6158</v>
      </c>
      <c r="D1479" s="4" t="s">
        <v>6033</v>
      </c>
      <c r="E1479" s="4" t="s">
        <v>6034</v>
      </c>
    </row>
    <row r="1480" spans="1:5">
      <c r="A1480" s="4" t="s">
        <v>6146</v>
      </c>
      <c r="B1480" s="4" t="s">
        <v>6160</v>
      </c>
      <c r="C1480" s="4" t="s">
        <v>6159</v>
      </c>
      <c r="D1480" s="4" t="s">
        <v>6033</v>
      </c>
      <c r="E1480" s="4" t="s">
        <v>6034</v>
      </c>
    </row>
    <row r="1481" spans="1:5">
      <c r="A1481" s="4" t="s">
        <v>6161</v>
      </c>
      <c r="B1481" s="4" t="s">
        <v>6162</v>
      </c>
      <c r="C1481" s="4" t="s">
        <v>6163</v>
      </c>
      <c r="D1481" s="4" t="s">
        <v>6033</v>
      </c>
      <c r="E1481" s="4" t="s">
        <v>6034</v>
      </c>
    </row>
    <row r="1482" spans="1:5">
      <c r="A1482" s="4" t="s">
        <v>6161</v>
      </c>
      <c r="B1482" s="4" t="s">
        <v>6164</v>
      </c>
      <c r="C1482" s="4" t="s">
        <v>6163</v>
      </c>
      <c r="D1482" s="4" t="s">
        <v>6033</v>
      </c>
      <c r="E1482" s="4" t="s">
        <v>6034</v>
      </c>
    </row>
    <row r="1483" spans="1:5">
      <c r="A1483" s="4" t="s">
        <v>6161</v>
      </c>
      <c r="B1483" s="4" t="s">
        <v>6164</v>
      </c>
      <c r="C1483" s="4" t="s">
        <v>6162</v>
      </c>
      <c r="D1483" s="4" t="s">
        <v>6033</v>
      </c>
      <c r="E1483" s="4" t="s">
        <v>6034</v>
      </c>
    </row>
    <row r="1484" spans="1:5">
      <c r="A1484" s="4" t="s">
        <v>6161</v>
      </c>
      <c r="B1484" s="4" t="s">
        <v>6165</v>
      </c>
      <c r="C1484" s="4" t="s">
        <v>6162</v>
      </c>
      <c r="D1484" s="4" t="s">
        <v>6039</v>
      </c>
      <c r="E1484" s="4" t="s">
        <v>6040</v>
      </c>
    </row>
    <row r="1485" spans="1:5">
      <c r="A1485" s="4" t="s">
        <v>6161</v>
      </c>
      <c r="B1485" s="4" t="s">
        <v>6165</v>
      </c>
      <c r="C1485" s="4" t="s">
        <v>6164</v>
      </c>
      <c r="D1485" s="4" t="s">
        <v>6039</v>
      </c>
      <c r="E1485" s="4" t="s">
        <v>6040</v>
      </c>
    </row>
    <row r="1486" spans="1:5">
      <c r="A1486" s="4" t="s">
        <v>6161</v>
      </c>
      <c r="B1486" s="4" t="s">
        <v>6166</v>
      </c>
      <c r="C1486" s="4" t="s">
        <v>6163</v>
      </c>
      <c r="D1486" s="4" t="s">
        <v>6033</v>
      </c>
      <c r="E1486" s="4" t="s">
        <v>6034</v>
      </c>
    </row>
    <row r="1487" spans="1:5">
      <c r="A1487" s="4" t="s">
        <v>6161</v>
      </c>
      <c r="B1487" s="4" t="s">
        <v>6166</v>
      </c>
      <c r="C1487" s="4" t="s">
        <v>6162</v>
      </c>
      <c r="D1487" s="4" t="s">
        <v>6033</v>
      </c>
      <c r="E1487" s="4" t="s">
        <v>6034</v>
      </c>
    </row>
    <row r="1488" spans="1:5">
      <c r="A1488" s="4" t="s">
        <v>6161</v>
      </c>
      <c r="B1488" s="4" t="s">
        <v>6166</v>
      </c>
      <c r="C1488" s="4" t="s">
        <v>6164</v>
      </c>
      <c r="D1488" s="4" t="s">
        <v>6033</v>
      </c>
      <c r="E1488" s="4" t="s">
        <v>6034</v>
      </c>
    </row>
    <row r="1489" spans="1:5">
      <c r="A1489" s="4" t="s">
        <v>6161</v>
      </c>
      <c r="B1489" s="4" t="s">
        <v>6166</v>
      </c>
      <c r="C1489" s="4" t="s">
        <v>6165</v>
      </c>
      <c r="D1489" s="4" t="s">
        <v>6033</v>
      </c>
      <c r="E1489" s="4" t="s">
        <v>6034</v>
      </c>
    </row>
    <row r="1490" spans="1:5">
      <c r="A1490" s="4" t="s">
        <v>6161</v>
      </c>
      <c r="B1490" s="4" t="s">
        <v>6167</v>
      </c>
      <c r="C1490" s="4" t="s">
        <v>6163</v>
      </c>
      <c r="D1490" s="4" t="s">
        <v>6033</v>
      </c>
      <c r="E1490" s="4" t="s">
        <v>6034</v>
      </c>
    </row>
    <row r="1491" spans="1:5">
      <c r="A1491" s="4" t="s">
        <v>6161</v>
      </c>
      <c r="B1491" s="4" t="s">
        <v>6167</v>
      </c>
      <c r="C1491" s="4" t="s">
        <v>6162</v>
      </c>
      <c r="D1491" s="4" t="s">
        <v>6033</v>
      </c>
      <c r="E1491" s="4" t="s">
        <v>6034</v>
      </c>
    </row>
    <row r="1492" spans="1:5">
      <c r="A1492" s="4" t="s">
        <v>6161</v>
      </c>
      <c r="B1492" s="4" t="s">
        <v>6167</v>
      </c>
      <c r="C1492" s="4" t="s">
        <v>6164</v>
      </c>
      <c r="D1492" s="4" t="s">
        <v>6033</v>
      </c>
      <c r="E1492" s="4" t="s">
        <v>6034</v>
      </c>
    </row>
    <row r="1493" spans="1:5">
      <c r="A1493" s="4" t="s">
        <v>6161</v>
      </c>
      <c r="B1493" s="4" t="s">
        <v>6167</v>
      </c>
      <c r="C1493" s="4" t="s">
        <v>6165</v>
      </c>
      <c r="D1493" s="4" t="s">
        <v>6033</v>
      </c>
      <c r="E1493" s="4" t="s">
        <v>6034</v>
      </c>
    </row>
    <row r="1494" spans="1:5">
      <c r="A1494" s="4" t="s">
        <v>6161</v>
      </c>
      <c r="B1494" s="4" t="s">
        <v>6167</v>
      </c>
      <c r="C1494" s="4" t="s">
        <v>6166</v>
      </c>
      <c r="D1494" s="4" t="s">
        <v>6033</v>
      </c>
      <c r="E1494" s="4" t="s">
        <v>6034</v>
      </c>
    </row>
    <row r="1495" spans="1:5">
      <c r="A1495" s="4" t="s">
        <v>6161</v>
      </c>
      <c r="B1495" s="4" t="s">
        <v>6168</v>
      </c>
      <c r="C1495" s="4" t="s">
        <v>6163</v>
      </c>
      <c r="D1495" s="4" t="s">
        <v>6033</v>
      </c>
      <c r="E1495" s="4" t="s">
        <v>6034</v>
      </c>
    </row>
    <row r="1496" spans="1:5">
      <c r="A1496" s="4" t="s">
        <v>6161</v>
      </c>
      <c r="B1496" s="4" t="s">
        <v>6168</v>
      </c>
      <c r="C1496" s="4" t="s">
        <v>6162</v>
      </c>
      <c r="D1496" s="4" t="s">
        <v>6033</v>
      </c>
      <c r="E1496" s="4" t="s">
        <v>6034</v>
      </c>
    </row>
    <row r="1497" spans="1:5">
      <c r="A1497" s="4" t="s">
        <v>6161</v>
      </c>
      <c r="B1497" s="4" t="s">
        <v>6168</v>
      </c>
      <c r="C1497" s="4" t="s">
        <v>6164</v>
      </c>
      <c r="D1497" s="4" t="s">
        <v>6033</v>
      </c>
      <c r="E1497" s="4" t="s">
        <v>6034</v>
      </c>
    </row>
    <row r="1498" spans="1:5">
      <c r="A1498" s="4" t="s">
        <v>6161</v>
      </c>
      <c r="B1498" s="4" t="s">
        <v>6168</v>
      </c>
      <c r="C1498" s="4" t="s">
        <v>6165</v>
      </c>
      <c r="D1498" s="4" t="s">
        <v>6033</v>
      </c>
      <c r="E1498" s="4" t="s">
        <v>6034</v>
      </c>
    </row>
    <row r="1499" spans="1:5">
      <c r="A1499" s="4" t="s">
        <v>6161</v>
      </c>
      <c r="B1499" s="4" t="s">
        <v>6168</v>
      </c>
      <c r="C1499" s="4" t="s">
        <v>6166</v>
      </c>
      <c r="D1499" s="4" t="s">
        <v>6033</v>
      </c>
      <c r="E1499" s="4" t="s">
        <v>6034</v>
      </c>
    </row>
    <row r="1500" spans="1:5">
      <c r="A1500" s="4" t="s">
        <v>6161</v>
      </c>
      <c r="B1500" s="4" t="s">
        <v>6168</v>
      </c>
      <c r="C1500" s="4" t="s">
        <v>6167</v>
      </c>
      <c r="D1500" s="4" t="s">
        <v>6033</v>
      </c>
      <c r="E1500" s="4" t="s">
        <v>6034</v>
      </c>
    </row>
    <row r="1501" spans="1:5">
      <c r="A1501" s="4" t="s">
        <v>6161</v>
      </c>
      <c r="B1501" s="4" t="s">
        <v>6169</v>
      </c>
      <c r="C1501" s="4" t="s">
        <v>6163</v>
      </c>
      <c r="D1501" s="4" t="s">
        <v>6039</v>
      </c>
      <c r="E1501" s="4" t="s">
        <v>6040</v>
      </c>
    </row>
    <row r="1502" spans="1:5">
      <c r="A1502" s="4" t="s">
        <v>6161</v>
      </c>
      <c r="B1502" s="4" t="s">
        <v>6169</v>
      </c>
      <c r="C1502" s="4" t="s">
        <v>6162</v>
      </c>
      <c r="D1502" s="4" t="s">
        <v>6039</v>
      </c>
      <c r="E1502" s="4" t="s">
        <v>6040</v>
      </c>
    </row>
    <row r="1503" spans="1:5">
      <c r="A1503" s="4" t="s">
        <v>6161</v>
      </c>
      <c r="B1503" s="4" t="s">
        <v>6169</v>
      </c>
      <c r="C1503" s="4" t="s">
        <v>6164</v>
      </c>
      <c r="D1503" s="4" t="s">
        <v>6039</v>
      </c>
      <c r="E1503" s="4" t="s">
        <v>6040</v>
      </c>
    </row>
    <row r="1504" spans="1:5">
      <c r="A1504" s="4" t="s">
        <v>6161</v>
      </c>
      <c r="B1504" s="4" t="s">
        <v>6169</v>
      </c>
      <c r="C1504" s="4" t="s">
        <v>6165</v>
      </c>
      <c r="D1504" s="4" t="s">
        <v>6039</v>
      </c>
      <c r="E1504" s="4" t="s">
        <v>6040</v>
      </c>
    </row>
    <row r="1505" spans="1:5">
      <c r="A1505" s="4" t="s">
        <v>6161</v>
      </c>
      <c r="B1505" s="4" t="s">
        <v>6169</v>
      </c>
      <c r="C1505" s="4" t="s">
        <v>6166</v>
      </c>
      <c r="D1505" s="4" t="s">
        <v>6039</v>
      </c>
      <c r="E1505" s="4" t="s">
        <v>6040</v>
      </c>
    </row>
    <row r="1506" spans="1:5">
      <c r="A1506" s="4" t="s">
        <v>6161</v>
      </c>
      <c r="B1506" s="4" t="s">
        <v>6169</v>
      </c>
      <c r="C1506" s="4" t="s">
        <v>6167</v>
      </c>
      <c r="D1506" s="4" t="s">
        <v>6039</v>
      </c>
      <c r="E1506" s="4" t="s">
        <v>6040</v>
      </c>
    </row>
    <row r="1507" spans="1:5">
      <c r="A1507" s="4" t="s">
        <v>6161</v>
      </c>
      <c r="B1507" s="4" t="s">
        <v>6169</v>
      </c>
      <c r="C1507" s="4" t="s">
        <v>6168</v>
      </c>
      <c r="D1507" s="4" t="s">
        <v>6039</v>
      </c>
      <c r="E1507" s="4" t="s">
        <v>6040</v>
      </c>
    </row>
    <row r="1508" spans="1:5">
      <c r="A1508" s="4" t="s">
        <v>6161</v>
      </c>
      <c r="B1508" s="4" t="s">
        <v>6170</v>
      </c>
      <c r="C1508" s="4" t="s">
        <v>6163</v>
      </c>
      <c r="D1508" s="4" t="s">
        <v>6039</v>
      </c>
      <c r="E1508" s="4" t="s">
        <v>6040</v>
      </c>
    </row>
    <row r="1509" spans="1:5">
      <c r="A1509" s="4" t="s">
        <v>6161</v>
      </c>
      <c r="B1509" s="4" t="s">
        <v>6170</v>
      </c>
      <c r="C1509" s="4" t="s">
        <v>6162</v>
      </c>
      <c r="D1509" s="4" t="s">
        <v>6039</v>
      </c>
      <c r="E1509" s="4" t="s">
        <v>6040</v>
      </c>
    </row>
    <row r="1510" spans="1:5">
      <c r="A1510" s="4" t="s">
        <v>6161</v>
      </c>
      <c r="B1510" s="4" t="s">
        <v>6170</v>
      </c>
      <c r="C1510" s="4" t="s">
        <v>6164</v>
      </c>
      <c r="D1510" s="4" t="s">
        <v>6039</v>
      </c>
      <c r="E1510" s="4" t="s">
        <v>6040</v>
      </c>
    </row>
    <row r="1511" spans="1:5">
      <c r="A1511" s="4" t="s">
        <v>6161</v>
      </c>
      <c r="B1511" s="4" t="s">
        <v>6170</v>
      </c>
      <c r="C1511" s="4" t="s">
        <v>6165</v>
      </c>
      <c r="D1511" s="4" t="s">
        <v>6039</v>
      </c>
      <c r="E1511" s="4" t="s">
        <v>6040</v>
      </c>
    </row>
    <row r="1512" spans="1:5">
      <c r="A1512" s="4" t="s">
        <v>6161</v>
      </c>
      <c r="B1512" s="4" t="s">
        <v>6170</v>
      </c>
      <c r="C1512" s="4" t="s">
        <v>6166</v>
      </c>
      <c r="D1512" s="4" t="s">
        <v>6039</v>
      </c>
      <c r="E1512" s="4" t="s">
        <v>6040</v>
      </c>
    </row>
    <row r="1513" spans="1:5">
      <c r="A1513" s="4" t="s">
        <v>6161</v>
      </c>
      <c r="B1513" s="4" t="s">
        <v>6170</v>
      </c>
      <c r="C1513" s="4" t="s">
        <v>6167</v>
      </c>
      <c r="D1513" s="4" t="s">
        <v>6039</v>
      </c>
      <c r="E1513" s="4" t="s">
        <v>6040</v>
      </c>
    </row>
    <row r="1514" spans="1:5">
      <c r="A1514" s="4" t="s">
        <v>6161</v>
      </c>
      <c r="B1514" s="4" t="s">
        <v>6170</v>
      </c>
      <c r="C1514" s="4" t="s">
        <v>6168</v>
      </c>
      <c r="D1514" s="4" t="s">
        <v>6039</v>
      </c>
      <c r="E1514" s="4" t="s">
        <v>6040</v>
      </c>
    </row>
    <row r="1515" spans="1:5">
      <c r="A1515" s="4" t="s">
        <v>6161</v>
      </c>
      <c r="B1515" s="4" t="s">
        <v>6170</v>
      </c>
      <c r="C1515" s="4" t="s">
        <v>6169</v>
      </c>
      <c r="D1515" s="4" t="s">
        <v>6033</v>
      </c>
      <c r="E1515" s="4" t="s">
        <v>6034</v>
      </c>
    </row>
    <row r="1516" spans="1:5">
      <c r="A1516" s="4" t="s">
        <v>6161</v>
      </c>
      <c r="B1516" s="4" t="s">
        <v>6171</v>
      </c>
      <c r="C1516" s="4" t="s">
        <v>6163</v>
      </c>
      <c r="D1516" s="4" t="s">
        <v>6039</v>
      </c>
      <c r="E1516" s="4" t="s">
        <v>6040</v>
      </c>
    </row>
    <row r="1517" spans="1:5">
      <c r="A1517" s="4" t="s">
        <v>6161</v>
      </c>
      <c r="B1517" s="4" t="s">
        <v>6171</v>
      </c>
      <c r="C1517" s="4" t="s">
        <v>6162</v>
      </c>
      <c r="D1517" s="4" t="s">
        <v>6039</v>
      </c>
      <c r="E1517" s="4" t="s">
        <v>6040</v>
      </c>
    </row>
    <row r="1518" spans="1:5">
      <c r="A1518" s="4" t="s">
        <v>6161</v>
      </c>
      <c r="B1518" s="4" t="s">
        <v>6171</v>
      </c>
      <c r="C1518" s="4" t="s">
        <v>6164</v>
      </c>
      <c r="D1518" s="4" t="s">
        <v>6039</v>
      </c>
      <c r="E1518" s="4" t="s">
        <v>6040</v>
      </c>
    </row>
    <row r="1519" spans="1:5">
      <c r="A1519" s="4" t="s">
        <v>6161</v>
      </c>
      <c r="B1519" s="4" t="s">
        <v>6171</v>
      </c>
      <c r="C1519" s="4" t="s">
        <v>6165</v>
      </c>
      <c r="D1519" s="4" t="s">
        <v>6039</v>
      </c>
      <c r="E1519" s="4" t="s">
        <v>6040</v>
      </c>
    </row>
    <row r="1520" spans="1:5">
      <c r="A1520" s="4" t="s">
        <v>6161</v>
      </c>
      <c r="B1520" s="4" t="s">
        <v>6171</v>
      </c>
      <c r="C1520" s="4" t="s">
        <v>6166</v>
      </c>
      <c r="D1520" s="4" t="s">
        <v>6039</v>
      </c>
      <c r="E1520" s="4" t="s">
        <v>6040</v>
      </c>
    </row>
    <row r="1521" spans="1:5">
      <c r="A1521" s="4" t="s">
        <v>6161</v>
      </c>
      <c r="B1521" s="4" t="s">
        <v>6171</v>
      </c>
      <c r="C1521" s="4" t="s">
        <v>6167</v>
      </c>
      <c r="D1521" s="4" t="s">
        <v>6039</v>
      </c>
      <c r="E1521" s="4" t="s">
        <v>6040</v>
      </c>
    </row>
    <row r="1522" spans="1:5">
      <c r="A1522" s="4" t="s">
        <v>6161</v>
      </c>
      <c r="B1522" s="4" t="s">
        <v>6171</v>
      </c>
      <c r="C1522" s="4" t="s">
        <v>6168</v>
      </c>
      <c r="D1522" s="4" t="s">
        <v>6039</v>
      </c>
      <c r="E1522" s="4" t="s">
        <v>6040</v>
      </c>
    </row>
    <row r="1523" spans="1:5">
      <c r="A1523" s="4" t="s">
        <v>6161</v>
      </c>
      <c r="B1523" s="4" t="s">
        <v>6171</v>
      </c>
      <c r="C1523" s="4" t="s">
        <v>6169</v>
      </c>
      <c r="D1523" s="4" t="s">
        <v>6033</v>
      </c>
      <c r="E1523" s="4" t="s">
        <v>6034</v>
      </c>
    </row>
    <row r="1524" spans="1:5">
      <c r="A1524" s="4" t="s">
        <v>6161</v>
      </c>
      <c r="B1524" s="4" t="s">
        <v>6171</v>
      </c>
      <c r="C1524" s="4" t="s">
        <v>6170</v>
      </c>
      <c r="D1524" s="4" t="s">
        <v>6033</v>
      </c>
      <c r="E1524" s="4" t="s">
        <v>6034</v>
      </c>
    </row>
    <row r="1525" spans="1:5">
      <c r="A1525" s="4" t="s">
        <v>6161</v>
      </c>
      <c r="B1525" s="4" t="s">
        <v>6172</v>
      </c>
      <c r="C1525" s="4" t="s">
        <v>6163</v>
      </c>
      <c r="D1525" s="4" t="s">
        <v>6039</v>
      </c>
      <c r="E1525" s="4" t="s">
        <v>6040</v>
      </c>
    </row>
    <row r="1526" spans="1:5">
      <c r="A1526" s="4" t="s">
        <v>6161</v>
      </c>
      <c r="B1526" s="4" t="s">
        <v>6172</v>
      </c>
      <c r="C1526" s="4" t="s">
        <v>6162</v>
      </c>
      <c r="D1526" s="4" t="s">
        <v>6039</v>
      </c>
      <c r="E1526" s="4" t="s">
        <v>6040</v>
      </c>
    </row>
    <row r="1527" spans="1:5">
      <c r="A1527" s="4" t="s">
        <v>6161</v>
      </c>
      <c r="B1527" s="4" t="s">
        <v>6172</v>
      </c>
      <c r="C1527" s="4" t="s">
        <v>6164</v>
      </c>
      <c r="D1527" s="4" t="s">
        <v>6039</v>
      </c>
      <c r="E1527" s="4" t="s">
        <v>6040</v>
      </c>
    </row>
    <row r="1528" spans="1:5">
      <c r="A1528" s="4" t="s">
        <v>6161</v>
      </c>
      <c r="B1528" s="4" t="s">
        <v>6172</v>
      </c>
      <c r="C1528" s="4" t="s">
        <v>6165</v>
      </c>
      <c r="D1528" s="4" t="s">
        <v>6039</v>
      </c>
      <c r="E1528" s="4" t="s">
        <v>6040</v>
      </c>
    </row>
    <row r="1529" spans="1:5">
      <c r="A1529" s="4" t="s">
        <v>6161</v>
      </c>
      <c r="B1529" s="4" t="s">
        <v>6172</v>
      </c>
      <c r="C1529" s="4" t="s">
        <v>6166</v>
      </c>
      <c r="D1529" s="4" t="s">
        <v>6039</v>
      </c>
      <c r="E1529" s="4" t="s">
        <v>6040</v>
      </c>
    </row>
    <row r="1530" spans="1:5">
      <c r="A1530" s="4" t="s">
        <v>6161</v>
      </c>
      <c r="B1530" s="4" t="s">
        <v>6172</v>
      </c>
      <c r="C1530" s="4" t="s">
        <v>6167</v>
      </c>
      <c r="D1530" s="4" t="s">
        <v>6039</v>
      </c>
      <c r="E1530" s="4" t="s">
        <v>6040</v>
      </c>
    </row>
    <row r="1531" spans="1:5">
      <c r="A1531" s="4" t="s">
        <v>6161</v>
      </c>
      <c r="B1531" s="4" t="s">
        <v>6172</v>
      </c>
      <c r="C1531" s="4" t="s">
        <v>6168</v>
      </c>
      <c r="D1531" s="4" t="s">
        <v>6039</v>
      </c>
      <c r="E1531" s="4" t="s">
        <v>6040</v>
      </c>
    </row>
    <row r="1532" spans="1:5">
      <c r="A1532" s="4" t="s">
        <v>6161</v>
      </c>
      <c r="B1532" s="4" t="s">
        <v>6172</v>
      </c>
      <c r="C1532" s="4" t="s">
        <v>6169</v>
      </c>
      <c r="D1532" s="4" t="s">
        <v>6033</v>
      </c>
      <c r="E1532" s="4" t="s">
        <v>6034</v>
      </c>
    </row>
    <row r="1533" spans="1:5">
      <c r="A1533" s="4" t="s">
        <v>6161</v>
      </c>
      <c r="B1533" s="4" t="s">
        <v>6172</v>
      </c>
      <c r="C1533" s="4" t="s">
        <v>6170</v>
      </c>
      <c r="D1533" s="4" t="s">
        <v>6033</v>
      </c>
      <c r="E1533" s="4" t="s">
        <v>6034</v>
      </c>
    </row>
    <row r="1534" spans="1:5">
      <c r="A1534" s="4" t="s">
        <v>6161</v>
      </c>
      <c r="B1534" s="4" t="s">
        <v>6172</v>
      </c>
      <c r="C1534" s="4" t="s">
        <v>6171</v>
      </c>
      <c r="D1534" s="4" t="s">
        <v>6033</v>
      </c>
      <c r="E1534" s="4" t="s">
        <v>6034</v>
      </c>
    </row>
    <row r="1535" spans="1:5">
      <c r="A1535" s="4" t="s">
        <v>6161</v>
      </c>
      <c r="B1535" s="4" t="s">
        <v>6173</v>
      </c>
      <c r="C1535" s="4" t="s">
        <v>6163</v>
      </c>
      <c r="D1535" s="4" t="s">
        <v>6039</v>
      </c>
      <c r="E1535" s="4" t="s">
        <v>6040</v>
      </c>
    </row>
    <row r="1536" spans="1:5">
      <c r="A1536" s="4" t="s">
        <v>6161</v>
      </c>
      <c r="B1536" s="4" t="s">
        <v>6173</v>
      </c>
      <c r="C1536" s="4" t="s">
        <v>6162</v>
      </c>
      <c r="D1536" s="4" t="s">
        <v>6039</v>
      </c>
      <c r="E1536" s="4" t="s">
        <v>6040</v>
      </c>
    </row>
    <row r="1537" spans="1:5">
      <c r="A1537" s="4" t="s">
        <v>6161</v>
      </c>
      <c r="B1537" s="4" t="s">
        <v>6173</v>
      </c>
      <c r="C1537" s="4" t="s">
        <v>6164</v>
      </c>
      <c r="D1537" s="4" t="s">
        <v>6039</v>
      </c>
      <c r="E1537" s="4" t="s">
        <v>6040</v>
      </c>
    </row>
    <row r="1538" spans="1:5">
      <c r="A1538" s="4" t="s">
        <v>6161</v>
      </c>
      <c r="B1538" s="4" t="s">
        <v>6173</v>
      </c>
      <c r="C1538" s="4" t="s">
        <v>6165</v>
      </c>
      <c r="D1538" s="4" t="s">
        <v>6039</v>
      </c>
      <c r="E1538" s="4" t="s">
        <v>6040</v>
      </c>
    </row>
    <row r="1539" spans="1:5">
      <c r="A1539" s="4" t="s">
        <v>6161</v>
      </c>
      <c r="B1539" s="4" t="s">
        <v>6173</v>
      </c>
      <c r="C1539" s="4" t="s">
        <v>6166</v>
      </c>
      <c r="D1539" s="4" t="s">
        <v>6039</v>
      </c>
      <c r="E1539" s="4" t="s">
        <v>6040</v>
      </c>
    </row>
    <row r="1540" spans="1:5">
      <c r="A1540" s="4" t="s">
        <v>6161</v>
      </c>
      <c r="B1540" s="4" t="s">
        <v>6173</v>
      </c>
      <c r="C1540" s="4" t="s">
        <v>6167</v>
      </c>
      <c r="D1540" s="4" t="s">
        <v>6039</v>
      </c>
      <c r="E1540" s="4" t="s">
        <v>6040</v>
      </c>
    </row>
    <row r="1541" spans="1:5">
      <c r="A1541" s="4" t="s">
        <v>6161</v>
      </c>
      <c r="B1541" s="4" t="s">
        <v>6173</v>
      </c>
      <c r="C1541" s="4" t="s">
        <v>6168</v>
      </c>
      <c r="D1541" s="4" t="s">
        <v>6039</v>
      </c>
      <c r="E1541" s="4" t="s">
        <v>6040</v>
      </c>
    </row>
    <row r="1542" spans="1:5">
      <c r="A1542" s="4" t="s">
        <v>6161</v>
      </c>
      <c r="B1542" s="4" t="s">
        <v>6173</v>
      </c>
      <c r="C1542" s="4" t="s">
        <v>6169</v>
      </c>
      <c r="D1542" s="4" t="s">
        <v>6033</v>
      </c>
      <c r="E1542" s="4" t="s">
        <v>6034</v>
      </c>
    </row>
    <row r="1543" spans="1:5">
      <c r="A1543" s="4" t="s">
        <v>6161</v>
      </c>
      <c r="B1543" s="4" t="s">
        <v>6173</v>
      </c>
      <c r="C1543" s="4" t="s">
        <v>6170</v>
      </c>
      <c r="D1543" s="4" t="s">
        <v>6033</v>
      </c>
      <c r="E1543" s="4" t="s">
        <v>6034</v>
      </c>
    </row>
    <row r="1544" spans="1:5">
      <c r="A1544" s="4" t="s">
        <v>6161</v>
      </c>
      <c r="B1544" s="4" t="s">
        <v>6173</v>
      </c>
      <c r="C1544" s="4" t="s">
        <v>6171</v>
      </c>
      <c r="D1544" s="4" t="s">
        <v>6033</v>
      </c>
      <c r="E1544" s="4" t="s">
        <v>6034</v>
      </c>
    </row>
    <row r="1545" spans="1:5">
      <c r="A1545" s="4" t="s">
        <v>6161</v>
      </c>
      <c r="B1545" s="4" t="s">
        <v>6173</v>
      </c>
      <c r="C1545" s="4" t="s">
        <v>6172</v>
      </c>
      <c r="D1545" s="4" t="s">
        <v>6033</v>
      </c>
      <c r="E1545" s="4" t="s">
        <v>6034</v>
      </c>
    </row>
    <row r="1546" spans="1:5">
      <c r="A1546" s="4" t="s">
        <v>6161</v>
      </c>
      <c r="B1546" s="4" t="s">
        <v>6174</v>
      </c>
      <c r="C1546" s="4" t="s">
        <v>6163</v>
      </c>
      <c r="D1546" s="4" t="s">
        <v>6039</v>
      </c>
      <c r="E1546" s="4" t="s">
        <v>6040</v>
      </c>
    </row>
    <row r="1547" spans="1:5">
      <c r="A1547" s="4" t="s">
        <v>6161</v>
      </c>
      <c r="B1547" s="4" t="s">
        <v>6174</v>
      </c>
      <c r="C1547" s="4" t="s">
        <v>6162</v>
      </c>
      <c r="D1547" s="4" t="s">
        <v>6039</v>
      </c>
      <c r="E1547" s="4" t="s">
        <v>6040</v>
      </c>
    </row>
    <row r="1548" spans="1:5">
      <c r="A1548" s="4" t="s">
        <v>6161</v>
      </c>
      <c r="B1548" s="4" t="s">
        <v>6174</v>
      </c>
      <c r="C1548" s="4" t="s">
        <v>6164</v>
      </c>
      <c r="D1548" s="4" t="s">
        <v>6039</v>
      </c>
      <c r="E1548" s="4" t="s">
        <v>6040</v>
      </c>
    </row>
    <row r="1549" spans="1:5">
      <c r="A1549" s="4" t="s">
        <v>6161</v>
      </c>
      <c r="B1549" s="4" t="s">
        <v>6174</v>
      </c>
      <c r="C1549" s="4" t="s">
        <v>6165</v>
      </c>
      <c r="D1549" s="4" t="s">
        <v>6039</v>
      </c>
      <c r="E1549" s="4" t="s">
        <v>6040</v>
      </c>
    </row>
    <row r="1550" spans="1:5">
      <c r="A1550" s="4" t="s">
        <v>6161</v>
      </c>
      <c r="B1550" s="4" t="s">
        <v>6174</v>
      </c>
      <c r="C1550" s="4" t="s">
        <v>6166</v>
      </c>
      <c r="D1550" s="4" t="s">
        <v>6039</v>
      </c>
      <c r="E1550" s="4" t="s">
        <v>6040</v>
      </c>
    </row>
    <row r="1551" spans="1:5">
      <c r="A1551" s="4" t="s">
        <v>6161</v>
      </c>
      <c r="B1551" s="4" t="s">
        <v>6174</v>
      </c>
      <c r="C1551" s="4" t="s">
        <v>6167</v>
      </c>
      <c r="D1551" s="4" t="s">
        <v>6039</v>
      </c>
      <c r="E1551" s="4" t="s">
        <v>6040</v>
      </c>
    </row>
    <row r="1552" spans="1:5">
      <c r="A1552" s="4" t="s">
        <v>6161</v>
      </c>
      <c r="B1552" s="4" t="s">
        <v>6174</v>
      </c>
      <c r="C1552" s="4" t="s">
        <v>6168</v>
      </c>
      <c r="D1552" s="4" t="s">
        <v>6039</v>
      </c>
      <c r="E1552" s="4" t="s">
        <v>6040</v>
      </c>
    </row>
    <row r="1553" spans="1:5">
      <c r="A1553" s="4" t="s">
        <v>6161</v>
      </c>
      <c r="B1553" s="4" t="s">
        <v>6174</v>
      </c>
      <c r="C1553" s="4" t="s">
        <v>6169</v>
      </c>
      <c r="D1553" s="4" t="s">
        <v>6033</v>
      </c>
      <c r="E1553" s="4" t="s">
        <v>6034</v>
      </c>
    </row>
    <row r="1554" spans="1:5">
      <c r="A1554" s="4" t="s">
        <v>6161</v>
      </c>
      <c r="B1554" s="4" t="s">
        <v>6174</v>
      </c>
      <c r="C1554" s="4" t="s">
        <v>6170</v>
      </c>
      <c r="D1554" s="4" t="s">
        <v>6033</v>
      </c>
      <c r="E1554" s="4" t="s">
        <v>6034</v>
      </c>
    </row>
    <row r="1555" spans="1:5">
      <c r="A1555" s="4" t="s">
        <v>6161</v>
      </c>
      <c r="B1555" s="4" t="s">
        <v>6174</v>
      </c>
      <c r="C1555" s="4" t="s">
        <v>6171</v>
      </c>
      <c r="D1555" s="4" t="s">
        <v>6033</v>
      </c>
      <c r="E1555" s="4" t="s">
        <v>6034</v>
      </c>
    </row>
    <row r="1556" spans="1:5">
      <c r="A1556" s="4" t="s">
        <v>6161</v>
      </c>
      <c r="B1556" s="4" t="s">
        <v>6174</v>
      </c>
      <c r="C1556" s="4" t="s">
        <v>6172</v>
      </c>
      <c r="D1556" s="4" t="s">
        <v>6033</v>
      </c>
      <c r="E1556" s="4" t="s">
        <v>6034</v>
      </c>
    </row>
    <row r="1557" spans="1:5">
      <c r="A1557" s="4" t="s">
        <v>6161</v>
      </c>
      <c r="B1557" s="4" t="s">
        <v>6174</v>
      </c>
      <c r="C1557" s="4" t="s">
        <v>6173</v>
      </c>
      <c r="D1557" s="4" t="s">
        <v>6033</v>
      </c>
      <c r="E1557" s="4" t="s">
        <v>6034</v>
      </c>
    </row>
    <row r="1558" spans="1:5">
      <c r="A1558" s="4" t="s">
        <v>6161</v>
      </c>
      <c r="B1558" s="4" t="s">
        <v>6175</v>
      </c>
      <c r="C1558" s="4" t="s">
        <v>6163</v>
      </c>
      <c r="D1558" s="4" t="s">
        <v>6039</v>
      </c>
      <c r="E1558" s="4" t="s">
        <v>6040</v>
      </c>
    </row>
    <row r="1559" spans="1:5">
      <c r="A1559" s="4" t="s">
        <v>6161</v>
      </c>
      <c r="B1559" s="4" t="s">
        <v>6175</v>
      </c>
      <c r="C1559" s="4" t="s">
        <v>6162</v>
      </c>
      <c r="D1559" s="4" t="s">
        <v>6039</v>
      </c>
      <c r="E1559" s="4" t="s">
        <v>6040</v>
      </c>
    </row>
    <row r="1560" spans="1:5">
      <c r="A1560" s="4" t="s">
        <v>6161</v>
      </c>
      <c r="B1560" s="4" t="s">
        <v>6175</v>
      </c>
      <c r="C1560" s="4" t="s">
        <v>6164</v>
      </c>
      <c r="D1560" s="4" t="s">
        <v>6039</v>
      </c>
      <c r="E1560" s="4" t="s">
        <v>6040</v>
      </c>
    </row>
    <row r="1561" spans="1:5">
      <c r="A1561" s="4" t="s">
        <v>6161</v>
      </c>
      <c r="B1561" s="4" t="s">
        <v>6175</v>
      </c>
      <c r="C1561" s="4" t="s">
        <v>6165</v>
      </c>
      <c r="D1561" s="4" t="s">
        <v>6039</v>
      </c>
      <c r="E1561" s="4" t="s">
        <v>6040</v>
      </c>
    </row>
    <row r="1562" spans="1:5">
      <c r="A1562" s="4" t="s">
        <v>6161</v>
      </c>
      <c r="B1562" s="4" t="s">
        <v>6175</v>
      </c>
      <c r="C1562" s="4" t="s">
        <v>6166</v>
      </c>
      <c r="D1562" s="4" t="s">
        <v>6039</v>
      </c>
      <c r="E1562" s="4" t="s">
        <v>6040</v>
      </c>
    </row>
    <row r="1563" spans="1:5">
      <c r="A1563" s="4" t="s">
        <v>6161</v>
      </c>
      <c r="B1563" s="4" t="s">
        <v>6175</v>
      </c>
      <c r="C1563" s="4" t="s">
        <v>6167</v>
      </c>
      <c r="D1563" s="4" t="s">
        <v>6039</v>
      </c>
      <c r="E1563" s="4" t="s">
        <v>6040</v>
      </c>
    </row>
    <row r="1564" spans="1:5">
      <c r="A1564" s="4" t="s">
        <v>6161</v>
      </c>
      <c r="B1564" s="4" t="s">
        <v>6175</v>
      </c>
      <c r="C1564" s="4" t="s">
        <v>6168</v>
      </c>
      <c r="D1564" s="4" t="s">
        <v>6039</v>
      </c>
      <c r="E1564" s="4" t="s">
        <v>6040</v>
      </c>
    </row>
    <row r="1565" spans="1:5">
      <c r="A1565" s="4" t="s">
        <v>6161</v>
      </c>
      <c r="B1565" s="4" t="s">
        <v>6175</v>
      </c>
      <c r="C1565" s="4" t="s">
        <v>6169</v>
      </c>
      <c r="D1565" s="4" t="s">
        <v>6033</v>
      </c>
      <c r="E1565" s="4" t="s">
        <v>6034</v>
      </c>
    </row>
    <row r="1566" spans="1:5">
      <c r="A1566" s="4" t="s">
        <v>6161</v>
      </c>
      <c r="B1566" s="4" t="s">
        <v>6175</v>
      </c>
      <c r="C1566" s="4" t="s">
        <v>6170</v>
      </c>
      <c r="D1566" s="4" t="s">
        <v>6033</v>
      </c>
      <c r="E1566" s="4" t="s">
        <v>6034</v>
      </c>
    </row>
    <row r="1567" spans="1:5">
      <c r="A1567" s="4" t="s">
        <v>6161</v>
      </c>
      <c r="B1567" s="4" t="s">
        <v>6175</v>
      </c>
      <c r="C1567" s="4" t="s">
        <v>6171</v>
      </c>
      <c r="D1567" s="4" t="s">
        <v>6033</v>
      </c>
      <c r="E1567" s="4" t="s">
        <v>6034</v>
      </c>
    </row>
    <row r="1568" spans="1:5">
      <c r="A1568" s="4" t="s">
        <v>6161</v>
      </c>
      <c r="B1568" s="4" t="s">
        <v>6175</v>
      </c>
      <c r="C1568" s="4" t="s">
        <v>6172</v>
      </c>
      <c r="D1568" s="4" t="s">
        <v>6033</v>
      </c>
      <c r="E1568" s="4" t="s">
        <v>6034</v>
      </c>
    </row>
    <row r="1569" spans="1:5">
      <c r="A1569" s="4" t="s">
        <v>6161</v>
      </c>
      <c r="B1569" s="4" t="s">
        <v>6175</v>
      </c>
      <c r="C1569" s="4" t="s">
        <v>6173</v>
      </c>
      <c r="D1569" s="4" t="s">
        <v>6033</v>
      </c>
      <c r="E1569" s="4" t="s">
        <v>6034</v>
      </c>
    </row>
    <row r="1570" spans="1:5">
      <c r="A1570" s="4" t="s">
        <v>6161</v>
      </c>
      <c r="B1570" s="4" t="s">
        <v>6175</v>
      </c>
      <c r="C1570" s="4" t="s">
        <v>6174</v>
      </c>
      <c r="D1570" s="4" t="s">
        <v>6033</v>
      </c>
      <c r="E1570" s="4" t="s">
        <v>6034</v>
      </c>
    </row>
    <row r="1571" spans="1:5">
      <c r="A1571" s="4" t="s">
        <v>6176</v>
      </c>
      <c r="B1571" s="4" t="s">
        <v>6177</v>
      </c>
      <c r="C1571" s="4" t="s">
        <v>6178</v>
      </c>
      <c r="D1571" s="4" t="s">
        <v>6033</v>
      </c>
      <c r="E1571" s="4" t="s">
        <v>6034</v>
      </c>
    </row>
    <row r="1572" spans="1:5">
      <c r="A1572" s="4" t="s">
        <v>6176</v>
      </c>
      <c r="B1572" s="4" t="s">
        <v>6179</v>
      </c>
      <c r="C1572" s="4" t="s">
        <v>6178</v>
      </c>
      <c r="D1572" s="4" t="s">
        <v>6033</v>
      </c>
      <c r="E1572" s="4" t="s">
        <v>6034</v>
      </c>
    </row>
    <row r="1573" spans="1:5">
      <c r="A1573" s="4" t="s">
        <v>6176</v>
      </c>
      <c r="B1573" s="4" t="s">
        <v>6179</v>
      </c>
      <c r="C1573" s="4" t="s">
        <v>6177</v>
      </c>
      <c r="D1573" s="4" t="s">
        <v>6033</v>
      </c>
      <c r="E1573" s="4" t="s">
        <v>6034</v>
      </c>
    </row>
    <row r="1574" spans="1:5">
      <c r="A1574" s="4" t="s">
        <v>6176</v>
      </c>
      <c r="B1574" s="4" t="s">
        <v>6180</v>
      </c>
      <c r="C1574" s="4" t="s">
        <v>6178</v>
      </c>
      <c r="D1574" s="4" t="s">
        <v>6033</v>
      </c>
      <c r="E1574" s="4" t="s">
        <v>6034</v>
      </c>
    </row>
    <row r="1575" spans="1:5">
      <c r="A1575" s="4" t="s">
        <v>6176</v>
      </c>
      <c r="B1575" s="4" t="s">
        <v>6180</v>
      </c>
      <c r="C1575" s="4" t="s">
        <v>6177</v>
      </c>
      <c r="D1575" s="4" t="s">
        <v>6033</v>
      </c>
      <c r="E1575" s="4" t="s">
        <v>6034</v>
      </c>
    </row>
    <row r="1576" spans="1:5">
      <c r="A1576" s="4" t="s">
        <v>6176</v>
      </c>
      <c r="B1576" s="4" t="s">
        <v>6180</v>
      </c>
      <c r="C1576" s="4" t="s">
        <v>6179</v>
      </c>
      <c r="D1576" s="4" t="s">
        <v>6033</v>
      </c>
      <c r="E1576" s="4" t="s">
        <v>6034</v>
      </c>
    </row>
    <row r="1577" spans="1:5">
      <c r="A1577" s="4" t="s">
        <v>6176</v>
      </c>
      <c r="B1577" s="4" t="s">
        <v>6180</v>
      </c>
      <c r="C1577" s="4" t="s">
        <v>6180</v>
      </c>
      <c r="D1577" s="4" t="s">
        <v>6033</v>
      </c>
      <c r="E1577" s="4" t="s">
        <v>6034</v>
      </c>
    </row>
    <row r="1578" spans="1:5">
      <c r="A1578" s="4" t="s">
        <v>6176</v>
      </c>
      <c r="B1578" s="4" t="s">
        <v>6181</v>
      </c>
      <c r="C1578" s="4" t="s">
        <v>6178</v>
      </c>
      <c r="D1578" s="4" t="s">
        <v>6033</v>
      </c>
      <c r="E1578" s="4" t="s">
        <v>6034</v>
      </c>
    </row>
    <row r="1579" spans="1:5">
      <c r="A1579" s="4" t="s">
        <v>6176</v>
      </c>
      <c r="B1579" s="4" t="s">
        <v>6181</v>
      </c>
      <c r="C1579" s="4" t="s">
        <v>6177</v>
      </c>
      <c r="D1579" s="4" t="s">
        <v>6033</v>
      </c>
      <c r="E1579" s="4" t="s">
        <v>6034</v>
      </c>
    </row>
    <row r="1580" spans="1:5">
      <c r="A1580" s="4" t="s">
        <v>6176</v>
      </c>
      <c r="B1580" s="4" t="s">
        <v>6181</v>
      </c>
      <c r="C1580" s="4" t="s">
        <v>6179</v>
      </c>
      <c r="D1580" s="4" t="s">
        <v>6033</v>
      </c>
      <c r="E1580" s="4" t="s">
        <v>6034</v>
      </c>
    </row>
    <row r="1581" spans="1:5">
      <c r="A1581" s="4" t="s">
        <v>6176</v>
      </c>
      <c r="B1581" s="4" t="s">
        <v>6181</v>
      </c>
      <c r="C1581" s="4" t="s">
        <v>6180</v>
      </c>
      <c r="D1581" s="4" t="s">
        <v>6033</v>
      </c>
      <c r="E1581" s="4" t="s">
        <v>6034</v>
      </c>
    </row>
    <row r="1582" spans="1:5">
      <c r="A1582" s="4" t="s">
        <v>6176</v>
      </c>
      <c r="B1582" s="4" t="s">
        <v>6181</v>
      </c>
      <c r="C1582" s="4" t="s">
        <v>6181</v>
      </c>
      <c r="D1582" s="4" t="s">
        <v>6033</v>
      </c>
      <c r="E1582" s="4" t="s">
        <v>6034</v>
      </c>
    </row>
    <row r="1583" spans="1:5">
      <c r="A1583" s="4" t="s">
        <v>6176</v>
      </c>
      <c r="B1583" s="4" t="s">
        <v>6182</v>
      </c>
      <c r="C1583" s="4" t="s">
        <v>6178</v>
      </c>
      <c r="D1583" s="4" t="s">
        <v>6033</v>
      </c>
      <c r="E1583" s="4" t="s">
        <v>6034</v>
      </c>
    </row>
    <row r="1584" spans="1:5">
      <c r="A1584" s="4" t="s">
        <v>6176</v>
      </c>
      <c r="B1584" s="4" t="s">
        <v>6182</v>
      </c>
      <c r="C1584" s="4" t="s">
        <v>6177</v>
      </c>
      <c r="D1584" s="4" t="s">
        <v>6033</v>
      </c>
      <c r="E1584" s="4" t="s">
        <v>6034</v>
      </c>
    </row>
    <row r="1585" spans="1:5">
      <c r="A1585" s="4" t="s">
        <v>6176</v>
      </c>
      <c r="B1585" s="4" t="s">
        <v>6182</v>
      </c>
      <c r="C1585" s="4" t="s">
        <v>6179</v>
      </c>
      <c r="D1585" s="4" t="s">
        <v>6033</v>
      </c>
      <c r="E1585" s="4" t="s">
        <v>6034</v>
      </c>
    </row>
    <row r="1586" spans="1:5">
      <c r="A1586" s="4" t="s">
        <v>6176</v>
      </c>
      <c r="B1586" s="4" t="s">
        <v>6182</v>
      </c>
      <c r="C1586" s="4" t="s">
        <v>6180</v>
      </c>
      <c r="D1586" s="4" t="s">
        <v>6033</v>
      </c>
      <c r="E1586" s="4" t="s">
        <v>6034</v>
      </c>
    </row>
    <row r="1587" spans="1:5">
      <c r="A1587" s="4" t="s">
        <v>6176</v>
      </c>
      <c r="B1587" s="4" t="s">
        <v>6182</v>
      </c>
      <c r="C1587" s="4" t="s">
        <v>6181</v>
      </c>
      <c r="D1587" s="4" t="s">
        <v>6033</v>
      </c>
      <c r="E1587" s="4" t="s">
        <v>6034</v>
      </c>
    </row>
    <row r="1588" spans="1:5">
      <c r="A1588" s="4" t="s">
        <v>6176</v>
      </c>
      <c r="B1588" s="4" t="s">
        <v>6183</v>
      </c>
      <c r="C1588" s="4" t="s">
        <v>6178</v>
      </c>
      <c r="D1588" s="4" t="s">
        <v>6033</v>
      </c>
      <c r="E1588" s="4" t="s">
        <v>6034</v>
      </c>
    </row>
    <row r="1589" spans="1:5">
      <c r="A1589" s="4" t="s">
        <v>6176</v>
      </c>
      <c r="B1589" s="4" t="s">
        <v>6183</v>
      </c>
      <c r="C1589" s="4" t="s">
        <v>6177</v>
      </c>
      <c r="D1589" s="4" t="s">
        <v>6033</v>
      </c>
      <c r="E1589" s="4" t="s">
        <v>6034</v>
      </c>
    </row>
    <row r="1590" spans="1:5">
      <c r="A1590" s="4" t="s">
        <v>6176</v>
      </c>
      <c r="B1590" s="4" t="s">
        <v>6183</v>
      </c>
      <c r="C1590" s="4" t="s">
        <v>6179</v>
      </c>
      <c r="D1590" s="4" t="s">
        <v>6033</v>
      </c>
      <c r="E1590" s="4" t="s">
        <v>6034</v>
      </c>
    </row>
    <row r="1591" spans="1:5">
      <c r="A1591" s="4" t="s">
        <v>6176</v>
      </c>
      <c r="B1591" s="4" t="s">
        <v>6183</v>
      </c>
      <c r="C1591" s="4" t="s">
        <v>6180</v>
      </c>
      <c r="D1591" s="4" t="s">
        <v>6033</v>
      </c>
      <c r="E1591" s="4" t="s">
        <v>6034</v>
      </c>
    </row>
    <row r="1592" spans="1:5">
      <c r="A1592" s="4" t="s">
        <v>6176</v>
      </c>
      <c r="B1592" s="4" t="s">
        <v>6183</v>
      </c>
      <c r="C1592" s="4" t="s">
        <v>6181</v>
      </c>
      <c r="D1592" s="4" t="s">
        <v>6033</v>
      </c>
      <c r="E1592" s="4" t="s">
        <v>6034</v>
      </c>
    </row>
    <row r="1593" spans="1:5">
      <c r="A1593" s="4" t="s">
        <v>6176</v>
      </c>
      <c r="B1593" s="4" t="s">
        <v>6183</v>
      </c>
      <c r="C1593" s="4" t="s">
        <v>6182</v>
      </c>
      <c r="D1593" s="4" t="s">
        <v>6033</v>
      </c>
      <c r="E1593" s="4" t="s">
        <v>6034</v>
      </c>
    </row>
    <row r="1594" spans="1:5">
      <c r="A1594" s="4" t="s">
        <v>6176</v>
      </c>
      <c r="B1594" s="4" t="s">
        <v>6184</v>
      </c>
      <c r="C1594" s="4" t="s">
        <v>6178</v>
      </c>
      <c r="D1594" s="4" t="s">
        <v>6033</v>
      </c>
      <c r="E1594" s="4" t="s">
        <v>6034</v>
      </c>
    </row>
    <row r="1595" spans="1:5">
      <c r="A1595" s="4" t="s">
        <v>6176</v>
      </c>
      <c r="B1595" s="4" t="s">
        <v>6184</v>
      </c>
      <c r="C1595" s="4" t="s">
        <v>6177</v>
      </c>
      <c r="D1595" s="4" t="s">
        <v>6033</v>
      </c>
      <c r="E1595" s="4" t="s">
        <v>6034</v>
      </c>
    </row>
    <row r="1596" spans="1:5">
      <c r="A1596" s="4" t="s">
        <v>6176</v>
      </c>
      <c r="B1596" s="4" t="s">
        <v>6184</v>
      </c>
      <c r="C1596" s="4" t="s">
        <v>6179</v>
      </c>
      <c r="D1596" s="4" t="s">
        <v>6033</v>
      </c>
      <c r="E1596" s="4" t="s">
        <v>6034</v>
      </c>
    </row>
    <row r="1597" spans="1:5">
      <c r="A1597" s="4" t="s">
        <v>6176</v>
      </c>
      <c r="B1597" s="4" t="s">
        <v>6184</v>
      </c>
      <c r="C1597" s="4" t="s">
        <v>6180</v>
      </c>
      <c r="D1597" s="4" t="s">
        <v>6033</v>
      </c>
      <c r="E1597" s="4" t="s">
        <v>6034</v>
      </c>
    </row>
    <row r="1598" spans="1:5">
      <c r="A1598" s="4" t="s">
        <v>6176</v>
      </c>
      <c r="B1598" s="4" t="s">
        <v>6184</v>
      </c>
      <c r="C1598" s="4" t="s">
        <v>6181</v>
      </c>
      <c r="D1598" s="4" t="s">
        <v>6033</v>
      </c>
      <c r="E1598" s="4" t="s">
        <v>6034</v>
      </c>
    </row>
    <row r="1599" spans="1:5">
      <c r="A1599" s="4" t="s">
        <v>6176</v>
      </c>
      <c r="B1599" s="4" t="s">
        <v>6184</v>
      </c>
      <c r="C1599" s="4" t="s">
        <v>6182</v>
      </c>
      <c r="D1599" s="4" t="s">
        <v>6033</v>
      </c>
      <c r="E1599" s="4" t="s">
        <v>6034</v>
      </c>
    </row>
    <row r="1600" spans="1:5">
      <c r="A1600" s="4" t="s">
        <v>6176</v>
      </c>
      <c r="B1600" s="4" t="s">
        <v>6184</v>
      </c>
      <c r="C1600" s="4" t="s">
        <v>6183</v>
      </c>
      <c r="D1600" s="4" t="s">
        <v>6033</v>
      </c>
      <c r="E1600" s="4" t="s">
        <v>6034</v>
      </c>
    </row>
    <row r="1601" spans="1:5">
      <c r="A1601" s="4" t="s">
        <v>6176</v>
      </c>
      <c r="B1601" s="4" t="s">
        <v>6185</v>
      </c>
      <c r="C1601" s="4" t="s">
        <v>6178</v>
      </c>
      <c r="D1601" s="4" t="s">
        <v>6033</v>
      </c>
      <c r="E1601" s="4" t="s">
        <v>6034</v>
      </c>
    </row>
    <row r="1602" spans="1:5">
      <c r="A1602" s="4" t="s">
        <v>6176</v>
      </c>
      <c r="B1602" s="4" t="s">
        <v>6185</v>
      </c>
      <c r="C1602" s="4" t="s">
        <v>6177</v>
      </c>
      <c r="D1602" s="4" t="s">
        <v>6033</v>
      </c>
      <c r="E1602" s="4" t="s">
        <v>6034</v>
      </c>
    </row>
    <row r="1603" spans="1:5">
      <c r="A1603" s="4" t="s">
        <v>6176</v>
      </c>
      <c r="B1603" s="4" t="s">
        <v>6185</v>
      </c>
      <c r="C1603" s="4" t="s">
        <v>6179</v>
      </c>
      <c r="D1603" s="4" t="s">
        <v>6033</v>
      </c>
      <c r="E1603" s="4" t="s">
        <v>6034</v>
      </c>
    </row>
    <row r="1604" spans="1:5">
      <c r="A1604" s="4" t="s">
        <v>6176</v>
      </c>
      <c r="B1604" s="4" t="s">
        <v>6185</v>
      </c>
      <c r="C1604" s="4" t="s">
        <v>6180</v>
      </c>
      <c r="D1604" s="4" t="s">
        <v>6033</v>
      </c>
      <c r="E1604" s="4" t="s">
        <v>6034</v>
      </c>
    </row>
    <row r="1605" spans="1:5">
      <c r="A1605" s="4" t="s">
        <v>6176</v>
      </c>
      <c r="B1605" s="4" t="s">
        <v>6185</v>
      </c>
      <c r="C1605" s="4" t="s">
        <v>6181</v>
      </c>
      <c r="D1605" s="4" t="s">
        <v>6033</v>
      </c>
      <c r="E1605" s="4" t="s">
        <v>6034</v>
      </c>
    </row>
    <row r="1606" spans="1:5">
      <c r="A1606" s="4" t="s">
        <v>6176</v>
      </c>
      <c r="B1606" s="4" t="s">
        <v>6185</v>
      </c>
      <c r="C1606" s="4" t="s">
        <v>6182</v>
      </c>
      <c r="D1606" s="4" t="s">
        <v>6033</v>
      </c>
      <c r="E1606" s="4" t="s">
        <v>6034</v>
      </c>
    </row>
    <row r="1607" spans="1:5">
      <c r="A1607" s="4" t="s">
        <v>6176</v>
      </c>
      <c r="B1607" s="4" t="s">
        <v>6185</v>
      </c>
      <c r="C1607" s="4" t="s">
        <v>6183</v>
      </c>
      <c r="D1607" s="4" t="s">
        <v>6033</v>
      </c>
      <c r="E1607" s="4" t="s">
        <v>6034</v>
      </c>
    </row>
    <row r="1608" spans="1:5">
      <c r="A1608" s="4" t="s">
        <v>6176</v>
      </c>
      <c r="B1608" s="4" t="s">
        <v>6185</v>
      </c>
      <c r="C1608" s="4" t="s">
        <v>6184</v>
      </c>
      <c r="D1608" s="4" t="s">
        <v>6033</v>
      </c>
      <c r="E1608" s="4" t="s">
        <v>6034</v>
      </c>
    </row>
    <row r="1609" spans="1:5">
      <c r="A1609" s="4" t="s">
        <v>6176</v>
      </c>
      <c r="B1609" s="4" t="s">
        <v>6186</v>
      </c>
      <c r="C1609" s="4" t="s">
        <v>6178</v>
      </c>
      <c r="D1609" s="4" t="s">
        <v>6033</v>
      </c>
      <c r="E1609" s="4" t="s">
        <v>6034</v>
      </c>
    </row>
    <row r="1610" spans="1:5">
      <c r="A1610" s="4" t="s">
        <v>6176</v>
      </c>
      <c r="B1610" s="4" t="s">
        <v>6186</v>
      </c>
      <c r="C1610" s="4" t="s">
        <v>6177</v>
      </c>
      <c r="D1610" s="4" t="s">
        <v>6033</v>
      </c>
      <c r="E1610" s="4" t="s">
        <v>6034</v>
      </c>
    </row>
    <row r="1611" spans="1:5">
      <c r="A1611" s="4" t="s">
        <v>6176</v>
      </c>
      <c r="B1611" s="4" t="s">
        <v>6186</v>
      </c>
      <c r="C1611" s="4" t="s">
        <v>6179</v>
      </c>
      <c r="D1611" s="4" t="s">
        <v>6033</v>
      </c>
      <c r="E1611" s="4" t="s">
        <v>6034</v>
      </c>
    </row>
    <row r="1612" spans="1:5">
      <c r="A1612" s="4" t="s">
        <v>6176</v>
      </c>
      <c r="B1612" s="4" t="s">
        <v>6186</v>
      </c>
      <c r="C1612" s="4" t="s">
        <v>6180</v>
      </c>
      <c r="D1612" s="4" t="s">
        <v>6033</v>
      </c>
      <c r="E1612" s="4" t="s">
        <v>6034</v>
      </c>
    </row>
    <row r="1613" spans="1:5">
      <c r="A1613" s="4" t="s">
        <v>6176</v>
      </c>
      <c r="B1613" s="4" t="s">
        <v>6186</v>
      </c>
      <c r="C1613" s="4" t="s">
        <v>6181</v>
      </c>
      <c r="D1613" s="4" t="s">
        <v>6033</v>
      </c>
      <c r="E1613" s="4" t="s">
        <v>6034</v>
      </c>
    </row>
    <row r="1614" spans="1:5">
      <c r="A1614" s="4" t="s">
        <v>6176</v>
      </c>
      <c r="B1614" s="4" t="s">
        <v>6186</v>
      </c>
      <c r="C1614" s="4" t="s">
        <v>6182</v>
      </c>
      <c r="D1614" s="4" t="s">
        <v>6033</v>
      </c>
      <c r="E1614" s="4" t="s">
        <v>6034</v>
      </c>
    </row>
    <row r="1615" spans="1:5">
      <c r="A1615" s="4" t="s">
        <v>6176</v>
      </c>
      <c r="B1615" s="4" t="s">
        <v>6186</v>
      </c>
      <c r="C1615" s="4" t="s">
        <v>6183</v>
      </c>
      <c r="D1615" s="4" t="s">
        <v>6033</v>
      </c>
      <c r="E1615" s="4" t="s">
        <v>6034</v>
      </c>
    </row>
    <row r="1616" spans="1:5">
      <c r="A1616" s="4" t="s">
        <v>6176</v>
      </c>
      <c r="B1616" s="4" t="s">
        <v>6186</v>
      </c>
      <c r="C1616" s="4" t="s">
        <v>6184</v>
      </c>
      <c r="D1616" s="4" t="s">
        <v>6033</v>
      </c>
      <c r="E1616" s="4" t="s">
        <v>6034</v>
      </c>
    </row>
    <row r="1617" spans="1:5">
      <c r="A1617" s="4" t="s">
        <v>6176</v>
      </c>
      <c r="B1617" s="4" t="s">
        <v>6186</v>
      </c>
      <c r="C1617" s="4" t="s">
        <v>6185</v>
      </c>
      <c r="D1617" s="4" t="s">
        <v>6033</v>
      </c>
      <c r="E1617" s="4" t="s">
        <v>6034</v>
      </c>
    </row>
    <row r="1618" spans="1:5">
      <c r="A1618" s="4" t="s">
        <v>6176</v>
      </c>
      <c r="B1618" s="4" t="s">
        <v>6187</v>
      </c>
      <c r="C1618" s="4" t="s">
        <v>6177</v>
      </c>
      <c r="D1618" s="4" t="s">
        <v>6033</v>
      </c>
      <c r="E1618" s="4" t="s">
        <v>6034</v>
      </c>
    </row>
    <row r="1619" spans="1:5">
      <c r="A1619" s="4" t="s">
        <v>6176</v>
      </c>
      <c r="B1619" s="4" t="s">
        <v>6187</v>
      </c>
      <c r="C1619" s="4" t="s">
        <v>6179</v>
      </c>
      <c r="D1619" s="4" t="s">
        <v>6033</v>
      </c>
      <c r="E1619" s="4" t="s">
        <v>6034</v>
      </c>
    </row>
    <row r="1620" spans="1:5">
      <c r="A1620" s="4" t="s">
        <v>6176</v>
      </c>
      <c r="B1620" s="4" t="s">
        <v>6187</v>
      </c>
      <c r="C1620" s="4" t="s">
        <v>6180</v>
      </c>
      <c r="D1620" s="4" t="s">
        <v>6033</v>
      </c>
      <c r="E1620" s="4" t="s">
        <v>6034</v>
      </c>
    </row>
    <row r="1621" spans="1:5">
      <c r="A1621" s="4" t="s">
        <v>6176</v>
      </c>
      <c r="B1621" s="4" t="s">
        <v>6187</v>
      </c>
      <c r="C1621" s="4" t="s">
        <v>6181</v>
      </c>
      <c r="D1621" s="4" t="s">
        <v>6033</v>
      </c>
      <c r="E1621" s="4" t="s">
        <v>6034</v>
      </c>
    </row>
    <row r="1622" spans="1:5">
      <c r="A1622" s="4" t="s">
        <v>6176</v>
      </c>
      <c r="B1622" s="4" t="s">
        <v>6187</v>
      </c>
      <c r="C1622" s="4" t="s">
        <v>6182</v>
      </c>
      <c r="D1622" s="4" t="s">
        <v>6033</v>
      </c>
      <c r="E1622" s="4" t="s">
        <v>6034</v>
      </c>
    </row>
    <row r="1623" spans="1:5">
      <c r="A1623" s="4" t="s">
        <v>6176</v>
      </c>
      <c r="B1623" s="4" t="s">
        <v>6187</v>
      </c>
      <c r="C1623" s="4" t="s">
        <v>6183</v>
      </c>
      <c r="D1623" s="4" t="s">
        <v>6033</v>
      </c>
      <c r="E1623" s="4" t="s">
        <v>6034</v>
      </c>
    </row>
    <row r="1624" spans="1:5">
      <c r="A1624" s="4" t="s">
        <v>6176</v>
      </c>
      <c r="B1624" s="4" t="s">
        <v>6187</v>
      </c>
      <c r="C1624" s="4" t="s">
        <v>6184</v>
      </c>
      <c r="D1624" s="4" t="s">
        <v>6033</v>
      </c>
      <c r="E1624" s="4" t="s">
        <v>6034</v>
      </c>
    </row>
    <row r="1625" spans="1:5">
      <c r="A1625" s="4" t="s">
        <v>6176</v>
      </c>
      <c r="B1625" s="4" t="s">
        <v>6187</v>
      </c>
      <c r="C1625" s="4" t="s">
        <v>6185</v>
      </c>
      <c r="D1625" s="4" t="s">
        <v>6033</v>
      </c>
      <c r="E1625" s="4" t="s">
        <v>6034</v>
      </c>
    </row>
    <row r="1626" spans="1:5">
      <c r="A1626" s="4" t="s">
        <v>6176</v>
      </c>
      <c r="B1626" s="4" t="s">
        <v>6187</v>
      </c>
      <c r="C1626" s="4" t="s">
        <v>6186</v>
      </c>
      <c r="D1626" s="4" t="s">
        <v>6033</v>
      </c>
      <c r="E1626" s="4" t="s">
        <v>6034</v>
      </c>
    </row>
    <row r="1627" spans="1:5">
      <c r="A1627" s="4" t="s">
        <v>6176</v>
      </c>
      <c r="B1627" s="4" t="s">
        <v>6188</v>
      </c>
      <c r="C1627" s="4" t="s">
        <v>6177</v>
      </c>
      <c r="D1627" s="4" t="s">
        <v>6033</v>
      </c>
      <c r="E1627" s="4" t="s">
        <v>6034</v>
      </c>
    </row>
    <row r="1628" spans="1:5">
      <c r="A1628" s="4" t="s">
        <v>6176</v>
      </c>
      <c r="B1628" s="4" t="s">
        <v>6188</v>
      </c>
      <c r="C1628" s="4" t="s">
        <v>6179</v>
      </c>
      <c r="D1628" s="4" t="s">
        <v>6033</v>
      </c>
      <c r="E1628" s="4" t="s">
        <v>6034</v>
      </c>
    </row>
    <row r="1629" spans="1:5">
      <c r="A1629" s="4" t="s">
        <v>6176</v>
      </c>
      <c r="B1629" s="4" t="s">
        <v>6188</v>
      </c>
      <c r="C1629" s="4" t="s">
        <v>6180</v>
      </c>
      <c r="D1629" s="4" t="s">
        <v>6033</v>
      </c>
      <c r="E1629" s="4" t="s">
        <v>6034</v>
      </c>
    </row>
    <row r="1630" spans="1:5">
      <c r="A1630" s="4" t="s">
        <v>6176</v>
      </c>
      <c r="B1630" s="4" t="s">
        <v>6188</v>
      </c>
      <c r="C1630" s="4" t="s">
        <v>6181</v>
      </c>
      <c r="D1630" s="4" t="s">
        <v>6033</v>
      </c>
      <c r="E1630" s="4" t="s">
        <v>6034</v>
      </c>
    </row>
    <row r="1631" spans="1:5">
      <c r="A1631" s="4" t="s">
        <v>6176</v>
      </c>
      <c r="B1631" s="4" t="s">
        <v>6188</v>
      </c>
      <c r="C1631" s="4" t="s">
        <v>6182</v>
      </c>
      <c r="D1631" s="4" t="s">
        <v>6033</v>
      </c>
      <c r="E1631" s="4" t="s">
        <v>6034</v>
      </c>
    </row>
    <row r="1632" spans="1:5">
      <c r="A1632" s="4" t="s">
        <v>6176</v>
      </c>
      <c r="B1632" s="4" t="s">
        <v>6188</v>
      </c>
      <c r="C1632" s="4" t="s">
        <v>6183</v>
      </c>
      <c r="D1632" s="4" t="s">
        <v>6033</v>
      </c>
      <c r="E1632" s="4" t="s">
        <v>6034</v>
      </c>
    </row>
    <row r="1633" spans="1:5">
      <c r="A1633" s="4" t="s">
        <v>6176</v>
      </c>
      <c r="B1633" s="4" t="s">
        <v>6188</v>
      </c>
      <c r="C1633" s="4" t="s">
        <v>6184</v>
      </c>
      <c r="D1633" s="4" t="s">
        <v>6033</v>
      </c>
      <c r="E1633" s="4" t="s">
        <v>6034</v>
      </c>
    </row>
    <row r="1634" spans="1:5">
      <c r="A1634" s="4" t="s">
        <v>6176</v>
      </c>
      <c r="B1634" s="4" t="s">
        <v>6188</v>
      </c>
      <c r="C1634" s="4" t="s">
        <v>6185</v>
      </c>
      <c r="D1634" s="4" t="s">
        <v>6033</v>
      </c>
      <c r="E1634" s="4" t="s">
        <v>6034</v>
      </c>
    </row>
    <row r="1635" spans="1:5">
      <c r="A1635" s="4" t="s">
        <v>6176</v>
      </c>
      <c r="B1635" s="4" t="s">
        <v>6188</v>
      </c>
      <c r="C1635" s="4" t="s">
        <v>6186</v>
      </c>
      <c r="D1635" s="4" t="s">
        <v>6033</v>
      </c>
      <c r="E1635" s="4" t="s">
        <v>6034</v>
      </c>
    </row>
    <row r="1636" spans="1:5">
      <c r="A1636" s="4" t="s">
        <v>6176</v>
      </c>
      <c r="B1636" s="4" t="s">
        <v>6188</v>
      </c>
      <c r="C1636" s="4" t="s">
        <v>6187</v>
      </c>
      <c r="D1636" s="4" t="s">
        <v>6033</v>
      </c>
      <c r="E1636" s="4" t="s">
        <v>6034</v>
      </c>
    </row>
    <row r="1637" spans="1:5">
      <c r="A1637" s="4" t="s">
        <v>6176</v>
      </c>
      <c r="B1637" s="4" t="s">
        <v>6189</v>
      </c>
      <c r="C1637" s="4" t="s">
        <v>6177</v>
      </c>
      <c r="D1637" s="4" t="s">
        <v>6033</v>
      </c>
      <c r="E1637" s="4" t="s">
        <v>6034</v>
      </c>
    </row>
    <row r="1638" spans="1:5">
      <c r="A1638" s="4" t="s">
        <v>6176</v>
      </c>
      <c r="B1638" s="4" t="s">
        <v>6189</v>
      </c>
      <c r="C1638" s="4" t="s">
        <v>6179</v>
      </c>
      <c r="D1638" s="4" t="s">
        <v>6033</v>
      </c>
      <c r="E1638" s="4" t="s">
        <v>6034</v>
      </c>
    </row>
    <row r="1639" spans="1:5">
      <c r="A1639" s="4" t="s">
        <v>6176</v>
      </c>
      <c r="B1639" s="4" t="s">
        <v>6189</v>
      </c>
      <c r="C1639" s="4" t="s">
        <v>6180</v>
      </c>
      <c r="D1639" s="4" t="s">
        <v>6033</v>
      </c>
      <c r="E1639" s="4" t="s">
        <v>6034</v>
      </c>
    </row>
    <row r="1640" spans="1:5">
      <c r="A1640" s="4" t="s">
        <v>6176</v>
      </c>
      <c r="B1640" s="4" t="s">
        <v>6189</v>
      </c>
      <c r="C1640" s="4" t="s">
        <v>6181</v>
      </c>
      <c r="D1640" s="4" t="s">
        <v>6033</v>
      </c>
      <c r="E1640" s="4" t="s">
        <v>6034</v>
      </c>
    </row>
    <row r="1641" spans="1:5">
      <c r="A1641" s="4" t="s">
        <v>6176</v>
      </c>
      <c r="B1641" s="4" t="s">
        <v>6189</v>
      </c>
      <c r="C1641" s="4" t="s">
        <v>6182</v>
      </c>
      <c r="D1641" s="4" t="s">
        <v>6033</v>
      </c>
      <c r="E1641" s="4" t="s">
        <v>6034</v>
      </c>
    </row>
    <row r="1642" spans="1:5">
      <c r="A1642" s="4" t="s">
        <v>6176</v>
      </c>
      <c r="B1642" s="4" t="s">
        <v>6189</v>
      </c>
      <c r="C1642" s="4" t="s">
        <v>6183</v>
      </c>
      <c r="D1642" s="4" t="s">
        <v>6033</v>
      </c>
      <c r="E1642" s="4" t="s">
        <v>6034</v>
      </c>
    </row>
    <row r="1643" spans="1:5">
      <c r="A1643" s="4" t="s">
        <v>6176</v>
      </c>
      <c r="B1643" s="4" t="s">
        <v>6189</v>
      </c>
      <c r="C1643" s="4" t="s">
        <v>6184</v>
      </c>
      <c r="D1643" s="4" t="s">
        <v>6033</v>
      </c>
      <c r="E1643" s="4" t="s">
        <v>6034</v>
      </c>
    </row>
    <row r="1644" spans="1:5">
      <c r="A1644" s="4" t="s">
        <v>6176</v>
      </c>
      <c r="B1644" s="4" t="s">
        <v>6189</v>
      </c>
      <c r="C1644" s="4" t="s">
        <v>6185</v>
      </c>
      <c r="D1644" s="4" t="s">
        <v>6033</v>
      </c>
      <c r="E1644" s="4" t="s">
        <v>6034</v>
      </c>
    </row>
    <row r="1645" spans="1:5">
      <c r="A1645" s="4" t="s">
        <v>6176</v>
      </c>
      <c r="B1645" s="4" t="s">
        <v>6189</v>
      </c>
      <c r="C1645" s="4" t="s">
        <v>6186</v>
      </c>
      <c r="D1645" s="4" t="s">
        <v>6033</v>
      </c>
      <c r="E1645" s="4" t="s">
        <v>6034</v>
      </c>
    </row>
    <row r="1646" spans="1:5">
      <c r="A1646" s="4" t="s">
        <v>6176</v>
      </c>
      <c r="B1646" s="4" t="s">
        <v>6189</v>
      </c>
      <c r="C1646" s="4" t="s">
        <v>6187</v>
      </c>
      <c r="D1646" s="4" t="s">
        <v>6033</v>
      </c>
      <c r="E1646" s="4" t="s">
        <v>6034</v>
      </c>
    </row>
    <row r="1647" spans="1:5">
      <c r="A1647" s="4" t="s">
        <v>6176</v>
      </c>
      <c r="B1647" s="4" t="s">
        <v>6189</v>
      </c>
      <c r="C1647" s="4" t="s">
        <v>6188</v>
      </c>
      <c r="D1647" s="4" t="s">
        <v>6033</v>
      </c>
      <c r="E1647" s="4" t="s">
        <v>6034</v>
      </c>
    </row>
    <row r="1648" spans="1:5">
      <c r="A1648" s="4" t="s">
        <v>6176</v>
      </c>
      <c r="B1648" s="4" t="s">
        <v>6190</v>
      </c>
      <c r="C1648" s="4" t="s">
        <v>6177</v>
      </c>
      <c r="D1648" s="4" t="s">
        <v>6033</v>
      </c>
      <c r="E1648" s="4" t="s">
        <v>6034</v>
      </c>
    </row>
    <row r="1649" spans="1:5">
      <c r="A1649" s="4" t="s">
        <v>6176</v>
      </c>
      <c r="B1649" s="4" t="s">
        <v>6190</v>
      </c>
      <c r="C1649" s="4" t="s">
        <v>6179</v>
      </c>
      <c r="D1649" s="4" t="s">
        <v>6033</v>
      </c>
      <c r="E1649" s="4" t="s">
        <v>6034</v>
      </c>
    </row>
    <row r="1650" spans="1:5">
      <c r="A1650" s="4" t="s">
        <v>6176</v>
      </c>
      <c r="B1650" s="4" t="s">
        <v>6190</v>
      </c>
      <c r="C1650" s="4" t="s">
        <v>6180</v>
      </c>
      <c r="D1650" s="4" t="s">
        <v>6033</v>
      </c>
      <c r="E1650" s="4" t="s">
        <v>6034</v>
      </c>
    </row>
    <row r="1651" spans="1:5">
      <c r="A1651" s="4" t="s">
        <v>6176</v>
      </c>
      <c r="B1651" s="4" t="s">
        <v>6190</v>
      </c>
      <c r="C1651" s="4" t="s">
        <v>6181</v>
      </c>
      <c r="D1651" s="4" t="s">
        <v>6033</v>
      </c>
      <c r="E1651" s="4" t="s">
        <v>6034</v>
      </c>
    </row>
    <row r="1652" spans="1:5">
      <c r="A1652" s="4" t="s">
        <v>6176</v>
      </c>
      <c r="B1652" s="4" t="s">
        <v>6190</v>
      </c>
      <c r="C1652" s="4" t="s">
        <v>6182</v>
      </c>
      <c r="D1652" s="4" t="s">
        <v>6033</v>
      </c>
      <c r="E1652" s="4" t="s">
        <v>6034</v>
      </c>
    </row>
    <row r="1653" spans="1:5">
      <c r="A1653" s="4" t="s">
        <v>6176</v>
      </c>
      <c r="B1653" s="4" t="s">
        <v>6190</v>
      </c>
      <c r="C1653" s="4" t="s">
        <v>6183</v>
      </c>
      <c r="D1653" s="4" t="s">
        <v>6033</v>
      </c>
      <c r="E1653" s="4" t="s">
        <v>6034</v>
      </c>
    </row>
    <row r="1654" spans="1:5">
      <c r="A1654" s="4" t="s">
        <v>6176</v>
      </c>
      <c r="B1654" s="4" t="s">
        <v>6190</v>
      </c>
      <c r="C1654" s="4" t="s">
        <v>6184</v>
      </c>
      <c r="D1654" s="4" t="s">
        <v>6033</v>
      </c>
      <c r="E1654" s="4" t="s">
        <v>6034</v>
      </c>
    </row>
    <row r="1655" spans="1:5">
      <c r="A1655" s="4" t="s">
        <v>6176</v>
      </c>
      <c r="B1655" s="4" t="s">
        <v>6190</v>
      </c>
      <c r="C1655" s="4" t="s">
        <v>6185</v>
      </c>
      <c r="D1655" s="4" t="s">
        <v>6033</v>
      </c>
      <c r="E1655" s="4" t="s">
        <v>6034</v>
      </c>
    </row>
    <row r="1656" spans="1:5">
      <c r="A1656" s="4" t="s">
        <v>6176</v>
      </c>
      <c r="B1656" s="4" t="s">
        <v>6190</v>
      </c>
      <c r="C1656" s="4" t="s">
        <v>6186</v>
      </c>
      <c r="D1656" s="4" t="s">
        <v>6033</v>
      </c>
      <c r="E1656" s="4" t="s">
        <v>6034</v>
      </c>
    </row>
    <row r="1657" spans="1:5">
      <c r="A1657" s="4" t="s">
        <v>6176</v>
      </c>
      <c r="B1657" s="4" t="s">
        <v>6190</v>
      </c>
      <c r="C1657" s="4" t="s">
        <v>6187</v>
      </c>
      <c r="D1657" s="4" t="s">
        <v>6033</v>
      </c>
      <c r="E1657" s="4" t="s">
        <v>6034</v>
      </c>
    </row>
    <row r="1658" spans="1:5">
      <c r="A1658" s="4" t="s">
        <v>6176</v>
      </c>
      <c r="B1658" s="4" t="s">
        <v>6190</v>
      </c>
      <c r="C1658" s="4" t="s">
        <v>6188</v>
      </c>
      <c r="D1658" s="4" t="s">
        <v>6033</v>
      </c>
      <c r="E1658" s="4" t="s">
        <v>6034</v>
      </c>
    </row>
    <row r="1659" spans="1:5">
      <c r="A1659" s="4" t="s">
        <v>6176</v>
      </c>
      <c r="B1659" s="4" t="s">
        <v>6190</v>
      </c>
      <c r="C1659" s="4" t="s">
        <v>6189</v>
      </c>
      <c r="D1659" s="4" t="s">
        <v>6033</v>
      </c>
      <c r="E1659" s="4" t="s">
        <v>6034</v>
      </c>
    </row>
    <row r="1660" spans="1:5">
      <c r="A1660" s="4" t="s">
        <v>6176</v>
      </c>
      <c r="B1660" s="4" t="s">
        <v>6191</v>
      </c>
      <c r="C1660" s="4" t="s">
        <v>6182</v>
      </c>
      <c r="D1660" s="4" t="s">
        <v>6033</v>
      </c>
      <c r="E1660" s="4" t="s">
        <v>6034</v>
      </c>
    </row>
    <row r="1661" spans="1:5">
      <c r="A1661" s="4" t="s">
        <v>6176</v>
      </c>
      <c r="B1661" s="4" t="s">
        <v>6191</v>
      </c>
      <c r="C1661" s="4" t="s">
        <v>6183</v>
      </c>
      <c r="D1661" s="4" t="s">
        <v>6033</v>
      </c>
      <c r="E1661" s="4" t="s">
        <v>6034</v>
      </c>
    </row>
    <row r="1662" spans="1:5">
      <c r="A1662" s="4" t="s">
        <v>6176</v>
      </c>
      <c r="B1662" s="4" t="s">
        <v>6191</v>
      </c>
      <c r="C1662" s="4" t="s">
        <v>6184</v>
      </c>
      <c r="D1662" s="4" t="s">
        <v>6033</v>
      </c>
      <c r="E1662" s="4" t="s">
        <v>6034</v>
      </c>
    </row>
    <row r="1663" spans="1:5">
      <c r="A1663" s="4" t="s">
        <v>6176</v>
      </c>
      <c r="B1663" s="4" t="s">
        <v>6191</v>
      </c>
      <c r="C1663" s="4" t="s">
        <v>6185</v>
      </c>
      <c r="D1663" s="4" t="s">
        <v>6033</v>
      </c>
      <c r="E1663" s="4" t="s">
        <v>6034</v>
      </c>
    </row>
    <row r="1664" spans="1:5">
      <c r="A1664" s="4" t="s">
        <v>6176</v>
      </c>
      <c r="B1664" s="4" t="s">
        <v>6191</v>
      </c>
      <c r="C1664" s="4" t="s">
        <v>6186</v>
      </c>
      <c r="D1664" s="4" t="s">
        <v>6033</v>
      </c>
      <c r="E1664" s="4" t="s">
        <v>6034</v>
      </c>
    </row>
    <row r="1665" spans="1:5">
      <c r="A1665" s="4" t="s">
        <v>6176</v>
      </c>
      <c r="B1665" s="4" t="s">
        <v>6191</v>
      </c>
      <c r="C1665" s="4" t="s">
        <v>6187</v>
      </c>
      <c r="D1665" s="4" t="s">
        <v>6033</v>
      </c>
      <c r="E1665" s="4" t="s">
        <v>6034</v>
      </c>
    </row>
    <row r="1666" spans="1:5">
      <c r="A1666" s="4" t="s">
        <v>6176</v>
      </c>
      <c r="B1666" s="4" t="s">
        <v>6191</v>
      </c>
      <c r="C1666" s="4" t="s">
        <v>6188</v>
      </c>
      <c r="D1666" s="4" t="s">
        <v>6033</v>
      </c>
      <c r="E1666" s="4" t="s">
        <v>6034</v>
      </c>
    </row>
    <row r="1667" spans="1:5">
      <c r="A1667" s="4" t="s">
        <v>6176</v>
      </c>
      <c r="B1667" s="4" t="s">
        <v>6191</v>
      </c>
      <c r="C1667" s="4" t="s">
        <v>6189</v>
      </c>
      <c r="D1667" s="4" t="s">
        <v>6033</v>
      </c>
      <c r="E1667" s="4" t="s">
        <v>6034</v>
      </c>
    </row>
    <row r="1668" spans="1:5">
      <c r="A1668" s="4" t="s">
        <v>6176</v>
      </c>
      <c r="B1668" s="4" t="s">
        <v>6191</v>
      </c>
      <c r="C1668" s="4" t="s">
        <v>6190</v>
      </c>
      <c r="D1668" s="4" t="s">
        <v>6033</v>
      </c>
      <c r="E1668" s="4" t="s">
        <v>6034</v>
      </c>
    </row>
    <row r="1669" spans="1:5">
      <c r="A1669" s="4" t="s">
        <v>6176</v>
      </c>
      <c r="B1669" s="4" t="s">
        <v>6192</v>
      </c>
      <c r="C1669" s="4" t="s">
        <v>6184</v>
      </c>
      <c r="D1669" s="4" t="s">
        <v>6033</v>
      </c>
      <c r="E1669" s="4" t="s">
        <v>6034</v>
      </c>
    </row>
    <row r="1670" spans="1:5">
      <c r="A1670" s="4" t="s">
        <v>6176</v>
      </c>
      <c r="B1670" s="4" t="s">
        <v>6192</v>
      </c>
      <c r="C1670" s="4" t="s">
        <v>6185</v>
      </c>
      <c r="D1670" s="4" t="s">
        <v>6033</v>
      </c>
      <c r="E1670" s="4" t="s">
        <v>6034</v>
      </c>
    </row>
    <row r="1671" spans="1:5">
      <c r="A1671" s="4" t="s">
        <v>6176</v>
      </c>
      <c r="B1671" s="4" t="s">
        <v>6192</v>
      </c>
      <c r="C1671" s="4" t="s">
        <v>6186</v>
      </c>
      <c r="D1671" s="4" t="s">
        <v>6033</v>
      </c>
      <c r="E1671" s="4" t="s">
        <v>6034</v>
      </c>
    </row>
    <row r="1672" spans="1:5">
      <c r="A1672" s="4" t="s">
        <v>6176</v>
      </c>
      <c r="B1672" s="4" t="s">
        <v>6192</v>
      </c>
      <c r="C1672" s="4" t="s">
        <v>6187</v>
      </c>
      <c r="D1672" s="4" t="s">
        <v>6033</v>
      </c>
      <c r="E1672" s="4" t="s">
        <v>6034</v>
      </c>
    </row>
    <row r="1673" spans="1:5">
      <c r="A1673" s="4" t="s">
        <v>6176</v>
      </c>
      <c r="B1673" s="4" t="s">
        <v>6192</v>
      </c>
      <c r="C1673" s="4" t="s">
        <v>6188</v>
      </c>
      <c r="D1673" s="4" t="s">
        <v>6033</v>
      </c>
      <c r="E1673" s="4" t="s">
        <v>6034</v>
      </c>
    </row>
    <row r="1674" spans="1:5">
      <c r="A1674" s="4" t="s">
        <v>6176</v>
      </c>
      <c r="B1674" s="4" t="s">
        <v>6192</v>
      </c>
      <c r="C1674" s="4" t="s">
        <v>6189</v>
      </c>
      <c r="D1674" s="4" t="s">
        <v>6033</v>
      </c>
      <c r="E1674" s="4" t="s">
        <v>6034</v>
      </c>
    </row>
    <row r="1675" spans="1:5">
      <c r="A1675" s="4" t="s">
        <v>6176</v>
      </c>
      <c r="B1675" s="4" t="s">
        <v>6192</v>
      </c>
      <c r="C1675" s="4" t="s">
        <v>6190</v>
      </c>
      <c r="D1675" s="4" t="s">
        <v>6033</v>
      </c>
      <c r="E1675" s="4" t="s">
        <v>6034</v>
      </c>
    </row>
    <row r="1676" spans="1:5">
      <c r="A1676" s="4" t="s">
        <v>6176</v>
      </c>
      <c r="B1676" s="4" t="s">
        <v>6192</v>
      </c>
      <c r="C1676" s="4" t="s">
        <v>6191</v>
      </c>
      <c r="D1676" s="4" t="s">
        <v>6033</v>
      </c>
      <c r="E1676" s="4" t="s">
        <v>6034</v>
      </c>
    </row>
    <row r="1677" spans="1:5">
      <c r="A1677" s="4" t="s">
        <v>6176</v>
      </c>
      <c r="B1677" s="4" t="s">
        <v>6193</v>
      </c>
      <c r="C1677" s="4" t="s">
        <v>6184</v>
      </c>
      <c r="D1677" s="4" t="s">
        <v>6033</v>
      </c>
      <c r="E1677" s="4" t="s">
        <v>6034</v>
      </c>
    </row>
    <row r="1678" spans="1:5">
      <c r="A1678" s="4" t="s">
        <v>6176</v>
      </c>
      <c r="B1678" s="4" t="s">
        <v>6193</v>
      </c>
      <c r="C1678" s="4" t="s">
        <v>6185</v>
      </c>
      <c r="D1678" s="4" t="s">
        <v>6033</v>
      </c>
      <c r="E1678" s="4" t="s">
        <v>6034</v>
      </c>
    </row>
    <row r="1679" spans="1:5">
      <c r="A1679" s="4" t="s">
        <v>6176</v>
      </c>
      <c r="B1679" s="4" t="s">
        <v>6193</v>
      </c>
      <c r="C1679" s="4" t="s">
        <v>6186</v>
      </c>
      <c r="D1679" s="4" t="s">
        <v>6033</v>
      </c>
      <c r="E1679" s="4" t="s">
        <v>6034</v>
      </c>
    </row>
    <row r="1680" spans="1:5">
      <c r="A1680" s="4" t="s">
        <v>6176</v>
      </c>
      <c r="B1680" s="4" t="s">
        <v>6193</v>
      </c>
      <c r="C1680" s="4" t="s">
        <v>6187</v>
      </c>
      <c r="D1680" s="4" t="s">
        <v>6033</v>
      </c>
      <c r="E1680" s="4" t="s">
        <v>6034</v>
      </c>
    </row>
    <row r="1681" spans="1:5">
      <c r="A1681" s="4" t="s">
        <v>6176</v>
      </c>
      <c r="B1681" s="4" t="s">
        <v>6193</v>
      </c>
      <c r="C1681" s="4" t="s">
        <v>6188</v>
      </c>
      <c r="D1681" s="4" t="s">
        <v>6033</v>
      </c>
      <c r="E1681" s="4" t="s">
        <v>6034</v>
      </c>
    </row>
    <row r="1682" spans="1:5">
      <c r="A1682" s="4" t="s">
        <v>6176</v>
      </c>
      <c r="B1682" s="4" t="s">
        <v>6193</v>
      </c>
      <c r="C1682" s="4" t="s">
        <v>6189</v>
      </c>
      <c r="D1682" s="4" t="s">
        <v>6033</v>
      </c>
      <c r="E1682" s="4" t="s">
        <v>6034</v>
      </c>
    </row>
    <row r="1683" spans="1:5">
      <c r="A1683" s="4" t="s">
        <v>6176</v>
      </c>
      <c r="B1683" s="4" t="s">
        <v>6193</v>
      </c>
      <c r="C1683" s="4" t="s">
        <v>6190</v>
      </c>
      <c r="D1683" s="4" t="s">
        <v>6033</v>
      </c>
      <c r="E1683" s="4" t="s">
        <v>6034</v>
      </c>
    </row>
    <row r="1684" spans="1:5">
      <c r="A1684" s="4" t="s">
        <v>6176</v>
      </c>
      <c r="B1684" s="4" t="s">
        <v>6193</v>
      </c>
      <c r="C1684" s="4" t="s">
        <v>6191</v>
      </c>
      <c r="D1684" s="4" t="s">
        <v>6033</v>
      </c>
      <c r="E1684" s="4" t="s">
        <v>6034</v>
      </c>
    </row>
    <row r="1685" spans="1:5">
      <c r="A1685" s="4" t="s">
        <v>6176</v>
      </c>
      <c r="B1685" s="4" t="s">
        <v>6193</v>
      </c>
      <c r="C1685" s="4" t="s">
        <v>6192</v>
      </c>
      <c r="D1685" s="4" t="s">
        <v>6033</v>
      </c>
      <c r="E1685" s="4" t="s">
        <v>6034</v>
      </c>
    </row>
    <row r="1686" spans="1:5">
      <c r="A1686" s="4" t="s">
        <v>6194</v>
      </c>
      <c r="B1686" s="4" t="s">
        <v>6195</v>
      </c>
      <c r="C1686" s="4" t="s">
        <v>6196</v>
      </c>
      <c r="D1686" s="4" t="s">
        <v>6033</v>
      </c>
      <c r="E1686" s="4" t="s">
        <v>6034</v>
      </c>
    </row>
    <row r="1687" spans="1:5">
      <c r="A1687" s="4" t="s">
        <v>6194</v>
      </c>
      <c r="B1687" s="4" t="s">
        <v>6197</v>
      </c>
      <c r="C1687" s="4" t="s">
        <v>6196</v>
      </c>
      <c r="D1687" s="4" t="s">
        <v>6033</v>
      </c>
      <c r="E1687" s="4" t="s">
        <v>6034</v>
      </c>
    </row>
    <row r="1688" spans="1:5">
      <c r="A1688" s="4" t="s">
        <v>6194</v>
      </c>
      <c r="B1688" s="4" t="s">
        <v>6197</v>
      </c>
      <c r="C1688" s="4" t="s">
        <v>6195</v>
      </c>
      <c r="D1688" s="4" t="s">
        <v>6033</v>
      </c>
      <c r="E1688" s="4" t="s">
        <v>6034</v>
      </c>
    </row>
    <row r="1689" spans="1:5">
      <c r="A1689" s="4" t="s">
        <v>6194</v>
      </c>
      <c r="B1689" s="4" t="s">
        <v>6198</v>
      </c>
      <c r="C1689" s="4" t="s">
        <v>6196</v>
      </c>
      <c r="D1689" s="4" t="s">
        <v>6033</v>
      </c>
      <c r="E1689" s="4" t="s">
        <v>6034</v>
      </c>
    </row>
    <row r="1690" spans="1:5">
      <c r="A1690" s="4" t="s">
        <v>6194</v>
      </c>
      <c r="B1690" s="4" t="s">
        <v>6198</v>
      </c>
      <c r="C1690" s="4" t="s">
        <v>6195</v>
      </c>
      <c r="D1690" s="4" t="s">
        <v>6033</v>
      </c>
      <c r="E1690" s="4" t="s">
        <v>6034</v>
      </c>
    </row>
    <row r="1691" spans="1:5">
      <c r="A1691" s="4" t="s">
        <v>6194</v>
      </c>
      <c r="B1691" s="4" t="s">
        <v>6198</v>
      </c>
      <c r="C1691" s="4" t="s">
        <v>6197</v>
      </c>
      <c r="D1691" s="4" t="s">
        <v>6033</v>
      </c>
      <c r="E1691" s="4" t="s">
        <v>6034</v>
      </c>
    </row>
    <row r="1692" spans="1:5">
      <c r="A1692" s="4" t="s">
        <v>6194</v>
      </c>
      <c r="B1692" s="4" t="s">
        <v>6199</v>
      </c>
      <c r="C1692" s="4" t="s">
        <v>6195</v>
      </c>
      <c r="D1692" s="4" t="s">
        <v>6033</v>
      </c>
      <c r="E1692" s="4" t="s">
        <v>6034</v>
      </c>
    </row>
    <row r="1693" spans="1:5">
      <c r="A1693" s="4" t="s">
        <v>6194</v>
      </c>
      <c r="B1693" s="4" t="s">
        <v>6199</v>
      </c>
      <c r="C1693" s="4" t="s">
        <v>6197</v>
      </c>
      <c r="D1693" s="4" t="s">
        <v>6039</v>
      </c>
      <c r="E1693" s="4" t="s">
        <v>6040</v>
      </c>
    </row>
    <row r="1694" spans="1:5">
      <c r="A1694" s="4" t="s">
        <v>6194</v>
      </c>
      <c r="B1694" s="4" t="s">
        <v>6199</v>
      </c>
      <c r="C1694" s="4" t="s">
        <v>6198</v>
      </c>
      <c r="D1694" s="4" t="s">
        <v>6039</v>
      </c>
      <c r="E1694" s="4" t="s">
        <v>6040</v>
      </c>
    </row>
    <row r="1695" spans="1:5">
      <c r="A1695" s="4" t="s">
        <v>6194</v>
      </c>
      <c r="B1695" s="4" t="s">
        <v>6200</v>
      </c>
      <c r="C1695" s="4" t="s">
        <v>6195</v>
      </c>
      <c r="D1695" s="4" t="s">
        <v>6033</v>
      </c>
      <c r="E1695" s="4" t="s">
        <v>6034</v>
      </c>
    </row>
    <row r="1696" spans="1:5">
      <c r="A1696" s="4" t="s">
        <v>6194</v>
      </c>
      <c r="B1696" s="4" t="s">
        <v>6200</v>
      </c>
      <c r="C1696" s="4" t="s">
        <v>6197</v>
      </c>
      <c r="D1696" s="4" t="s">
        <v>6033</v>
      </c>
      <c r="E1696" s="4" t="s">
        <v>6034</v>
      </c>
    </row>
    <row r="1697" spans="1:5">
      <c r="A1697" s="4" t="s">
        <v>6194</v>
      </c>
      <c r="B1697" s="4" t="s">
        <v>6200</v>
      </c>
      <c r="C1697" s="4" t="s">
        <v>6198</v>
      </c>
      <c r="D1697" s="4" t="s">
        <v>6039</v>
      </c>
      <c r="E1697" s="4" t="s">
        <v>6040</v>
      </c>
    </row>
    <row r="1698" spans="1:5">
      <c r="A1698" s="4" t="s">
        <v>6194</v>
      </c>
      <c r="B1698" s="4" t="s">
        <v>6200</v>
      </c>
      <c r="C1698" s="4" t="s">
        <v>6199</v>
      </c>
      <c r="D1698" s="4" t="s">
        <v>6033</v>
      </c>
      <c r="E1698" s="4" t="s">
        <v>6034</v>
      </c>
    </row>
    <row r="1699" spans="1:5">
      <c r="A1699" s="4" t="s">
        <v>6194</v>
      </c>
      <c r="B1699" s="4" t="s">
        <v>6201</v>
      </c>
      <c r="C1699" s="4" t="s">
        <v>6195</v>
      </c>
      <c r="D1699" s="4" t="s">
        <v>6033</v>
      </c>
      <c r="E1699" s="4" t="s">
        <v>6034</v>
      </c>
    </row>
    <row r="1700" spans="1:5">
      <c r="A1700" s="4" t="s">
        <v>6194</v>
      </c>
      <c r="B1700" s="4" t="s">
        <v>6201</v>
      </c>
      <c r="C1700" s="4" t="s">
        <v>6197</v>
      </c>
      <c r="D1700" s="4" t="s">
        <v>6033</v>
      </c>
      <c r="E1700" s="4" t="s">
        <v>6034</v>
      </c>
    </row>
    <row r="1701" spans="1:5">
      <c r="A1701" s="4" t="s">
        <v>6194</v>
      </c>
      <c r="B1701" s="4" t="s">
        <v>6201</v>
      </c>
      <c r="C1701" s="4" t="s">
        <v>6198</v>
      </c>
      <c r="D1701" s="4" t="s">
        <v>6039</v>
      </c>
      <c r="E1701" s="4" t="s">
        <v>6040</v>
      </c>
    </row>
    <row r="1702" spans="1:5">
      <c r="A1702" s="4" t="s">
        <v>6194</v>
      </c>
      <c r="B1702" s="4" t="s">
        <v>6201</v>
      </c>
      <c r="C1702" s="4" t="s">
        <v>6199</v>
      </c>
      <c r="D1702" s="4" t="s">
        <v>6033</v>
      </c>
      <c r="E1702" s="4" t="s">
        <v>6034</v>
      </c>
    </row>
    <row r="1703" spans="1:5">
      <c r="A1703" s="4" t="s">
        <v>6194</v>
      </c>
      <c r="B1703" s="4" t="s">
        <v>6201</v>
      </c>
      <c r="C1703" s="4" t="s">
        <v>6200</v>
      </c>
      <c r="D1703" s="4" t="s">
        <v>6033</v>
      </c>
      <c r="E1703" s="4" t="s">
        <v>6034</v>
      </c>
    </row>
    <row r="1704" spans="1:5">
      <c r="A1704" s="4" t="s">
        <v>6194</v>
      </c>
      <c r="B1704" s="4" t="s">
        <v>6202</v>
      </c>
      <c r="C1704" s="4" t="s">
        <v>6199</v>
      </c>
      <c r="D1704" s="4" t="s">
        <v>6033</v>
      </c>
      <c r="E1704" s="4" t="s">
        <v>6034</v>
      </c>
    </row>
    <row r="1705" spans="1:5">
      <c r="A1705" s="4" t="s">
        <v>6194</v>
      </c>
      <c r="B1705" s="4" t="s">
        <v>6202</v>
      </c>
      <c r="C1705" s="4" t="s">
        <v>6200</v>
      </c>
      <c r="D1705" s="4" t="s">
        <v>6033</v>
      </c>
      <c r="E1705" s="4" t="s">
        <v>6034</v>
      </c>
    </row>
    <row r="1706" spans="1:5">
      <c r="A1706" s="4" t="s">
        <v>6194</v>
      </c>
      <c r="B1706" s="4" t="s">
        <v>6202</v>
      </c>
      <c r="C1706" s="4" t="s">
        <v>6201</v>
      </c>
      <c r="D1706" s="4" t="s">
        <v>6039</v>
      </c>
      <c r="E1706" s="4" t="s">
        <v>6040</v>
      </c>
    </row>
    <row r="1707" spans="1:5">
      <c r="A1707" s="4" t="s">
        <v>6194</v>
      </c>
      <c r="B1707" s="4" t="s">
        <v>6203</v>
      </c>
      <c r="C1707" s="4" t="s">
        <v>6199</v>
      </c>
      <c r="D1707" s="4" t="s">
        <v>6033</v>
      </c>
      <c r="E1707" s="4" t="s">
        <v>6034</v>
      </c>
    </row>
    <row r="1708" spans="1:5">
      <c r="A1708" s="4" t="s">
        <v>6194</v>
      </c>
      <c r="B1708" s="4" t="s">
        <v>6203</v>
      </c>
      <c r="C1708" s="4" t="s">
        <v>6200</v>
      </c>
      <c r="D1708" s="4" t="s">
        <v>6033</v>
      </c>
      <c r="E1708" s="4" t="s">
        <v>6034</v>
      </c>
    </row>
    <row r="1709" spans="1:5">
      <c r="A1709" s="4" t="s">
        <v>6194</v>
      </c>
      <c r="B1709" s="4" t="s">
        <v>6203</v>
      </c>
      <c r="C1709" s="4" t="s">
        <v>6201</v>
      </c>
      <c r="D1709" s="4" t="s">
        <v>6033</v>
      </c>
      <c r="E1709" s="4" t="s">
        <v>6034</v>
      </c>
    </row>
    <row r="1710" spans="1:5">
      <c r="A1710" s="4" t="s">
        <v>6194</v>
      </c>
      <c r="B1710" s="4" t="s">
        <v>6204</v>
      </c>
      <c r="C1710" s="4" t="s">
        <v>6199</v>
      </c>
      <c r="D1710" s="4" t="s">
        <v>6033</v>
      </c>
      <c r="E1710" s="4" t="s">
        <v>6034</v>
      </c>
    </row>
    <row r="1711" spans="1:5">
      <c r="A1711" s="4" t="s">
        <v>6194</v>
      </c>
      <c r="B1711" s="4" t="s">
        <v>6204</v>
      </c>
      <c r="C1711" s="4" t="s">
        <v>6200</v>
      </c>
      <c r="D1711" s="4" t="s">
        <v>6033</v>
      </c>
      <c r="E1711" s="4" t="s">
        <v>6034</v>
      </c>
    </row>
    <row r="1712" spans="1:5">
      <c r="A1712" s="4" t="s">
        <v>6194</v>
      </c>
      <c r="B1712" s="4" t="s">
        <v>6204</v>
      </c>
      <c r="C1712" s="4" t="s">
        <v>6201</v>
      </c>
      <c r="D1712" s="4" t="s">
        <v>6033</v>
      </c>
      <c r="E1712" s="4" t="s">
        <v>6034</v>
      </c>
    </row>
    <row r="1713" spans="1:5">
      <c r="A1713" s="4" t="s">
        <v>6194</v>
      </c>
      <c r="B1713" s="4" t="s">
        <v>6204</v>
      </c>
      <c r="C1713" s="4" t="s">
        <v>6203</v>
      </c>
      <c r="D1713" s="4" t="s">
        <v>6033</v>
      </c>
      <c r="E1713" s="4" t="s">
        <v>6034</v>
      </c>
    </row>
    <row r="1714" spans="1:5">
      <c r="A1714" s="4" t="s">
        <v>6194</v>
      </c>
      <c r="B1714" s="4" t="s">
        <v>6205</v>
      </c>
      <c r="C1714" s="4" t="s">
        <v>6200</v>
      </c>
      <c r="D1714" s="4" t="s">
        <v>6039</v>
      </c>
      <c r="E1714" s="4" t="s">
        <v>6040</v>
      </c>
    </row>
    <row r="1715" spans="1:5">
      <c r="A1715" s="4" t="s">
        <v>6194</v>
      </c>
      <c r="B1715" s="4" t="s">
        <v>6205</v>
      </c>
      <c r="C1715" s="4" t="s">
        <v>6201</v>
      </c>
      <c r="D1715" s="4" t="s">
        <v>6039</v>
      </c>
      <c r="E1715" s="4" t="s">
        <v>6040</v>
      </c>
    </row>
    <row r="1716" spans="1:5">
      <c r="A1716" s="4" t="s">
        <v>6194</v>
      </c>
      <c r="B1716" s="4" t="s">
        <v>6205</v>
      </c>
      <c r="C1716" s="4" t="s">
        <v>6202</v>
      </c>
      <c r="D1716" s="4" t="s">
        <v>6033</v>
      </c>
      <c r="E1716" s="4" t="s">
        <v>6034</v>
      </c>
    </row>
    <row r="1717" spans="1:5">
      <c r="A1717" s="4" t="s">
        <v>6194</v>
      </c>
      <c r="B1717" s="4" t="s">
        <v>6205</v>
      </c>
      <c r="C1717" s="4" t="s">
        <v>6203</v>
      </c>
      <c r="D1717" s="4" t="s">
        <v>6039</v>
      </c>
      <c r="E1717" s="4" t="s">
        <v>6040</v>
      </c>
    </row>
    <row r="1718" spans="1:5">
      <c r="A1718" s="4" t="s">
        <v>6194</v>
      </c>
      <c r="B1718" s="4" t="s">
        <v>6205</v>
      </c>
      <c r="C1718" s="4" t="s">
        <v>6204</v>
      </c>
      <c r="D1718" s="4" t="s">
        <v>6039</v>
      </c>
      <c r="E1718" s="4" t="s">
        <v>6040</v>
      </c>
    </row>
    <row r="1719" spans="1:5">
      <c r="A1719" s="4" t="s">
        <v>6194</v>
      </c>
      <c r="B1719" s="4" t="s">
        <v>6206</v>
      </c>
      <c r="C1719" s="4" t="s">
        <v>6202</v>
      </c>
      <c r="D1719" s="4" t="s">
        <v>6033</v>
      </c>
      <c r="E1719" s="4" t="s">
        <v>6034</v>
      </c>
    </row>
    <row r="1720" spans="1:5">
      <c r="A1720" s="4" t="s">
        <v>6194</v>
      </c>
      <c r="B1720" s="4" t="s">
        <v>6206</v>
      </c>
      <c r="C1720" s="4" t="s">
        <v>6203</v>
      </c>
      <c r="D1720" s="4" t="s">
        <v>6033</v>
      </c>
      <c r="E1720" s="4" t="s">
        <v>6034</v>
      </c>
    </row>
    <row r="1721" spans="1:5">
      <c r="A1721" s="4" t="s">
        <v>6194</v>
      </c>
      <c r="B1721" s="4" t="s">
        <v>6206</v>
      </c>
      <c r="C1721" s="4" t="s">
        <v>6204</v>
      </c>
      <c r="D1721" s="4" t="s">
        <v>6039</v>
      </c>
      <c r="E1721" s="4" t="s">
        <v>6040</v>
      </c>
    </row>
    <row r="1722" spans="1:5">
      <c r="A1722" s="4" t="s">
        <v>6194</v>
      </c>
      <c r="B1722" s="4" t="s">
        <v>6207</v>
      </c>
      <c r="C1722" s="4" t="s">
        <v>6202</v>
      </c>
      <c r="D1722" s="4" t="s">
        <v>6033</v>
      </c>
      <c r="E1722" s="4" t="s">
        <v>6034</v>
      </c>
    </row>
    <row r="1723" spans="1:5">
      <c r="A1723" s="4" t="s">
        <v>6194</v>
      </c>
      <c r="B1723" s="4" t="s">
        <v>6207</v>
      </c>
      <c r="C1723" s="4" t="s">
        <v>6203</v>
      </c>
      <c r="D1723" s="4" t="s">
        <v>6033</v>
      </c>
      <c r="E1723" s="4" t="s">
        <v>6034</v>
      </c>
    </row>
    <row r="1724" spans="1:5">
      <c r="A1724" s="4" t="s">
        <v>6194</v>
      </c>
      <c r="B1724" s="4" t="s">
        <v>6207</v>
      </c>
      <c r="C1724" s="4" t="s">
        <v>6204</v>
      </c>
      <c r="D1724" s="4" t="s">
        <v>6033</v>
      </c>
      <c r="E1724" s="4" t="s">
        <v>6034</v>
      </c>
    </row>
    <row r="1725" spans="1:5">
      <c r="A1725" s="4" t="s">
        <v>6194</v>
      </c>
      <c r="B1725" s="4" t="s">
        <v>6207</v>
      </c>
      <c r="C1725" s="4" t="s">
        <v>6206</v>
      </c>
      <c r="D1725" s="4" t="s">
        <v>6033</v>
      </c>
      <c r="E1725" s="4" t="s">
        <v>6034</v>
      </c>
    </row>
    <row r="1726" spans="1:5">
      <c r="A1726" s="4" t="s">
        <v>6194</v>
      </c>
      <c r="B1726" s="4" t="s">
        <v>6208</v>
      </c>
      <c r="C1726" s="4" t="s">
        <v>6202</v>
      </c>
      <c r="D1726" s="4" t="s">
        <v>6033</v>
      </c>
      <c r="E1726" s="4" t="s">
        <v>6034</v>
      </c>
    </row>
    <row r="1727" spans="1:5">
      <c r="A1727" s="4" t="s">
        <v>6194</v>
      </c>
      <c r="B1727" s="4" t="s">
        <v>6208</v>
      </c>
      <c r="C1727" s="4" t="s">
        <v>6203</v>
      </c>
      <c r="D1727" s="4" t="s">
        <v>6033</v>
      </c>
      <c r="E1727" s="4" t="s">
        <v>6034</v>
      </c>
    </row>
    <row r="1728" spans="1:5">
      <c r="A1728" s="4" t="s">
        <v>6194</v>
      </c>
      <c r="B1728" s="4" t="s">
        <v>6208</v>
      </c>
      <c r="C1728" s="4" t="s">
        <v>6204</v>
      </c>
      <c r="D1728" s="4" t="s">
        <v>6033</v>
      </c>
      <c r="E1728" s="4" t="s">
        <v>6034</v>
      </c>
    </row>
    <row r="1729" spans="1:5">
      <c r="A1729" s="4" t="s">
        <v>6194</v>
      </c>
      <c r="B1729" s="4" t="s">
        <v>6208</v>
      </c>
      <c r="C1729" s="4" t="s">
        <v>6206</v>
      </c>
      <c r="D1729" s="4" t="s">
        <v>6033</v>
      </c>
      <c r="E1729" s="4" t="s">
        <v>6034</v>
      </c>
    </row>
    <row r="1730" spans="1:5">
      <c r="A1730" s="4" t="s">
        <v>6194</v>
      </c>
      <c r="B1730" s="4" t="s">
        <v>6208</v>
      </c>
      <c r="C1730" s="4" t="s">
        <v>6207</v>
      </c>
      <c r="D1730" s="4" t="s">
        <v>6033</v>
      </c>
      <c r="E1730" s="4" t="s">
        <v>6034</v>
      </c>
    </row>
    <row r="1731" spans="1:5">
      <c r="A1731" s="4" t="s">
        <v>6194</v>
      </c>
      <c r="B1731" s="4" t="s">
        <v>6209</v>
      </c>
      <c r="C1731" s="4" t="s">
        <v>6200</v>
      </c>
      <c r="D1731" s="4" t="s">
        <v>6039</v>
      </c>
      <c r="E1731" s="4" t="s">
        <v>6040</v>
      </c>
    </row>
    <row r="1732" spans="1:5">
      <c r="A1732" s="4" t="s">
        <v>6194</v>
      </c>
      <c r="B1732" s="4" t="s">
        <v>6209</v>
      </c>
      <c r="C1732" s="4" t="s">
        <v>6201</v>
      </c>
      <c r="D1732" s="4" t="s">
        <v>6039</v>
      </c>
      <c r="E1732" s="4" t="s">
        <v>6040</v>
      </c>
    </row>
    <row r="1733" spans="1:5">
      <c r="A1733" s="4" t="s">
        <v>6194</v>
      </c>
      <c r="B1733" s="4" t="s">
        <v>6209</v>
      </c>
      <c r="C1733" s="4" t="s">
        <v>6202</v>
      </c>
      <c r="D1733" s="4" t="s">
        <v>6039</v>
      </c>
      <c r="E1733" s="4" t="s">
        <v>6040</v>
      </c>
    </row>
    <row r="1734" spans="1:5">
      <c r="A1734" s="4" t="s">
        <v>6194</v>
      </c>
      <c r="B1734" s="4" t="s">
        <v>6209</v>
      </c>
      <c r="C1734" s="4" t="s">
        <v>6203</v>
      </c>
      <c r="D1734" s="4" t="s">
        <v>6039</v>
      </c>
      <c r="E1734" s="4" t="s">
        <v>6040</v>
      </c>
    </row>
    <row r="1735" spans="1:5">
      <c r="A1735" s="4" t="s">
        <v>6194</v>
      </c>
      <c r="B1735" s="4" t="s">
        <v>6209</v>
      </c>
      <c r="C1735" s="4" t="s">
        <v>6204</v>
      </c>
      <c r="D1735" s="4" t="s">
        <v>6039</v>
      </c>
      <c r="E1735" s="4" t="s">
        <v>6040</v>
      </c>
    </row>
    <row r="1736" spans="1:5">
      <c r="A1736" s="4" t="s">
        <v>6194</v>
      </c>
      <c r="B1736" s="4" t="s">
        <v>6209</v>
      </c>
      <c r="C1736" s="4" t="s">
        <v>6205</v>
      </c>
      <c r="D1736" s="4" t="s">
        <v>6033</v>
      </c>
      <c r="E1736" s="4" t="s">
        <v>6034</v>
      </c>
    </row>
    <row r="1737" spans="1:5">
      <c r="A1737" s="4" t="s">
        <v>6194</v>
      </c>
      <c r="B1737" s="4" t="s">
        <v>6209</v>
      </c>
      <c r="C1737" s="4" t="s">
        <v>6206</v>
      </c>
      <c r="D1737" s="4" t="s">
        <v>6039</v>
      </c>
      <c r="E1737" s="4" t="s">
        <v>6040</v>
      </c>
    </row>
    <row r="1738" spans="1:5">
      <c r="A1738" s="4" t="s">
        <v>6194</v>
      </c>
      <c r="B1738" s="4" t="s">
        <v>6209</v>
      </c>
      <c r="C1738" s="4" t="s">
        <v>6207</v>
      </c>
      <c r="D1738" s="4" t="s">
        <v>6039</v>
      </c>
      <c r="E1738" s="4" t="s">
        <v>6040</v>
      </c>
    </row>
    <row r="1739" spans="1:5">
      <c r="A1739" s="4" t="s">
        <v>6194</v>
      </c>
      <c r="B1739" s="4" t="s">
        <v>6209</v>
      </c>
      <c r="C1739" s="4" t="s">
        <v>6208</v>
      </c>
      <c r="D1739" s="4" t="s">
        <v>6039</v>
      </c>
      <c r="E1739" s="4" t="s">
        <v>6040</v>
      </c>
    </row>
    <row r="1740" spans="1:5">
      <c r="A1740" s="4" t="s">
        <v>6194</v>
      </c>
      <c r="B1740" s="4" t="s">
        <v>6210</v>
      </c>
      <c r="C1740" s="4" t="s">
        <v>6204</v>
      </c>
      <c r="D1740" s="4" t="s">
        <v>6039</v>
      </c>
      <c r="E1740" s="4" t="s">
        <v>6040</v>
      </c>
    </row>
    <row r="1741" spans="1:5">
      <c r="A1741" s="4" t="s">
        <v>6194</v>
      </c>
      <c r="B1741" s="4" t="s">
        <v>6210</v>
      </c>
      <c r="C1741" s="4" t="s">
        <v>6206</v>
      </c>
      <c r="D1741" s="4" t="s">
        <v>6033</v>
      </c>
      <c r="E1741" s="4" t="s">
        <v>6034</v>
      </c>
    </row>
    <row r="1742" spans="1:5">
      <c r="A1742" s="4" t="s">
        <v>6194</v>
      </c>
      <c r="B1742" s="4" t="s">
        <v>6210</v>
      </c>
      <c r="C1742" s="4" t="s">
        <v>6207</v>
      </c>
      <c r="D1742" s="4" t="s">
        <v>6039</v>
      </c>
      <c r="E1742" s="4" t="s">
        <v>6040</v>
      </c>
    </row>
    <row r="1743" spans="1:5">
      <c r="A1743" s="4" t="s">
        <v>6194</v>
      </c>
      <c r="B1743" s="4" t="s">
        <v>6210</v>
      </c>
      <c r="C1743" s="4" t="s">
        <v>6208</v>
      </c>
      <c r="D1743" s="4" t="s">
        <v>6039</v>
      </c>
      <c r="E1743" s="4" t="s">
        <v>6040</v>
      </c>
    </row>
    <row r="1744" spans="1:5">
      <c r="A1744" s="4" t="s">
        <v>6194</v>
      </c>
      <c r="B1744" s="4" t="s">
        <v>6211</v>
      </c>
      <c r="C1744" s="4" t="s">
        <v>6206</v>
      </c>
      <c r="D1744" s="4" t="s">
        <v>6033</v>
      </c>
      <c r="E1744" s="4" t="s">
        <v>6034</v>
      </c>
    </row>
    <row r="1745" spans="1:5">
      <c r="A1745" s="4" t="s">
        <v>6194</v>
      </c>
      <c r="B1745" s="4" t="s">
        <v>6211</v>
      </c>
      <c r="C1745" s="4" t="s">
        <v>6207</v>
      </c>
      <c r="D1745" s="4" t="s">
        <v>6033</v>
      </c>
      <c r="E1745" s="4" t="s">
        <v>6034</v>
      </c>
    </row>
    <row r="1746" spans="1:5">
      <c r="A1746" s="4" t="s">
        <v>6194</v>
      </c>
      <c r="B1746" s="4" t="s">
        <v>6211</v>
      </c>
      <c r="C1746" s="4" t="s">
        <v>6208</v>
      </c>
      <c r="D1746" s="4" t="s">
        <v>6039</v>
      </c>
      <c r="E1746" s="4" t="s">
        <v>6040</v>
      </c>
    </row>
    <row r="1747" spans="1:5">
      <c r="A1747" s="4" t="s">
        <v>6194</v>
      </c>
      <c r="B1747" s="4" t="s">
        <v>6212</v>
      </c>
      <c r="C1747" s="4" t="s">
        <v>6206</v>
      </c>
      <c r="D1747" s="4" t="s">
        <v>6033</v>
      </c>
      <c r="E1747" s="4" t="s">
        <v>6034</v>
      </c>
    </row>
    <row r="1748" spans="1:5">
      <c r="A1748" s="4" t="s">
        <v>6194</v>
      </c>
      <c r="B1748" s="4" t="s">
        <v>6212</v>
      </c>
      <c r="C1748" s="4" t="s">
        <v>6207</v>
      </c>
      <c r="D1748" s="4" t="s">
        <v>6033</v>
      </c>
      <c r="E1748" s="4" t="s">
        <v>6034</v>
      </c>
    </row>
    <row r="1749" spans="1:5">
      <c r="A1749" s="4" t="s">
        <v>6194</v>
      </c>
      <c r="B1749" s="4" t="s">
        <v>6212</v>
      </c>
      <c r="C1749" s="4" t="s">
        <v>6208</v>
      </c>
      <c r="D1749" s="4" t="s">
        <v>6033</v>
      </c>
      <c r="E1749" s="4" t="s">
        <v>6034</v>
      </c>
    </row>
    <row r="1750" spans="1:5">
      <c r="A1750" s="4" t="s">
        <v>6194</v>
      </c>
      <c r="B1750" s="4" t="s">
        <v>6212</v>
      </c>
      <c r="C1750" s="4" t="s">
        <v>6210</v>
      </c>
      <c r="D1750" s="4" t="s">
        <v>6033</v>
      </c>
      <c r="E1750" s="4" t="s">
        <v>6034</v>
      </c>
    </row>
    <row r="1751" spans="1:5">
      <c r="A1751" s="4" t="s">
        <v>6194</v>
      </c>
      <c r="B1751" s="4" t="s">
        <v>6212</v>
      </c>
      <c r="C1751" s="4" t="s">
        <v>6211</v>
      </c>
      <c r="D1751" s="4" t="s">
        <v>6033</v>
      </c>
      <c r="E1751" s="4" t="s">
        <v>6034</v>
      </c>
    </row>
    <row r="1752" spans="1:5">
      <c r="A1752" s="4" t="s">
        <v>6194</v>
      </c>
      <c r="B1752" s="4" t="s">
        <v>6213</v>
      </c>
      <c r="C1752" s="4" t="s">
        <v>6212</v>
      </c>
      <c r="D1752" s="4" t="s">
        <v>6033</v>
      </c>
      <c r="E1752" s="4" t="s">
        <v>6034</v>
      </c>
    </row>
    <row r="1753" spans="1:5">
      <c r="A1753" s="4" t="s">
        <v>6214</v>
      </c>
      <c r="B1753" s="4" t="s">
        <v>6215</v>
      </c>
      <c r="C1753" s="4" t="s">
        <v>6216</v>
      </c>
      <c r="D1753" s="4" t="s">
        <v>6033</v>
      </c>
      <c r="E1753" s="4" t="s">
        <v>6034</v>
      </c>
    </row>
    <row r="1754" spans="1:5">
      <c r="A1754" s="4" t="s">
        <v>6214</v>
      </c>
      <c r="B1754" s="4" t="s">
        <v>6217</v>
      </c>
      <c r="C1754" s="4" t="s">
        <v>6216</v>
      </c>
      <c r="D1754" s="4" t="s">
        <v>6033</v>
      </c>
      <c r="E1754" s="4" t="s">
        <v>6034</v>
      </c>
    </row>
    <row r="1755" spans="1:5">
      <c r="A1755" s="4" t="s">
        <v>6214</v>
      </c>
      <c r="B1755" s="4" t="s">
        <v>6217</v>
      </c>
      <c r="C1755" s="4" t="s">
        <v>6215</v>
      </c>
      <c r="D1755" s="4" t="s">
        <v>6033</v>
      </c>
      <c r="E1755" s="4" t="s">
        <v>6034</v>
      </c>
    </row>
    <row r="1756" spans="1:5">
      <c r="A1756" s="4" t="s">
        <v>6214</v>
      </c>
      <c r="B1756" s="4" t="s">
        <v>6218</v>
      </c>
      <c r="C1756" s="4" t="s">
        <v>6216</v>
      </c>
      <c r="D1756" s="4" t="s">
        <v>6033</v>
      </c>
      <c r="E1756" s="4" t="s">
        <v>6034</v>
      </c>
    </row>
    <row r="1757" spans="1:5">
      <c r="A1757" s="4" t="s">
        <v>6214</v>
      </c>
      <c r="B1757" s="4" t="s">
        <v>6218</v>
      </c>
      <c r="C1757" s="4" t="s">
        <v>6215</v>
      </c>
      <c r="D1757" s="4" t="s">
        <v>6039</v>
      </c>
      <c r="E1757" s="4" t="s">
        <v>6040</v>
      </c>
    </row>
    <row r="1758" spans="1:5">
      <c r="A1758" s="4" t="s">
        <v>6214</v>
      </c>
      <c r="B1758" s="4" t="s">
        <v>6218</v>
      </c>
      <c r="C1758" s="4" t="s">
        <v>6217</v>
      </c>
      <c r="D1758" s="4" t="s">
        <v>6039</v>
      </c>
      <c r="E1758" s="4" t="s">
        <v>6040</v>
      </c>
    </row>
    <row r="1759" spans="1:5">
      <c r="A1759" s="4" t="s">
        <v>6214</v>
      </c>
      <c r="B1759" s="4" t="s">
        <v>6219</v>
      </c>
      <c r="C1759" s="4" t="s">
        <v>6216</v>
      </c>
      <c r="D1759" s="4" t="s">
        <v>6033</v>
      </c>
      <c r="E1759" s="4" t="s">
        <v>6034</v>
      </c>
    </row>
    <row r="1760" spans="1:5">
      <c r="A1760" s="4" t="s">
        <v>6214</v>
      </c>
      <c r="B1760" s="4" t="s">
        <v>6219</v>
      </c>
      <c r="C1760" s="4" t="s">
        <v>6215</v>
      </c>
      <c r="D1760" s="4" t="s">
        <v>6033</v>
      </c>
      <c r="E1760" s="4" t="s">
        <v>6034</v>
      </c>
    </row>
    <row r="1761" spans="1:5">
      <c r="A1761" s="4" t="s">
        <v>6214</v>
      </c>
      <c r="B1761" s="4" t="s">
        <v>6219</v>
      </c>
      <c r="C1761" s="4" t="s">
        <v>6217</v>
      </c>
      <c r="D1761" s="4" t="s">
        <v>6033</v>
      </c>
      <c r="E1761" s="4" t="s">
        <v>6034</v>
      </c>
    </row>
    <row r="1762" spans="1:5">
      <c r="A1762" s="4" t="s">
        <v>6214</v>
      </c>
      <c r="B1762" s="4" t="s">
        <v>6219</v>
      </c>
      <c r="C1762" s="4" t="s">
        <v>6218</v>
      </c>
      <c r="D1762" s="4" t="s">
        <v>6033</v>
      </c>
      <c r="E1762" s="4" t="s">
        <v>6034</v>
      </c>
    </row>
    <row r="1763" spans="1:5">
      <c r="A1763" s="4" t="s">
        <v>6214</v>
      </c>
      <c r="B1763" s="4" t="s">
        <v>6220</v>
      </c>
      <c r="C1763" s="4" t="s">
        <v>6216</v>
      </c>
      <c r="D1763" s="4" t="s">
        <v>6033</v>
      </c>
      <c r="E1763" s="4" t="s">
        <v>6034</v>
      </c>
    </row>
    <row r="1764" spans="1:5">
      <c r="A1764" s="4" t="s">
        <v>6214</v>
      </c>
      <c r="B1764" s="4" t="s">
        <v>6220</v>
      </c>
      <c r="C1764" s="4" t="s">
        <v>6215</v>
      </c>
      <c r="D1764" s="4" t="s">
        <v>6033</v>
      </c>
      <c r="E1764" s="4" t="s">
        <v>6034</v>
      </c>
    </row>
    <row r="1765" spans="1:5">
      <c r="A1765" s="4" t="s">
        <v>6214</v>
      </c>
      <c r="B1765" s="4" t="s">
        <v>6220</v>
      </c>
      <c r="C1765" s="4" t="s">
        <v>6217</v>
      </c>
      <c r="D1765" s="4" t="s">
        <v>6033</v>
      </c>
      <c r="E1765" s="4" t="s">
        <v>6034</v>
      </c>
    </row>
    <row r="1766" spans="1:5">
      <c r="A1766" s="4" t="s">
        <v>6214</v>
      </c>
      <c r="B1766" s="4" t="s">
        <v>6220</v>
      </c>
      <c r="C1766" s="4" t="s">
        <v>6218</v>
      </c>
      <c r="D1766" s="4" t="s">
        <v>6033</v>
      </c>
      <c r="E1766" s="4" t="s">
        <v>6034</v>
      </c>
    </row>
    <row r="1767" spans="1:5">
      <c r="A1767" s="4" t="s">
        <v>6214</v>
      </c>
      <c r="B1767" s="4" t="s">
        <v>6220</v>
      </c>
      <c r="C1767" s="4" t="s">
        <v>6219</v>
      </c>
      <c r="D1767" s="4" t="s">
        <v>6033</v>
      </c>
      <c r="E1767" s="4" t="s">
        <v>6034</v>
      </c>
    </row>
    <row r="1768" spans="1:5">
      <c r="A1768" s="4" t="s">
        <v>6214</v>
      </c>
      <c r="B1768" s="4" t="s">
        <v>6221</v>
      </c>
      <c r="C1768" s="4" t="s">
        <v>6216</v>
      </c>
      <c r="D1768" s="4" t="s">
        <v>6033</v>
      </c>
      <c r="E1768" s="4" t="s">
        <v>6034</v>
      </c>
    </row>
    <row r="1769" spans="1:5">
      <c r="A1769" s="4" t="s">
        <v>6214</v>
      </c>
      <c r="B1769" s="4" t="s">
        <v>6221</v>
      </c>
      <c r="C1769" s="4" t="s">
        <v>6215</v>
      </c>
      <c r="D1769" s="4" t="s">
        <v>6033</v>
      </c>
      <c r="E1769" s="4" t="s">
        <v>6034</v>
      </c>
    </row>
    <row r="1770" spans="1:5">
      <c r="A1770" s="4" t="s">
        <v>6214</v>
      </c>
      <c r="B1770" s="4" t="s">
        <v>6221</v>
      </c>
      <c r="C1770" s="4" t="s">
        <v>6217</v>
      </c>
      <c r="D1770" s="4" t="s">
        <v>6033</v>
      </c>
      <c r="E1770" s="4" t="s">
        <v>6034</v>
      </c>
    </row>
    <row r="1771" spans="1:5">
      <c r="A1771" s="4" t="s">
        <v>6214</v>
      </c>
      <c r="B1771" s="4" t="s">
        <v>6221</v>
      </c>
      <c r="C1771" s="4" t="s">
        <v>6218</v>
      </c>
      <c r="D1771" s="4" t="s">
        <v>6033</v>
      </c>
      <c r="E1771" s="4" t="s">
        <v>6034</v>
      </c>
    </row>
    <row r="1772" spans="1:5">
      <c r="A1772" s="4" t="s">
        <v>6214</v>
      </c>
      <c r="B1772" s="4" t="s">
        <v>6221</v>
      </c>
      <c r="C1772" s="4" t="s">
        <v>6219</v>
      </c>
      <c r="D1772" s="4" t="s">
        <v>6033</v>
      </c>
      <c r="E1772" s="4" t="s">
        <v>6034</v>
      </c>
    </row>
    <row r="1773" spans="1:5">
      <c r="A1773" s="4" t="s">
        <v>6214</v>
      </c>
      <c r="B1773" s="4" t="s">
        <v>6221</v>
      </c>
      <c r="C1773" s="4" t="s">
        <v>6220</v>
      </c>
      <c r="D1773" s="4" t="s">
        <v>6033</v>
      </c>
      <c r="E1773" s="4" t="s">
        <v>6034</v>
      </c>
    </row>
    <row r="1774" spans="1:5">
      <c r="A1774" s="4" t="s">
        <v>6214</v>
      </c>
      <c r="B1774" s="4" t="s">
        <v>6222</v>
      </c>
      <c r="C1774" s="4" t="s">
        <v>6216</v>
      </c>
      <c r="D1774" s="4" t="s">
        <v>6033</v>
      </c>
      <c r="E1774" s="4" t="s">
        <v>6034</v>
      </c>
    </row>
    <row r="1775" spans="1:5">
      <c r="A1775" s="4" t="s">
        <v>6214</v>
      </c>
      <c r="B1775" s="4" t="s">
        <v>6222</v>
      </c>
      <c r="C1775" s="4" t="s">
        <v>6215</v>
      </c>
      <c r="D1775" s="4" t="s">
        <v>6033</v>
      </c>
      <c r="E1775" s="4" t="s">
        <v>6034</v>
      </c>
    </row>
    <row r="1776" spans="1:5">
      <c r="A1776" s="4" t="s">
        <v>6214</v>
      </c>
      <c r="B1776" s="4" t="s">
        <v>6222</v>
      </c>
      <c r="C1776" s="4" t="s">
        <v>6217</v>
      </c>
      <c r="D1776" s="4" t="s">
        <v>6033</v>
      </c>
      <c r="E1776" s="4" t="s">
        <v>6034</v>
      </c>
    </row>
    <row r="1777" spans="1:5">
      <c r="A1777" s="4" t="s">
        <v>6214</v>
      </c>
      <c r="B1777" s="4" t="s">
        <v>6222</v>
      </c>
      <c r="C1777" s="4" t="s">
        <v>6218</v>
      </c>
      <c r="D1777" s="4" t="s">
        <v>6033</v>
      </c>
      <c r="E1777" s="4" t="s">
        <v>6034</v>
      </c>
    </row>
    <row r="1778" spans="1:5">
      <c r="A1778" s="4" t="s">
        <v>6214</v>
      </c>
      <c r="B1778" s="4" t="s">
        <v>6222</v>
      </c>
      <c r="C1778" s="4" t="s">
        <v>6219</v>
      </c>
      <c r="D1778" s="4" t="s">
        <v>6033</v>
      </c>
      <c r="E1778" s="4" t="s">
        <v>6034</v>
      </c>
    </row>
    <row r="1779" spans="1:5">
      <c r="A1779" s="4" t="s">
        <v>6214</v>
      </c>
      <c r="B1779" s="4" t="s">
        <v>6222</v>
      </c>
      <c r="C1779" s="4" t="s">
        <v>6220</v>
      </c>
      <c r="D1779" s="4" t="s">
        <v>6033</v>
      </c>
      <c r="E1779" s="4" t="s">
        <v>6034</v>
      </c>
    </row>
    <row r="1780" spans="1:5">
      <c r="A1780" s="4" t="s">
        <v>6214</v>
      </c>
      <c r="B1780" s="4" t="s">
        <v>6222</v>
      </c>
      <c r="C1780" s="4" t="s">
        <v>6221</v>
      </c>
      <c r="D1780" s="4" t="s">
        <v>6033</v>
      </c>
      <c r="E1780" s="4" t="s">
        <v>6034</v>
      </c>
    </row>
    <row r="1781" spans="1:5">
      <c r="A1781" s="4" t="s">
        <v>6214</v>
      </c>
      <c r="B1781" s="4" t="s">
        <v>6223</v>
      </c>
      <c r="C1781" s="4" t="s">
        <v>6216</v>
      </c>
      <c r="D1781" s="4" t="s">
        <v>6039</v>
      </c>
      <c r="E1781" s="4" t="s">
        <v>6040</v>
      </c>
    </row>
    <row r="1782" spans="1:5">
      <c r="A1782" s="4" t="s">
        <v>6214</v>
      </c>
      <c r="B1782" s="4" t="s">
        <v>6223</v>
      </c>
      <c r="C1782" s="4" t="s">
        <v>6215</v>
      </c>
      <c r="D1782" s="4" t="s">
        <v>6039</v>
      </c>
      <c r="E1782" s="4" t="s">
        <v>6040</v>
      </c>
    </row>
    <row r="1783" spans="1:5">
      <c r="A1783" s="4" t="s">
        <v>6214</v>
      </c>
      <c r="B1783" s="4" t="s">
        <v>6223</v>
      </c>
      <c r="C1783" s="4" t="s">
        <v>6217</v>
      </c>
      <c r="D1783" s="4" t="s">
        <v>6039</v>
      </c>
      <c r="E1783" s="4" t="s">
        <v>6040</v>
      </c>
    </row>
    <row r="1784" spans="1:5">
      <c r="A1784" s="4" t="s">
        <v>6214</v>
      </c>
      <c r="B1784" s="4" t="s">
        <v>6223</v>
      </c>
      <c r="C1784" s="4" t="s">
        <v>6218</v>
      </c>
      <c r="D1784" s="4" t="s">
        <v>6039</v>
      </c>
      <c r="E1784" s="4" t="s">
        <v>6040</v>
      </c>
    </row>
    <row r="1785" spans="1:5">
      <c r="A1785" s="4" t="s">
        <v>6214</v>
      </c>
      <c r="B1785" s="4" t="s">
        <v>6223</v>
      </c>
      <c r="C1785" s="4" t="s">
        <v>6219</v>
      </c>
      <c r="D1785" s="4" t="s">
        <v>6039</v>
      </c>
      <c r="E1785" s="4" t="s">
        <v>6040</v>
      </c>
    </row>
    <row r="1786" spans="1:5">
      <c r="A1786" s="4" t="s">
        <v>6214</v>
      </c>
      <c r="B1786" s="4" t="s">
        <v>6223</v>
      </c>
      <c r="C1786" s="4" t="s">
        <v>6220</v>
      </c>
      <c r="D1786" s="4" t="s">
        <v>6039</v>
      </c>
      <c r="E1786" s="4" t="s">
        <v>6040</v>
      </c>
    </row>
    <row r="1787" spans="1:5">
      <c r="A1787" s="4" t="s">
        <v>6214</v>
      </c>
      <c r="B1787" s="4" t="s">
        <v>6223</v>
      </c>
      <c r="C1787" s="4" t="s">
        <v>6221</v>
      </c>
      <c r="D1787" s="4" t="s">
        <v>6039</v>
      </c>
      <c r="E1787" s="4" t="s">
        <v>6040</v>
      </c>
    </row>
    <row r="1788" spans="1:5">
      <c r="A1788" s="4" t="s">
        <v>6214</v>
      </c>
      <c r="B1788" s="4" t="s">
        <v>6223</v>
      </c>
      <c r="C1788" s="4" t="s">
        <v>6222</v>
      </c>
      <c r="D1788" s="4" t="s">
        <v>6039</v>
      </c>
      <c r="E1788" s="4" t="s">
        <v>6040</v>
      </c>
    </row>
    <row r="1789" spans="1:5">
      <c r="A1789" s="4" t="s">
        <v>6214</v>
      </c>
      <c r="B1789" s="4" t="s">
        <v>6224</v>
      </c>
      <c r="C1789" s="4" t="s">
        <v>6216</v>
      </c>
      <c r="D1789" s="4" t="s">
        <v>6039</v>
      </c>
      <c r="E1789" s="4" t="s">
        <v>6040</v>
      </c>
    </row>
    <row r="1790" spans="1:5">
      <c r="A1790" s="4" t="s">
        <v>6214</v>
      </c>
      <c r="B1790" s="4" t="s">
        <v>6224</v>
      </c>
      <c r="C1790" s="4" t="s">
        <v>6215</v>
      </c>
      <c r="D1790" s="4" t="s">
        <v>6039</v>
      </c>
      <c r="E1790" s="4" t="s">
        <v>6040</v>
      </c>
    </row>
    <row r="1791" spans="1:5">
      <c r="A1791" s="4" t="s">
        <v>6214</v>
      </c>
      <c r="B1791" s="4" t="s">
        <v>6224</v>
      </c>
      <c r="C1791" s="4" t="s">
        <v>6217</v>
      </c>
      <c r="D1791" s="4" t="s">
        <v>6039</v>
      </c>
      <c r="E1791" s="4" t="s">
        <v>6040</v>
      </c>
    </row>
    <row r="1792" spans="1:5">
      <c r="A1792" s="4" t="s">
        <v>6214</v>
      </c>
      <c r="B1792" s="4" t="s">
        <v>6224</v>
      </c>
      <c r="C1792" s="4" t="s">
        <v>6218</v>
      </c>
      <c r="D1792" s="4" t="s">
        <v>6039</v>
      </c>
      <c r="E1792" s="4" t="s">
        <v>6040</v>
      </c>
    </row>
    <row r="1793" spans="1:5">
      <c r="A1793" s="4" t="s">
        <v>6214</v>
      </c>
      <c r="B1793" s="4" t="s">
        <v>6224</v>
      </c>
      <c r="C1793" s="4" t="s">
        <v>6219</v>
      </c>
      <c r="D1793" s="4" t="s">
        <v>6039</v>
      </c>
      <c r="E1793" s="4" t="s">
        <v>6040</v>
      </c>
    </row>
    <row r="1794" spans="1:5">
      <c r="A1794" s="4" t="s">
        <v>6214</v>
      </c>
      <c r="B1794" s="4" t="s">
        <v>6224</v>
      </c>
      <c r="C1794" s="4" t="s">
        <v>6220</v>
      </c>
      <c r="D1794" s="4" t="s">
        <v>6039</v>
      </c>
      <c r="E1794" s="4" t="s">
        <v>6040</v>
      </c>
    </row>
    <row r="1795" spans="1:5">
      <c r="A1795" s="4" t="s">
        <v>6214</v>
      </c>
      <c r="B1795" s="4" t="s">
        <v>6224</v>
      </c>
      <c r="C1795" s="4" t="s">
        <v>6221</v>
      </c>
      <c r="D1795" s="4" t="s">
        <v>6039</v>
      </c>
      <c r="E1795" s="4" t="s">
        <v>6040</v>
      </c>
    </row>
    <row r="1796" spans="1:5">
      <c r="A1796" s="4" t="s">
        <v>6214</v>
      </c>
      <c r="B1796" s="4" t="s">
        <v>6224</v>
      </c>
      <c r="C1796" s="4" t="s">
        <v>6222</v>
      </c>
      <c r="D1796" s="4" t="s">
        <v>6039</v>
      </c>
      <c r="E1796" s="4" t="s">
        <v>6040</v>
      </c>
    </row>
    <row r="1797" spans="1:5">
      <c r="A1797" s="4" t="s">
        <v>6214</v>
      </c>
      <c r="B1797" s="4" t="s">
        <v>6224</v>
      </c>
      <c r="C1797" s="4" t="s">
        <v>6223</v>
      </c>
      <c r="D1797" s="4" t="s">
        <v>6033</v>
      </c>
      <c r="E1797" s="4" t="s">
        <v>6034</v>
      </c>
    </row>
    <row r="1798" spans="1:5">
      <c r="A1798" s="4" t="s">
        <v>6214</v>
      </c>
      <c r="B1798" s="4" t="s">
        <v>6225</v>
      </c>
      <c r="C1798" s="4" t="s">
        <v>6216</v>
      </c>
      <c r="D1798" s="4" t="s">
        <v>6033</v>
      </c>
      <c r="E1798" s="4" t="s">
        <v>6034</v>
      </c>
    </row>
    <row r="1799" spans="1:5">
      <c r="A1799" s="4" t="s">
        <v>6214</v>
      </c>
      <c r="B1799" s="4" t="s">
        <v>6225</v>
      </c>
      <c r="C1799" s="4" t="s">
        <v>6215</v>
      </c>
      <c r="D1799" s="4" t="s">
        <v>6033</v>
      </c>
      <c r="E1799" s="4" t="s">
        <v>6034</v>
      </c>
    </row>
    <row r="1800" spans="1:5">
      <c r="A1800" s="4" t="s">
        <v>6214</v>
      </c>
      <c r="B1800" s="4" t="s">
        <v>6225</v>
      </c>
      <c r="C1800" s="4" t="s">
        <v>6217</v>
      </c>
      <c r="D1800" s="4" t="s">
        <v>6033</v>
      </c>
      <c r="E1800" s="4" t="s">
        <v>6034</v>
      </c>
    </row>
    <row r="1801" spans="1:5">
      <c r="A1801" s="4" t="s">
        <v>6214</v>
      </c>
      <c r="B1801" s="4" t="s">
        <v>6225</v>
      </c>
      <c r="C1801" s="4" t="s">
        <v>6218</v>
      </c>
      <c r="D1801" s="4" t="s">
        <v>6039</v>
      </c>
      <c r="E1801" s="4" t="s">
        <v>6040</v>
      </c>
    </row>
    <row r="1802" spans="1:5">
      <c r="A1802" s="4" t="s">
        <v>6214</v>
      </c>
      <c r="B1802" s="4" t="s">
        <v>6225</v>
      </c>
      <c r="C1802" s="4" t="s">
        <v>6219</v>
      </c>
      <c r="D1802" s="4" t="s">
        <v>6039</v>
      </c>
      <c r="E1802" s="4" t="s">
        <v>6040</v>
      </c>
    </row>
    <row r="1803" spans="1:5">
      <c r="A1803" s="4" t="s">
        <v>6214</v>
      </c>
      <c r="B1803" s="4" t="s">
        <v>6225</v>
      </c>
      <c r="C1803" s="4" t="s">
        <v>6220</v>
      </c>
      <c r="D1803" s="4" t="s">
        <v>6039</v>
      </c>
      <c r="E1803" s="4" t="s">
        <v>6040</v>
      </c>
    </row>
    <row r="1804" spans="1:5">
      <c r="A1804" s="4" t="s">
        <v>6214</v>
      </c>
      <c r="B1804" s="4" t="s">
        <v>6225</v>
      </c>
      <c r="C1804" s="4" t="s">
        <v>6221</v>
      </c>
      <c r="D1804" s="4" t="s">
        <v>6039</v>
      </c>
      <c r="E1804" s="4" t="s">
        <v>6040</v>
      </c>
    </row>
    <row r="1805" spans="1:5">
      <c r="A1805" s="4" t="s">
        <v>6214</v>
      </c>
      <c r="B1805" s="4" t="s">
        <v>6225</v>
      </c>
      <c r="C1805" s="4" t="s">
        <v>6222</v>
      </c>
      <c r="D1805" s="4" t="s">
        <v>6039</v>
      </c>
      <c r="E1805" s="4" t="s">
        <v>6040</v>
      </c>
    </row>
    <row r="1806" spans="1:5">
      <c r="A1806" s="4" t="s">
        <v>6214</v>
      </c>
      <c r="B1806" s="4" t="s">
        <v>6225</v>
      </c>
      <c r="C1806" s="4" t="s">
        <v>6223</v>
      </c>
      <c r="D1806" s="4" t="s">
        <v>6033</v>
      </c>
      <c r="E1806" s="4" t="s">
        <v>6034</v>
      </c>
    </row>
    <row r="1807" spans="1:5">
      <c r="A1807" s="4" t="s">
        <v>6214</v>
      </c>
      <c r="B1807" s="4" t="s">
        <v>6225</v>
      </c>
      <c r="C1807" s="4" t="s">
        <v>6224</v>
      </c>
      <c r="D1807" s="4" t="s">
        <v>6033</v>
      </c>
      <c r="E1807" s="4" t="s">
        <v>6034</v>
      </c>
    </row>
    <row r="1808" spans="1:5">
      <c r="A1808" s="4" t="s">
        <v>6214</v>
      </c>
      <c r="B1808" s="4" t="s">
        <v>6226</v>
      </c>
      <c r="C1808" s="4" t="s">
        <v>6216</v>
      </c>
      <c r="D1808" s="4" t="s">
        <v>6033</v>
      </c>
      <c r="E1808" s="4" t="s">
        <v>6034</v>
      </c>
    </row>
    <row r="1809" spans="1:5">
      <c r="A1809" s="4" t="s">
        <v>6214</v>
      </c>
      <c r="B1809" s="4" t="s">
        <v>6226</v>
      </c>
      <c r="C1809" s="4" t="s">
        <v>6215</v>
      </c>
      <c r="D1809" s="4" t="s">
        <v>6033</v>
      </c>
      <c r="E1809" s="4" t="s">
        <v>6034</v>
      </c>
    </row>
    <row r="1810" spans="1:5">
      <c r="A1810" s="4" t="s">
        <v>6214</v>
      </c>
      <c r="B1810" s="4" t="s">
        <v>6226</v>
      </c>
      <c r="C1810" s="4" t="s">
        <v>6217</v>
      </c>
      <c r="D1810" s="4" t="s">
        <v>6033</v>
      </c>
      <c r="E1810" s="4" t="s">
        <v>6034</v>
      </c>
    </row>
    <row r="1811" spans="1:5">
      <c r="A1811" s="4" t="s">
        <v>6214</v>
      </c>
      <c r="B1811" s="4" t="s">
        <v>6226</v>
      </c>
      <c r="C1811" s="4" t="s">
        <v>6218</v>
      </c>
      <c r="D1811" s="4" t="s">
        <v>6033</v>
      </c>
      <c r="E1811" s="4" t="s">
        <v>6034</v>
      </c>
    </row>
    <row r="1812" spans="1:5">
      <c r="A1812" s="4" t="s">
        <v>6214</v>
      </c>
      <c r="B1812" s="4" t="s">
        <v>6226</v>
      </c>
      <c r="C1812" s="4" t="s">
        <v>6219</v>
      </c>
      <c r="D1812" s="4" t="s">
        <v>6033</v>
      </c>
      <c r="E1812" s="4" t="s">
        <v>6034</v>
      </c>
    </row>
    <row r="1813" spans="1:5">
      <c r="A1813" s="4" t="s">
        <v>6214</v>
      </c>
      <c r="B1813" s="4" t="s">
        <v>6226</v>
      </c>
      <c r="C1813" s="4" t="s">
        <v>6220</v>
      </c>
      <c r="D1813" s="4" t="s">
        <v>6039</v>
      </c>
      <c r="E1813" s="4" t="s">
        <v>6040</v>
      </c>
    </row>
    <row r="1814" spans="1:5">
      <c r="A1814" s="4" t="s">
        <v>6214</v>
      </c>
      <c r="B1814" s="4" t="s">
        <v>6226</v>
      </c>
      <c r="C1814" s="4" t="s">
        <v>6221</v>
      </c>
      <c r="D1814" s="4" t="s">
        <v>6039</v>
      </c>
      <c r="E1814" s="4" t="s">
        <v>6040</v>
      </c>
    </row>
    <row r="1815" spans="1:5">
      <c r="A1815" s="4" t="s">
        <v>6214</v>
      </c>
      <c r="B1815" s="4" t="s">
        <v>6226</v>
      </c>
      <c r="C1815" s="4" t="s">
        <v>6222</v>
      </c>
      <c r="D1815" s="4" t="s">
        <v>6039</v>
      </c>
      <c r="E1815" s="4" t="s">
        <v>6040</v>
      </c>
    </row>
    <row r="1816" spans="1:5">
      <c r="A1816" s="4" t="s">
        <v>6214</v>
      </c>
      <c r="B1816" s="4" t="s">
        <v>6226</v>
      </c>
      <c r="C1816" s="4" t="s">
        <v>6223</v>
      </c>
      <c r="D1816" s="4" t="s">
        <v>6033</v>
      </c>
      <c r="E1816" s="4" t="s">
        <v>6034</v>
      </c>
    </row>
    <row r="1817" spans="1:5">
      <c r="A1817" s="4" t="s">
        <v>6214</v>
      </c>
      <c r="B1817" s="4" t="s">
        <v>6226</v>
      </c>
      <c r="C1817" s="4" t="s">
        <v>6224</v>
      </c>
      <c r="D1817" s="4" t="s">
        <v>6033</v>
      </c>
      <c r="E1817" s="4" t="s">
        <v>6034</v>
      </c>
    </row>
    <row r="1818" spans="1:5">
      <c r="A1818" s="4" t="s">
        <v>6214</v>
      </c>
      <c r="B1818" s="4" t="s">
        <v>6226</v>
      </c>
      <c r="C1818" s="4" t="s">
        <v>6225</v>
      </c>
      <c r="D1818" s="4" t="s">
        <v>6033</v>
      </c>
      <c r="E1818" s="4" t="s">
        <v>6034</v>
      </c>
    </row>
    <row r="1819" spans="1:5">
      <c r="A1819" s="4" t="s">
        <v>6214</v>
      </c>
      <c r="B1819" s="4" t="s">
        <v>6227</v>
      </c>
      <c r="C1819" s="4" t="s">
        <v>6216</v>
      </c>
      <c r="D1819" s="4" t="s">
        <v>6033</v>
      </c>
      <c r="E1819" s="4" t="s">
        <v>6034</v>
      </c>
    </row>
    <row r="1820" spans="1:5">
      <c r="A1820" s="4" t="s">
        <v>6214</v>
      </c>
      <c r="B1820" s="4" t="s">
        <v>6227</v>
      </c>
      <c r="C1820" s="4" t="s">
        <v>6215</v>
      </c>
      <c r="D1820" s="4" t="s">
        <v>6033</v>
      </c>
      <c r="E1820" s="4" t="s">
        <v>6034</v>
      </c>
    </row>
    <row r="1821" spans="1:5">
      <c r="A1821" s="4" t="s">
        <v>6214</v>
      </c>
      <c r="B1821" s="4" t="s">
        <v>6227</v>
      </c>
      <c r="C1821" s="4" t="s">
        <v>6217</v>
      </c>
      <c r="D1821" s="4" t="s">
        <v>6033</v>
      </c>
      <c r="E1821" s="4" t="s">
        <v>6034</v>
      </c>
    </row>
    <row r="1822" spans="1:5">
      <c r="A1822" s="4" t="s">
        <v>6214</v>
      </c>
      <c r="B1822" s="4" t="s">
        <v>6227</v>
      </c>
      <c r="C1822" s="4" t="s">
        <v>6218</v>
      </c>
      <c r="D1822" s="4" t="s">
        <v>6033</v>
      </c>
      <c r="E1822" s="4" t="s">
        <v>6034</v>
      </c>
    </row>
    <row r="1823" spans="1:5">
      <c r="A1823" s="4" t="s">
        <v>6214</v>
      </c>
      <c r="B1823" s="4" t="s">
        <v>6227</v>
      </c>
      <c r="C1823" s="4" t="s">
        <v>6219</v>
      </c>
      <c r="D1823" s="4" t="s">
        <v>6033</v>
      </c>
      <c r="E1823" s="4" t="s">
        <v>6034</v>
      </c>
    </row>
    <row r="1824" spans="1:5">
      <c r="A1824" s="4" t="s">
        <v>6214</v>
      </c>
      <c r="B1824" s="4" t="s">
        <v>6227</v>
      </c>
      <c r="C1824" s="4" t="s">
        <v>6220</v>
      </c>
      <c r="D1824" s="4" t="s">
        <v>6033</v>
      </c>
      <c r="E1824" s="4" t="s">
        <v>6034</v>
      </c>
    </row>
    <row r="1825" spans="1:5">
      <c r="A1825" s="4" t="s">
        <v>6214</v>
      </c>
      <c r="B1825" s="4" t="s">
        <v>6227</v>
      </c>
      <c r="C1825" s="4" t="s">
        <v>6221</v>
      </c>
      <c r="D1825" s="4" t="s">
        <v>6039</v>
      </c>
      <c r="E1825" s="4" t="s">
        <v>6040</v>
      </c>
    </row>
    <row r="1826" spans="1:5">
      <c r="A1826" s="4" t="s">
        <v>6214</v>
      </c>
      <c r="B1826" s="4" t="s">
        <v>6227</v>
      </c>
      <c r="C1826" s="4" t="s">
        <v>6222</v>
      </c>
      <c r="D1826" s="4" t="s">
        <v>6039</v>
      </c>
      <c r="E1826" s="4" t="s">
        <v>6040</v>
      </c>
    </row>
    <row r="1827" spans="1:5">
      <c r="A1827" s="4" t="s">
        <v>6214</v>
      </c>
      <c r="B1827" s="4" t="s">
        <v>6227</v>
      </c>
      <c r="C1827" s="4" t="s">
        <v>6223</v>
      </c>
      <c r="D1827" s="4" t="s">
        <v>6033</v>
      </c>
      <c r="E1827" s="4" t="s">
        <v>6034</v>
      </c>
    </row>
    <row r="1828" spans="1:5">
      <c r="A1828" s="4" t="s">
        <v>6214</v>
      </c>
      <c r="B1828" s="4" t="s">
        <v>6227</v>
      </c>
      <c r="C1828" s="4" t="s">
        <v>6224</v>
      </c>
      <c r="D1828" s="4" t="s">
        <v>6033</v>
      </c>
      <c r="E1828" s="4" t="s">
        <v>6034</v>
      </c>
    </row>
    <row r="1829" spans="1:5">
      <c r="A1829" s="4" t="s">
        <v>6214</v>
      </c>
      <c r="B1829" s="4" t="s">
        <v>6227</v>
      </c>
      <c r="C1829" s="4" t="s">
        <v>6225</v>
      </c>
      <c r="D1829" s="4" t="s">
        <v>6033</v>
      </c>
      <c r="E1829" s="4" t="s">
        <v>6034</v>
      </c>
    </row>
    <row r="1830" spans="1:5">
      <c r="A1830" s="4" t="s">
        <v>6214</v>
      </c>
      <c r="B1830" s="4" t="s">
        <v>6227</v>
      </c>
      <c r="C1830" s="4" t="s">
        <v>6226</v>
      </c>
      <c r="D1830" s="4" t="s">
        <v>6033</v>
      </c>
      <c r="E1830" s="4" t="s">
        <v>6034</v>
      </c>
    </row>
    <row r="1831" spans="1:5">
      <c r="A1831" s="4" t="s">
        <v>6214</v>
      </c>
      <c r="B1831" s="4" t="s">
        <v>6228</v>
      </c>
      <c r="C1831" s="4" t="s">
        <v>6216</v>
      </c>
      <c r="D1831" s="4" t="s">
        <v>6033</v>
      </c>
      <c r="E1831" s="4" t="s">
        <v>6034</v>
      </c>
    </row>
    <row r="1832" spans="1:5">
      <c r="A1832" s="4" t="s">
        <v>6214</v>
      </c>
      <c r="B1832" s="4" t="s">
        <v>6228</v>
      </c>
      <c r="C1832" s="4" t="s">
        <v>6215</v>
      </c>
      <c r="D1832" s="4" t="s">
        <v>6033</v>
      </c>
      <c r="E1832" s="4" t="s">
        <v>6034</v>
      </c>
    </row>
    <row r="1833" spans="1:5">
      <c r="A1833" s="4" t="s">
        <v>6214</v>
      </c>
      <c r="B1833" s="4" t="s">
        <v>6228</v>
      </c>
      <c r="C1833" s="4" t="s">
        <v>6217</v>
      </c>
      <c r="D1833" s="4" t="s">
        <v>6033</v>
      </c>
      <c r="E1833" s="4" t="s">
        <v>6034</v>
      </c>
    </row>
    <row r="1834" spans="1:5">
      <c r="A1834" s="4" t="s">
        <v>6214</v>
      </c>
      <c r="B1834" s="4" t="s">
        <v>6228</v>
      </c>
      <c r="C1834" s="4" t="s">
        <v>6218</v>
      </c>
      <c r="D1834" s="4" t="s">
        <v>6033</v>
      </c>
      <c r="E1834" s="4" t="s">
        <v>6034</v>
      </c>
    </row>
    <row r="1835" spans="1:5">
      <c r="A1835" s="4" t="s">
        <v>6214</v>
      </c>
      <c r="B1835" s="4" t="s">
        <v>6228</v>
      </c>
      <c r="C1835" s="4" t="s">
        <v>6219</v>
      </c>
      <c r="D1835" s="4" t="s">
        <v>6033</v>
      </c>
      <c r="E1835" s="4" t="s">
        <v>6034</v>
      </c>
    </row>
    <row r="1836" spans="1:5">
      <c r="A1836" s="4" t="s">
        <v>6214</v>
      </c>
      <c r="B1836" s="4" t="s">
        <v>6228</v>
      </c>
      <c r="C1836" s="4" t="s">
        <v>6220</v>
      </c>
      <c r="D1836" s="4" t="s">
        <v>6033</v>
      </c>
      <c r="E1836" s="4" t="s">
        <v>6034</v>
      </c>
    </row>
    <row r="1837" spans="1:5">
      <c r="A1837" s="4" t="s">
        <v>6214</v>
      </c>
      <c r="B1837" s="4" t="s">
        <v>6228</v>
      </c>
      <c r="C1837" s="4" t="s">
        <v>6221</v>
      </c>
      <c r="D1837" s="4" t="s">
        <v>6033</v>
      </c>
      <c r="E1837" s="4" t="s">
        <v>6034</v>
      </c>
    </row>
    <row r="1838" spans="1:5">
      <c r="A1838" s="4" t="s">
        <v>6214</v>
      </c>
      <c r="B1838" s="4" t="s">
        <v>6228</v>
      </c>
      <c r="C1838" s="4" t="s">
        <v>6222</v>
      </c>
      <c r="D1838" s="4" t="s">
        <v>6039</v>
      </c>
      <c r="E1838" s="4" t="s">
        <v>6040</v>
      </c>
    </row>
    <row r="1839" spans="1:5">
      <c r="A1839" s="4" t="s">
        <v>6214</v>
      </c>
      <c r="B1839" s="4" t="s">
        <v>6228</v>
      </c>
      <c r="C1839" s="4" t="s">
        <v>6223</v>
      </c>
      <c r="D1839" s="4" t="s">
        <v>6033</v>
      </c>
      <c r="E1839" s="4" t="s">
        <v>6034</v>
      </c>
    </row>
    <row r="1840" spans="1:5">
      <c r="A1840" s="4" t="s">
        <v>6214</v>
      </c>
      <c r="B1840" s="4" t="s">
        <v>6228</v>
      </c>
      <c r="C1840" s="4" t="s">
        <v>6224</v>
      </c>
      <c r="D1840" s="4" t="s">
        <v>6033</v>
      </c>
      <c r="E1840" s="4" t="s">
        <v>6034</v>
      </c>
    </row>
    <row r="1841" spans="1:5">
      <c r="A1841" s="4" t="s">
        <v>6214</v>
      </c>
      <c r="B1841" s="4" t="s">
        <v>6228</v>
      </c>
      <c r="C1841" s="4" t="s">
        <v>6225</v>
      </c>
      <c r="D1841" s="4" t="s">
        <v>6033</v>
      </c>
      <c r="E1841" s="4" t="s">
        <v>6034</v>
      </c>
    </row>
    <row r="1842" spans="1:5">
      <c r="A1842" s="4" t="s">
        <v>6214</v>
      </c>
      <c r="B1842" s="4" t="s">
        <v>6228</v>
      </c>
      <c r="C1842" s="4" t="s">
        <v>6226</v>
      </c>
      <c r="D1842" s="4" t="s">
        <v>6033</v>
      </c>
      <c r="E1842" s="4" t="s">
        <v>6034</v>
      </c>
    </row>
    <row r="1843" spans="1:5">
      <c r="A1843" s="4" t="s">
        <v>6214</v>
      </c>
      <c r="B1843" s="4" t="s">
        <v>6228</v>
      </c>
      <c r="C1843" s="4" t="s">
        <v>6227</v>
      </c>
      <c r="D1843" s="4" t="s">
        <v>6033</v>
      </c>
      <c r="E1843" s="4" t="s">
        <v>6034</v>
      </c>
    </row>
    <row r="1844" spans="1:5">
      <c r="A1844" s="4" t="s">
        <v>6214</v>
      </c>
      <c r="B1844" s="4" t="s">
        <v>6229</v>
      </c>
      <c r="C1844" s="4" t="s">
        <v>6216</v>
      </c>
      <c r="D1844" s="4" t="s">
        <v>6033</v>
      </c>
      <c r="E1844" s="4" t="s">
        <v>6034</v>
      </c>
    </row>
    <row r="1845" spans="1:5">
      <c r="A1845" s="4" t="s">
        <v>6214</v>
      </c>
      <c r="B1845" s="4" t="s">
        <v>6229</v>
      </c>
      <c r="C1845" s="4" t="s">
        <v>6215</v>
      </c>
      <c r="D1845" s="4" t="s">
        <v>6033</v>
      </c>
      <c r="E1845" s="4" t="s">
        <v>6034</v>
      </c>
    </row>
    <row r="1846" spans="1:5">
      <c r="A1846" s="4" t="s">
        <v>6214</v>
      </c>
      <c r="B1846" s="4" t="s">
        <v>6229</v>
      </c>
      <c r="C1846" s="4" t="s">
        <v>6217</v>
      </c>
      <c r="D1846" s="4" t="s">
        <v>6033</v>
      </c>
      <c r="E1846" s="4" t="s">
        <v>6034</v>
      </c>
    </row>
    <row r="1847" spans="1:5">
      <c r="A1847" s="4" t="s">
        <v>6214</v>
      </c>
      <c r="B1847" s="4" t="s">
        <v>6229</v>
      </c>
      <c r="C1847" s="4" t="s">
        <v>6218</v>
      </c>
      <c r="D1847" s="4" t="s">
        <v>6033</v>
      </c>
      <c r="E1847" s="4" t="s">
        <v>6034</v>
      </c>
    </row>
    <row r="1848" spans="1:5">
      <c r="A1848" s="4" t="s">
        <v>6214</v>
      </c>
      <c r="B1848" s="4" t="s">
        <v>6229</v>
      </c>
      <c r="C1848" s="4" t="s">
        <v>6219</v>
      </c>
      <c r="D1848" s="4" t="s">
        <v>6033</v>
      </c>
      <c r="E1848" s="4" t="s">
        <v>6034</v>
      </c>
    </row>
    <row r="1849" spans="1:5">
      <c r="A1849" s="4" t="s">
        <v>6214</v>
      </c>
      <c r="B1849" s="4" t="s">
        <v>6229</v>
      </c>
      <c r="C1849" s="4" t="s">
        <v>6220</v>
      </c>
      <c r="D1849" s="4" t="s">
        <v>6033</v>
      </c>
      <c r="E1849" s="4" t="s">
        <v>6034</v>
      </c>
    </row>
    <row r="1850" spans="1:5">
      <c r="A1850" s="4" t="s">
        <v>6214</v>
      </c>
      <c r="B1850" s="4" t="s">
        <v>6229</v>
      </c>
      <c r="C1850" s="4" t="s">
        <v>6221</v>
      </c>
      <c r="D1850" s="4" t="s">
        <v>6033</v>
      </c>
      <c r="E1850" s="4" t="s">
        <v>6034</v>
      </c>
    </row>
    <row r="1851" spans="1:5">
      <c r="A1851" s="4" t="s">
        <v>6214</v>
      </c>
      <c r="B1851" s="4" t="s">
        <v>6229</v>
      </c>
      <c r="C1851" s="4" t="s">
        <v>6222</v>
      </c>
      <c r="D1851" s="4" t="s">
        <v>6033</v>
      </c>
      <c r="E1851" s="4" t="s">
        <v>6034</v>
      </c>
    </row>
    <row r="1852" spans="1:5">
      <c r="A1852" s="4" t="s">
        <v>6214</v>
      </c>
      <c r="B1852" s="4" t="s">
        <v>6229</v>
      </c>
      <c r="C1852" s="4" t="s">
        <v>6223</v>
      </c>
      <c r="D1852" s="4" t="s">
        <v>6033</v>
      </c>
      <c r="E1852" s="4" t="s">
        <v>6034</v>
      </c>
    </row>
    <row r="1853" spans="1:5">
      <c r="A1853" s="4" t="s">
        <v>6214</v>
      </c>
      <c r="B1853" s="4" t="s">
        <v>6229</v>
      </c>
      <c r="C1853" s="4" t="s">
        <v>6224</v>
      </c>
      <c r="D1853" s="4" t="s">
        <v>6033</v>
      </c>
      <c r="E1853" s="4" t="s">
        <v>6034</v>
      </c>
    </row>
    <row r="1854" spans="1:5">
      <c r="A1854" s="4" t="s">
        <v>6214</v>
      </c>
      <c r="B1854" s="4" t="s">
        <v>6229</v>
      </c>
      <c r="C1854" s="4" t="s">
        <v>6225</v>
      </c>
      <c r="D1854" s="4" t="s">
        <v>6033</v>
      </c>
      <c r="E1854" s="4" t="s">
        <v>6034</v>
      </c>
    </row>
    <row r="1855" spans="1:5">
      <c r="A1855" s="4" t="s">
        <v>6214</v>
      </c>
      <c r="B1855" s="4" t="s">
        <v>6229</v>
      </c>
      <c r="C1855" s="4" t="s">
        <v>6226</v>
      </c>
      <c r="D1855" s="4" t="s">
        <v>6033</v>
      </c>
      <c r="E1855" s="4" t="s">
        <v>6034</v>
      </c>
    </row>
    <row r="1856" spans="1:5">
      <c r="A1856" s="4" t="s">
        <v>6214</v>
      </c>
      <c r="B1856" s="4" t="s">
        <v>6229</v>
      </c>
      <c r="C1856" s="4" t="s">
        <v>6227</v>
      </c>
      <c r="D1856" s="4" t="s">
        <v>6033</v>
      </c>
      <c r="E1856" s="4" t="s">
        <v>6034</v>
      </c>
    </row>
    <row r="1857" spans="1:5">
      <c r="A1857" s="4" t="s">
        <v>6214</v>
      </c>
      <c r="B1857" s="4" t="s">
        <v>6229</v>
      </c>
      <c r="C1857" s="4" t="s">
        <v>6228</v>
      </c>
      <c r="D1857" s="4" t="s">
        <v>6033</v>
      </c>
      <c r="E1857" s="4" t="s">
        <v>6034</v>
      </c>
    </row>
    <row r="1858" spans="1:5">
      <c r="A1858" s="4" t="s">
        <v>6214</v>
      </c>
      <c r="B1858" s="4" t="s">
        <v>6230</v>
      </c>
      <c r="C1858" s="4" t="s">
        <v>6216</v>
      </c>
      <c r="D1858" s="4" t="s">
        <v>6033</v>
      </c>
      <c r="E1858" s="4" t="s">
        <v>6034</v>
      </c>
    </row>
    <row r="1859" spans="1:5">
      <c r="A1859" s="4" t="s">
        <v>6214</v>
      </c>
      <c r="B1859" s="4" t="s">
        <v>6230</v>
      </c>
      <c r="C1859" s="4" t="s">
        <v>6215</v>
      </c>
      <c r="D1859" s="4" t="s">
        <v>6033</v>
      </c>
      <c r="E1859" s="4" t="s">
        <v>6034</v>
      </c>
    </row>
    <row r="1860" spans="1:5">
      <c r="A1860" s="4" t="s">
        <v>6214</v>
      </c>
      <c r="B1860" s="4" t="s">
        <v>6230</v>
      </c>
      <c r="C1860" s="4" t="s">
        <v>6217</v>
      </c>
      <c r="D1860" s="4" t="s">
        <v>6033</v>
      </c>
      <c r="E1860" s="4" t="s">
        <v>6034</v>
      </c>
    </row>
    <row r="1861" spans="1:5">
      <c r="A1861" s="4" t="s">
        <v>6214</v>
      </c>
      <c r="B1861" s="4" t="s">
        <v>6230</v>
      </c>
      <c r="C1861" s="4" t="s">
        <v>6218</v>
      </c>
      <c r="D1861" s="4" t="s">
        <v>6033</v>
      </c>
      <c r="E1861" s="4" t="s">
        <v>6034</v>
      </c>
    </row>
    <row r="1862" spans="1:5">
      <c r="A1862" s="4" t="s">
        <v>6214</v>
      </c>
      <c r="B1862" s="4" t="s">
        <v>6230</v>
      </c>
      <c r="C1862" s="4" t="s">
        <v>6219</v>
      </c>
      <c r="D1862" s="4" t="s">
        <v>6033</v>
      </c>
      <c r="E1862" s="4" t="s">
        <v>6034</v>
      </c>
    </row>
    <row r="1863" spans="1:5">
      <c r="A1863" s="4" t="s">
        <v>6214</v>
      </c>
      <c r="B1863" s="4" t="s">
        <v>6230</v>
      </c>
      <c r="C1863" s="4" t="s">
        <v>6220</v>
      </c>
      <c r="D1863" s="4" t="s">
        <v>6033</v>
      </c>
      <c r="E1863" s="4" t="s">
        <v>6034</v>
      </c>
    </row>
    <row r="1864" spans="1:5">
      <c r="A1864" s="4" t="s">
        <v>6214</v>
      </c>
      <c r="B1864" s="4" t="s">
        <v>6230</v>
      </c>
      <c r="C1864" s="4" t="s">
        <v>6221</v>
      </c>
      <c r="D1864" s="4" t="s">
        <v>6033</v>
      </c>
      <c r="E1864" s="4" t="s">
        <v>6034</v>
      </c>
    </row>
    <row r="1865" spans="1:5">
      <c r="A1865" s="4" t="s">
        <v>6214</v>
      </c>
      <c r="B1865" s="4" t="s">
        <v>6230</v>
      </c>
      <c r="C1865" s="4" t="s">
        <v>6222</v>
      </c>
      <c r="D1865" s="4" t="s">
        <v>6033</v>
      </c>
      <c r="E1865" s="4" t="s">
        <v>6034</v>
      </c>
    </row>
    <row r="1866" spans="1:5">
      <c r="A1866" s="4" t="s">
        <v>6214</v>
      </c>
      <c r="B1866" s="4" t="s">
        <v>6230</v>
      </c>
      <c r="C1866" s="4" t="s">
        <v>6223</v>
      </c>
      <c r="D1866" s="4" t="s">
        <v>6033</v>
      </c>
      <c r="E1866" s="4" t="s">
        <v>6034</v>
      </c>
    </row>
    <row r="1867" spans="1:5">
      <c r="A1867" s="4" t="s">
        <v>6214</v>
      </c>
      <c r="B1867" s="4" t="s">
        <v>6230</v>
      </c>
      <c r="C1867" s="4" t="s">
        <v>6224</v>
      </c>
      <c r="D1867" s="4" t="s">
        <v>6033</v>
      </c>
      <c r="E1867" s="4" t="s">
        <v>6034</v>
      </c>
    </row>
    <row r="1868" spans="1:5">
      <c r="A1868" s="4" t="s">
        <v>6214</v>
      </c>
      <c r="B1868" s="4" t="s">
        <v>6230</v>
      </c>
      <c r="C1868" s="4" t="s">
        <v>6225</v>
      </c>
      <c r="D1868" s="4" t="s">
        <v>6033</v>
      </c>
      <c r="E1868" s="4" t="s">
        <v>6034</v>
      </c>
    </row>
    <row r="1869" spans="1:5">
      <c r="A1869" s="4" t="s">
        <v>6214</v>
      </c>
      <c r="B1869" s="4" t="s">
        <v>6230</v>
      </c>
      <c r="C1869" s="4" t="s">
        <v>6226</v>
      </c>
      <c r="D1869" s="4" t="s">
        <v>6033</v>
      </c>
      <c r="E1869" s="4" t="s">
        <v>6034</v>
      </c>
    </row>
    <row r="1870" spans="1:5">
      <c r="A1870" s="4" t="s">
        <v>6214</v>
      </c>
      <c r="B1870" s="4" t="s">
        <v>6230</v>
      </c>
      <c r="C1870" s="4" t="s">
        <v>6227</v>
      </c>
      <c r="D1870" s="4" t="s">
        <v>6033</v>
      </c>
      <c r="E1870" s="4" t="s">
        <v>6034</v>
      </c>
    </row>
    <row r="1871" spans="1:5">
      <c r="A1871" s="4" t="s">
        <v>6214</v>
      </c>
      <c r="B1871" s="4" t="s">
        <v>6230</v>
      </c>
      <c r="C1871" s="4" t="s">
        <v>6228</v>
      </c>
      <c r="D1871" s="4" t="s">
        <v>6033</v>
      </c>
      <c r="E1871" s="4" t="s">
        <v>6034</v>
      </c>
    </row>
    <row r="1872" spans="1:5">
      <c r="A1872" s="4" t="s">
        <v>6214</v>
      </c>
      <c r="B1872" s="4" t="s">
        <v>6230</v>
      </c>
      <c r="C1872" s="4" t="s">
        <v>6229</v>
      </c>
      <c r="D1872" s="4" t="s">
        <v>6033</v>
      </c>
      <c r="E1872" s="4" t="s">
        <v>6034</v>
      </c>
    </row>
    <row r="1873" spans="1:5">
      <c r="A1873" s="4" t="s">
        <v>6214</v>
      </c>
      <c r="B1873" s="4" t="s">
        <v>6231</v>
      </c>
      <c r="C1873" s="4" t="s">
        <v>6216</v>
      </c>
      <c r="D1873" s="4" t="s">
        <v>6033</v>
      </c>
      <c r="E1873" s="4" t="s">
        <v>6034</v>
      </c>
    </row>
    <row r="1874" spans="1:5">
      <c r="A1874" s="4" t="s">
        <v>6214</v>
      </c>
      <c r="B1874" s="4" t="s">
        <v>6231</v>
      </c>
      <c r="C1874" s="4" t="s">
        <v>6215</v>
      </c>
      <c r="D1874" s="4" t="s">
        <v>6033</v>
      </c>
      <c r="E1874" s="4" t="s">
        <v>6034</v>
      </c>
    </row>
    <row r="1875" spans="1:5">
      <c r="A1875" s="4" t="s">
        <v>6214</v>
      </c>
      <c r="B1875" s="4" t="s">
        <v>6231</v>
      </c>
      <c r="C1875" s="4" t="s">
        <v>6217</v>
      </c>
      <c r="D1875" s="4" t="s">
        <v>6033</v>
      </c>
      <c r="E1875" s="4" t="s">
        <v>6034</v>
      </c>
    </row>
    <row r="1876" spans="1:5">
      <c r="A1876" s="4" t="s">
        <v>6214</v>
      </c>
      <c r="B1876" s="4" t="s">
        <v>6231</v>
      </c>
      <c r="C1876" s="4" t="s">
        <v>6218</v>
      </c>
      <c r="D1876" s="4" t="s">
        <v>6033</v>
      </c>
      <c r="E1876" s="4" t="s">
        <v>6034</v>
      </c>
    </row>
    <row r="1877" spans="1:5">
      <c r="A1877" s="4" t="s">
        <v>6214</v>
      </c>
      <c r="B1877" s="4" t="s">
        <v>6231</v>
      </c>
      <c r="C1877" s="4" t="s">
        <v>6219</v>
      </c>
      <c r="D1877" s="4" t="s">
        <v>6033</v>
      </c>
      <c r="E1877" s="4" t="s">
        <v>6034</v>
      </c>
    </row>
    <row r="1878" spans="1:5">
      <c r="A1878" s="4" t="s">
        <v>6214</v>
      </c>
      <c r="B1878" s="4" t="s">
        <v>6231</v>
      </c>
      <c r="C1878" s="4" t="s">
        <v>6220</v>
      </c>
      <c r="D1878" s="4" t="s">
        <v>6033</v>
      </c>
      <c r="E1878" s="4" t="s">
        <v>6034</v>
      </c>
    </row>
    <row r="1879" spans="1:5">
      <c r="A1879" s="4" t="s">
        <v>6214</v>
      </c>
      <c r="B1879" s="4" t="s">
        <v>6231</v>
      </c>
      <c r="C1879" s="4" t="s">
        <v>6221</v>
      </c>
      <c r="D1879" s="4" t="s">
        <v>6033</v>
      </c>
      <c r="E1879" s="4" t="s">
        <v>6034</v>
      </c>
    </row>
    <row r="1880" spans="1:5">
      <c r="A1880" s="4" t="s">
        <v>6214</v>
      </c>
      <c r="B1880" s="4" t="s">
        <v>6231</v>
      </c>
      <c r="C1880" s="4" t="s">
        <v>6222</v>
      </c>
      <c r="D1880" s="4" t="s">
        <v>6033</v>
      </c>
      <c r="E1880" s="4" t="s">
        <v>6034</v>
      </c>
    </row>
    <row r="1881" spans="1:5">
      <c r="A1881" s="4" t="s">
        <v>6214</v>
      </c>
      <c r="B1881" s="4" t="s">
        <v>6231</v>
      </c>
      <c r="C1881" s="4" t="s">
        <v>6223</v>
      </c>
      <c r="D1881" s="4" t="s">
        <v>6033</v>
      </c>
      <c r="E1881" s="4" t="s">
        <v>6034</v>
      </c>
    </row>
    <row r="1882" spans="1:5">
      <c r="A1882" s="4" t="s">
        <v>6214</v>
      </c>
      <c r="B1882" s="4" t="s">
        <v>6231</v>
      </c>
      <c r="C1882" s="4" t="s">
        <v>6224</v>
      </c>
      <c r="D1882" s="4" t="s">
        <v>6033</v>
      </c>
      <c r="E1882" s="4" t="s">
        <v>6034</v>
      </c>
    </row>
    <row r="1883" spans="1:5">
      <c r="A1883" s="4" t="s">
        <v>6214</v>
      </c>
      <c r="B1883" s="4" t="s">
        <v>6231</v>
      </c>
      <c r="C1883" s="4" t="s">
        <v>6225</v>
      </c>
      <c r="D1883" s="4" t="s">
        <v>6033</v>
      </c>
      <c r="E1883" s="4" t="s">
        <v>6034</v>
      </c>
    </row>
    <row r="1884" spans="1:5">
      <c r="A1884" s="4" t="s">
        <v>6214</v>
      </c>
      <c r="B1884" s="4" t="s">
        <v>6231</v>
      </c>
      <c r="C1884" s="4" t="s">
        <v>6226</v>
      </c>
      <c r="D1884" s="4" t="s">
        <v>6033</v>
      </c>
      <c r="E1884" s="4" t="s">
        <v>6034</v>
      </c>
    </row>
    <row r="1885" spans="1:5">
      <c r="A1885" s="4" t="s">
        <v>6214</v>
      </c>
      <c r="B1885" s="4" t="s">
        <v>6231</v>
      </c>
      <c r="C1885" s="4" t="s">
        <v>6227</v>
      </c>
      <c r="D1885" s="4" t="s">
        <v>6033</v>
      </c>
      <c r="E1885" s="4" t="s">
        <v>6034</v>
      </c>
    </row>
    <row r="1886" spans="1:5">
      <c r="A1886" s="4" t="s">
        <v>6214</v>
      </c>
      <c r="B1886" s="4" t="s">
        <v>6231</v>
      </c>
      <c r="C1886" s="4" t="s">
        <v>6228</v>
      </c>
      <c r="D1886" s="4" t="s">
        <v>6033</v>
      </c>
      <c r="E1886" s="4" t="s">
        <v>6034</v>
      </c>
    </row>
    <row r="1887" spans="1:5">
      <c r="A1887" s="4" t="s">
        <v>6214</v>
      </c>
      <c r="B1887" s="4" t="s">
        <v>6231</v>
      </c>
      <c r="C1887" s="4" t="s">
        <v>6229</v>
      </c>
      <c r="D1887" s="4" t="s">
        <v>6033</v>
      </c>
      <c r="E1887" s="4" t="s">
        <v>6034</v>
      </c>
    </row>
    <row r="1888" spans="1:5">
      <c r="A1888" s="4" t="s">
        <v>6214</v>
      </c>
      <c r="B1888" s="4" t="s">
        <v>6231</v>
      </c>
      <c r="C1888" s="4" t="s">
        <v>6230</v>
      </c>
      <c r="D1888" s="4" t="s">
        <v>6033</v>
      </c>
      <c r="E1888" s="4" t="s">
        <v>6034</v>
      </c>
    </row>
    <row r="1889" spans="1:5">
      <c r="A1889" s="4" t="s">
        <v>6214</v>
      </c>
      <c r="B1889" s="4" t="s">
        <v>6232</v>
      </c>
      <c r="C1889" s="4" t="s">
        <v>6216</v>
      </c>
      <c r="D1889" s="4" t="s">
        <v>6033</v>
      </c>
      <c r="E1889" s="4" t="s">
        <v>6034</v>
      </c>
    </row>
    <row r="1890" spans="1:5">
      <c r="A1890" s="4" t="s">
        <v>6214</v>
      </c>
      <c r="B1890" s="4" t="s">
        <v>6232</v>
      </c>
      <c r="C1890" s="4" t="s">
        <v>6215</v>
      </c>
      <c r="D1890" s="4" t="s">
        <v>6033</v>
      </c>
      <c r="E1890" s="4" t="s">
        <v>6034</v>
      </c>
    </row>
    <row r="1891" spans="1:5">
      <c r="A1891" s="4" t="s">
        <v>6214</v>
      </c>
      <c r="B1891" s="4" t="s">
        <v>6232</v>
      </c>
      <c r="C1891" s="4" t="s">
        <v>6217</v>
      </c>
      <c r="D1891" s="4" t="s">
        <v>6033</v>
      </c>
      <c r="E1891" s="4" t="s">
        <v>6034</v>
      </c>
    </row>
    <row r="1892" spans="1:5">
      <c r="A1892" s="4" t="s">
        <v>6214</v>
      </c>
      <c r="B1892" s="4" t="s">
        <v>6232</v>
      </c>
      <c r="C1892" s="4" t="s">
        <v>6218</v>
      </c>
      <c r="D1892" s="4" t="s">
        <v>6033</v>
      </c>
      <c r="E1892" s="4" t="s">
        <v>6034</v>
      </c>
    </row>
    <row r="1893" spans="1:5">
      <c r="A1893" s="4" t="s">
        <v>6214</v>
      </c>
      <c r="B1893" s="4" t="s">
        <v>6232</v>
      </c>
      <c r="C1893" s="4" t="s">
        <v>6219</v>
      </c>
      <c r="D1893" s="4" t="s">
        <v>6033</v>
      </c>
      <c r="E1893" s="4" t="s">
        <v>6034</v>
      </c>
    </row>
    <row r="1894" spans="1:5">
      <c r="A1894" s="4" t="s">
        <v>6214</v>
      </c>
      <c r="B1894" s="4" t="s">
        <v>6232</v>
      </c>
      <c r="C1894" s="4" t="s">
        <v>6220</v>
      </c>
      <c r="D1894" s="4" t="s">
        <v>6033</v>
      </c>
      <c r="E1894" s="4" t="s">
        <v>6034</v>
      </c>
    </row>
    <row r="1895" spans="1:5">
      <c r="A1895" s="4" t="s">
        <v>6214</v>
      </c>
      <c r="B1895" s="4" t="s">
        <v>6232</v>
      </c>
      <c r="C1895" s="4" t="s">
        <v>6221</v>
      </c>
      <c r="D1895" s="4" t="s">
        <v>6033</v>
      </c>
      <c r="E1895" s="4" t="s">
        <v>6034</v>
      </c>
    </row>
    <row r="1896" spans="1:5">
      <c r="A1896" s="4" t="s">
        <v>6214</v>
      </c>
      <c r="B1896" s="4" t="s">
        <v>6232</v>
      </c>
      <c r="C1896" s="4" t="s">
        <v>6222</v>
      </c>
      <c r="D1896" s="4" t="s">
        <v>6033</v>
      </c>
      <c r="E1896" s="4" t="s">
        <v>6034</v>
      </c>
    </row>
    <row r="1897" spans="1:5">
      <c r="A1897" s="4" t="s">
        <v>6214</v>
      </c>
      <c r="B1897" s="4" t="s">
        <v>6232</v>
      </c>
      <c r="C1897" s="4" t="s">
        <v>6223</v>
      </c>
      <c r="D1897" s="4" t="s">
        <v>6033</v>
      </c>
      <c r="E1897" s="4" t="s">
        <v>6034</v>
      </c>
    </row>
    <row r="1898" spans="1:5">
      <c r="A1898" s="4" t="s">
        <v>6214</v>
      </c>
      <c r="B1898" s="4" t="s">
        <v>6232</v>
      </c>
      <c r="C1898" s="4" t="s">
        <v>6224</v>
      </c>
      <c r="D1898" s="4" t="s">
        <v>6033</v>
      </c>
      <c r="E1898" s="4" t="s">
        <v>6034</v>
      </c>
    </row>
    <row r="1899" spans="1:5">
      <c r="A1899" s="4" t="s">
        <v>6214</v>
      </c>
      <c r="B1899" s="4" t="s">
        <v>6232</v>
      </c>
      <c r="C1899" s="4" t="s">
        <v>6225</v>
      </c>
      <c r="D1899" s="4" t="s">
        <v>6033</v>
      </c>
      <c r="E1899" s="4" t="s">
        <v>6034</v>
      </c>
    </row>
    <row r="1900" spans="1:5">
      <c r="A1900" s="4" t="s">
        <v>6214</v>
      </c>
      <c r="B1900" s="4" t="s">
        <v>6232</v>
      </c>
      <c r="C1900" s="4" t="s">
        <v>6226</v>
      </c>
      <c r="D1900" s="4" t="s">
        <v>6033</v>
      </c>
      <c r="E1900" s="4" t="s">
        <v>6034</v>
      </c>
    </row>
    <row r="1901" spans="1:5">
      <c r="A1901" s="4" t="s">
        <v>6214</v>
      </c>
      <c r="B1901" s="4" t="s">
        <v>6232</v>
      </c>
      <c r="C1901" s="4" t="s">
        <v>6227</v>
      </c>
      <c r="D1901" s="4" t="s">
        <v>6033</v>
      </c>
      <c r="E1901" s="4" t="s">
        <v>6034</v>
      </c>
    </row>
    <row r="1902" spans="1:5">
      <c r="A1902" s="4" t="s">
        <v>6214</v>
      </c>
      <c r="B1902" s="4" t="s">
        <v>6232</v>
      </c>
      <c r="C1902" s="4" t="s">
        <v>6228</v>
      </c>
      <c r="D1902" s="4" t="s">
        <v>6033</v>
      </c>
      <c r="E1902" s="4" t="s">
        <v>6034</v>
      </c>
    </row>
    <row r="1903" spans="1:5">
      <c r="A1903" s="4" t="s">
        <v>6214</v>
      </c>
      <c r="B1903" s="4" t="s">
        <v>6232</v>
      </c>
      <c r="C1903" s="4" t="s">
        <v>6229</v>
      </c>
      <c r="D1903" s="4" t="s">
        <v>6033</v>
      </c>
      <c r="E1903" s="4" t="s">
        <v>6034</v>
      </c>
    </row>
    <row r="1904" spans="1:5">
      <c r="A1904" s="4" t="s">
        <v>6214</v>
      </c>
      <c r="B1904" s="4" t="s">
        <v>6232</v>
      </c>
      <c r="C1904" s="4" t="s">
        <v>6230</v>
      </c>
      <c r="D1904" s="4" t="s">
        <v>6033</v>
      </c>
      <c r="E1904" s="4" t="s">
        <v>6034</v>
      </c>
    </row>
    <row r="1905" spans="1:5">
      <c r="A1905" s="4" t="s">
        <v>6214</v>
      </c>
      <c r="B1905" s="4" t="s">
        <v>6232</v>
      </c>
      <c r="C1905" s="4" t="s">
        <v>6231</v>
      </c>
      <c r="D1905" s="4" t="s">
        <v>6033</v>
      </c>
      <c r="E1905" s="4" t="s">
        <v>6034</v>
      </c>
    </row>
    <row r="1906" spans="1:5">
      <c r="A1906" s="4" t="s">
        <v>6214</v>
      </c>
      <c r="B1906" s="4" t="s">
        <v>6233</v>
      </c>
      <c r="C1906" s="4" t="s">
        <v>6216</v>
      </c>
      <c r="D1906" s="4" t="s">
        <v>6033</v>
      </c>
      <c r="E1906" s="4" t="s">
        <v>6034</v>
      </c>
    </row>
    <row r="1907" spans="1:5">
      <c r="A1907" s="4" t="s">
        <v>6214</v>
      </c>
      <c r="B1907" s="4" t="s">
        <v>6233</v>
      </c>
      <c r="C1907" s="4" t="s">
        <v>6215</v>
      </c>
      <c r="D1907" s="4" t="s">
        <v>6033</v>
      </c>
      <c r="E1907" s="4" t="s">
        <v>6034</v>
      </c>
    </row>
    <row r="1908" spans="1:5">
      <c r="A1908" s="4" t="s">
        <v>6214</v>
      </c>
      <c r="B1908" s="4" t="s">
        <v>6233</v>
      </c>
      <c r="C1908" s="4" t="s">
        <v>6217</v>
      </c>
      <c r="D1908" s="4" t="s">
        <v>6033</v>
      </c>
      <c r="E1908" s="4" t="s">
        <v>6034</v>
      </c>
    </row>
    <row r="1909" spans="1:5">
      <c r="A1909" s="4" t="s">
        <v>6214</v>
      </c>
      <c r="B1909" s="4" t="s">
        <v>6233</v>
      </c>
      <c r="C1909" s="4" t="s">
        <v>6218</v>
      </c>
      <c r="D1909" s="4" t="s">
        <v>6033</v>
      </c>
      <c r="E1909" s="4" t="s">
        <v>6034</v>
      </c>
    </row>
    <row r="1910" spans="1:5">
      <c r="A1910" s="4" t="s">
        <v>6214</v>
      </c>
      <c r="B1910" s="4" t="s">
        <v>6233</v>
      </c>
      <c r="C1910" s="4" t="s">
        <v>6219</v>
      </c>
      <c r="D1910" s="4" t="s">
        <v>6033</v>
      </c>
      <c r="E1910" s="4" t="s">
        <v>6034</v>
      </c>
    </row>
    <row r="1911" spans="1:5">
      <c r="A1911" s="4" t="s">
        <v>6214</v>
      </c>
      <c r="B1911" s="4" t="s">
        <v>6233</v>
      </c>
      <c r="C1911" s="4" t="s">
        <v>6220</v>
      </c>
      <c r="D1911" s="4" t="s">
        <v>6033</v>
      </c>
      <c r="E1911" s="4" t="s">
        <v>6034</v>
      </c>
    </row>
    <row r="1912" spans="1:5">
      <c r="A1912" s="4" t="s">
        <v>6214</v>
      </c>
      <c r="B1912" s="4" t="s">
        <v>6233</v>
      </c>
      <c r="C1912" s="4" t="s">
        <v>6221</v>
      </c>
      <c r="D1912" s="4" t="s">
        <v>6033</v>
      </c>
      <c r="E1912" s="4" t="s">
        <v>6034</v>
      </c>
    </row>
    <row r="1913" spans="1:5">
      <c r="A1913" s="4" t="s">
        <v>6214</v>
      </c>
      <c r="B1913" s="4" t="s">
        <v>6233</v>
      </c>
      <c r="C1913" s="4" t="s">
        <v>6222</v>
      </c>
      <c r="D1913" s="4" t="s">
        <v>6033</v>
      </c>
      <c r="E1913" s="4" t="s">
        <v>6034</v>
      </c>
    </row>
    <row r="1914" spans="1:5">
      <c r="A1914" s="4" t="s">
        <v>6214</v>
      </c>
      <c r="B1914" s="4" t="s">
        <v>6233</v>
      </c>
      <c r="C1914" s="4" t="s">
        <v>6223</v>
      </c>
      <c r="D1914" s="4" t="s">
        <v>6033</v>
      </c>
      <c r="E1914" s="4" t="s">
        <v>6034</v>
      </c>
    </row>
    <row r="1915" spans="1:5">
      <c r="A1915" s="4" t="s">
        <v>6214</v>
      </c>
      <c r="B1915" s="4" t="s">
        <v>6233</v>
      </c>
      <c r="C1915" s="4" t="s">
        <v>6224</v>
      </c>
      <c r="D1915" s="4" t="s">
        <v>6033</v>
      </c>
      <c r="E1915" s="4" t="s">
        <v>6034</v>
      </c>
    </row>
    <row r="1916" spans="1:5">
      <c r="A1916" s="4" t="s">
        <v>6214</v>
      </c>
      <c r="B1916" s="4" t="s">
        <v>6233</v>
      </c>
      <c r="C1916" s="4" t="s">
        <v>6225</v>
      </c>
      <c r="D1916" s="4" t="s">
        <v>6033</v>
      </c>
      <c r="E1916" s="4" t="s">
        <v>6034</v>
      </c>
    </row>
    <row r="1917" spans="1:5">
      <c r="A1917" s="4" t="s">
        <v>6214</v>
      </c>
      <c r="B1917" s="4" t="s">
        <v>6233</v>
      </c>
      <c r="C1917" s="4" t="s">
        <v>6226</v>
      </c>
      <c r="D1917" s="4" t="s">
        <v>6033</v>
      </c>
      <c r="E1917" s="4" t="s">
        <v>6034</v>
      </c>
    </row>
    <row r="1918" spans="1:5">
      <c r="A1918" s="4" t="s">
        <v>6214</v>
      </c>
      <c r="B1918" s="4" t="s">
        <v>6233</v>
      </c>
      <c r="C1918" s="4" t="s">
        <v>6227</v>
      </c>
      <c r="D1918" s="4" t="s">
        <v>6033</v>
      </c>
      <c r="E1918" s="4" t="s">
        <v>6034</v>
      </c>
    </row>
    <row r="1919" spans="1:5">
      <c r="A1919" s="4" t="s">
        <v>6214</v>
      </c>
      <c r="B1919" s="4" t="s">
        <v>6233</v>
      </c>
      <c r="C1919" s="4" t="s">
        <v>6228</v>
      </c>
      <c r="D1919" s="4" t="s">
        <v>6033</v>
      </c>
      <c r="E1919" s="4" t="s">
        <v>6034</v>
      </c>
    </row>
    <row r="1920" spans="1:5">
      <c r="A1920" s="4" t="s">
        <v>6214</v>
      </c>
      <c r="B1920" s="4" t="s">
        <v>6233</v>
      </c>
      <c r="C1920" s="4" t="s">
        <v>6229</v>
      </c>
      <c r="D1920" s="4" t="s">
        <v>6033</v>
      </c>
      <c r="E1920" s="4" t="s">
        <v>6034</v>
      </c>
    </row>
    <row r="1921" spans="1:5">
      <c r="A1921" s="4" t="s">
        <v>6214</v>
      </c>
      <c r="B1921" s="4" t="s">
        <v>6233</v>
      </c>
      <c r="C1921" s="4" t="s">
        <v>6230</v>
      </c>
      <c r="D1921" s="4" t="s">
        <v>6033</v>
      </c>
      <c r="E1921" s="4" t="s">
        <v>6034</v>
      </c>
    </row>
    <row r="1922" spans="1:5">
      <c r="A1922" s="4" t="s">
        <v>6214</v>
      </c>
      <c r="B1922" s="4" t="s">
        <v>6233</v>
      </c>
      <c r="C1922" s="4" t="s">
        <v>6231</v>
      </c>
      <c r="D1922" s="4" t="s">
        <v>6033</v>
      </c>
      <c r="E1922" s="4" t="s">
        <v>6034</v>
      </c>
    </row>
    <row r="1923" spans="1:5">
      <c r="A1923" s="4" t="s">
        <v>6214</v>
      </c>
      <c r="B1923" s="4" t="s">
        <v>6233</v>
      </c>
      <c r="C1923" s="4" t="s">
        <v>6232</v>
      </c>
      <c r="D1923" s="4" t="s">
        <v>6033</v>
      </c>
      <c r="E1923" s="4" t="s">
        <v>6034</v>
      </c>
    </row>
    <row r="1924" spans="1:5">
      <c r="A1924" s="4" t="s">
        <v>6214</v>
      </c>
      <c r="B1924" s="4" t="s">
        <v>6234</v>
      </c>
      <c r="C1924" s="4" t="s">
        <v>6216</v>
      </c>
      <c r="D1924" s="4" t="s">
        <v>6033</v>
      </c>
      <c r="E1924" s="4" t="s">
        <v>6034</v>
      </c>
    </row>
    <row r="1925" spans="1:5">
      <c r="A1925" s="4" t="s">
        <v>6214</v>
      </c>
      <c r="B1925" s="4" t="s">
        <v>6234</v>
      </c>
      <c r="C1925" s="4" t="s">
        <v>6215</v>
      </c>
      <c r="D1925" s="4" t="s">
        <v>6039</v>
      </c>
      <c r="E1925" s="4" t="s">
        <v>6040</v>
      </c>
    </row>
    <row r="1926" spans="1:5">
      <c r="A1926" s="4" t="s">
        <v>6214</v>
      </c>
      <c r="B1926" s="4" t="s">
        <v>6234</v>
      </c>
      <c r="C1926" s="4" t="s">
        <v>6217</v>
      </c>
      <c r="D1926" s="4" t="s">
        <v>6039</v>
      </c>
      <c r="E1926" s="4" t="s">
        <v>6040</v>
      </c>
    </row>
    <row r="1927" spans="1:5">
      <c r="A1927" s="4" t="s">
        <v>6214</v>
      </c>
      <c r="B1927" s="4" t="s">
        <v>6234</v>
      </c>
      <c r="C1927" s="4" t="s">
        <v>6218</v>
      </c>
      <c r="D1927" s="4" t="s">
        <v>6033</v>
      </c>
      <c r="E1927" s="4" t="s">
        <v>6034</v>
      </c>
    </row>
    <row r="1928" spans="1:5">
      <c r="A1928" s="4" t="s">
        <v>6214</v>
      </c>
      <c r="B1928" s="4" t="s">
        <v>6234</v>
      </c>
      <c r="C1928" s="4" t="s">
        <v>6219</v>
      </c>
      <c r="D1928" s="4" t="s">
        <v>6039</v>
      </c>
      <c r="E1928" s="4" t="s">
        <v>6040</v>
      </c>
    </row>
    <row r="1929" spans="1:5">
      <c r="A1929" s="4" t="s">
        <v>6214</v>
      </c>
      <c r="B1929" s="4" t="s">
        <v>6234</v>
      </c>
      <c r="C1929" s="4" t="s">
        <v>6220</v>
      </c>
      <c r="D1929" s="4" t="s">
        <v>6039</v>
      </c>
      <c r="E1929" s="4" t="s">
        <v>6040</v>
      </c>
    </row>
    <row r="1930" spans="1:5">
      <c r="A1930" s="4" t="s">
        <v>6214</v>
      </c>
      <c r="B1930" s="4" t="s">
        <v>6234</v>
      </c>
      <c r="C1930" s="4" t="s">
        <v>6221</v>
      </c>
      <c r="D1930" s="4" t="s">
        <v>6039</v>
      </c>
      <c r="E1930" s="4" t="s">
        <v>6040</v>
      </c>
    </row>
    <row r="1931" spans="1:5">
      <c r="A1931" s="4" t="s">
        <v>6214</v>
      </c>
      <c r="B1931" s="4" t="s">
        <v>6234</v>
      </c>
      <c r="C1931" s="4" t="s">
        <v>6222</v>
      </c>
      <c r="D1931" s="4" t="s">
        <v>6039</v>
      </c>
      <c r="E1931" s="4" t="s">
        <v>6040</v>
      </c>
    </row>
    <row r="1932" spans="1:5">
      <c r="A1932" s="4" t="s">
        <v>6214</v>
      </c>
      <c r="B1932" s="4" t="s">
        <v>6234</v>
      </c>
      <c r="C1932" s="4" t="s">
        <v>6223</v>
      </c>
      <c r="D1932" s="4" t="s">
        <v>6033</v>
      </c>
      <c r="E1932" s="4" t="s">
        <v>6034</v>
      </c>
    </row>
    <row r="1933" spans="1:5">
      <c r="A1933" s="4" t="s">
        <v>6214</v>
      </c>
      <c r="B1933" s="4" t="s">
        <v>6234</v>
      </c>
      <c r="C1933" s="4" t="s">
        <v>6224</v>
      </c>
      <c r="D1933" s="4" t="s">
        <v>6039</v>
      </c>
      <c r="E1933" s="4" t="s">
        <v>6040</v>
      </c>
    </row>
    <row r="1934" spans="1:5">
      <c r="A1934" s="4" t="s">
        <v>6214</v>
      </c>
      <c r="B1934" s="4" t="s">
        <v>6234</v>
      </c>
      <c r="C1934" s="4" t="s">
        <v>6225</v>
      </c>
      <c r="D1934" s="4" t="s">
        <v>6039</v>
      </c>
      <c r="E1934" s="4" t="s">
        <v>6040</v>
      </c>
    </row>
    <row r="1935" spans="1:5">
      <c r="A1935" s="4" t="s">
        <v>6214</v>
      </c>
      <c r="B1935" s="4" t="s">
        <v>6234</v>
      </c>
      <c r="C1935" s="4" t="s">
        <v>6226</v>
      </c>
      <c r="D1935" s="4" t="s">
        <v>6039</v>
      </c>
      <c r="E1935" s="4" t="s">
        <v>6040</v>
      </c>
    </row>
    <row r="1936" spans="1:5">
      <c r="A1936" s="4" t="s">
        <v>6214</v>
      </c>
      <c r="B1936" s="4" t="s">
        <v>6234</v>
      </c>
      <c r="C1936" s="4" t="s">
        <v>6227</v>
      </c>
      <c r="D1936" s="4" t="s">
        <v>6039</v>
      </c>
      <c r="E1936" s="4" t="s">
        <v>6040</v>
      </c>
    </row>
    <row r="1937" spans="1:5">
      <c r="A1937" s="4" t="s">
        <v>6214</v>
      </c>
      <c r="B1937" s="4" t="s">
        <v>6234</v>
      </c>
      <c r="C1937" s="4" t="s">
        <v>6228</v>
      </c>
      <c r="D1937" s="4" t="s">
        <v>6039</v>
      </c>
      <c r="E1937" s="4" t="s">
        <v>6040</v>
      </c>
    </row>
    <row r="1938" spans="1:5">
      <c r="A1938" s="4" t="s">
        <v>6214</v>
      </c>
      <c r="B1938" s="4" t="s">
        <v>6234</v>
      </c>
      <c r="C1938" s="4" t="s">
        <v>6229</v>
      </c>
      <c r="D1938" s="4" t="s">
        <v>6039</v>
      </c>
      <c r="E1938" s="4" t="s">
        <v>6040</v>
      </c>
    </row>
    <row r="1939" spans="1:5">
      <c r="A1939" s="4" t="s">
        <v>6214</v>
      </c>
      <c r="B1939" s="4" t="s">
        <v>6234</v>
      </c>
      <c r="C1939" s="4" t="s">
        <v>6230</v>
      </c>
      <c r="D1939" s="4" t="s">
        <v>6039</v>
      </c>
      <c r="E1939" s="4" t="s">
        <v>6040</v>
      </c>
    </row>
    <row r="1940" spans="1:5">
      <c r="A1940" s="4" t="s">
        <v>6214</v>
      </c>
      <c r="B1940" s="4" t="s">
        <v>6234</v>
      </c>
      <c r="C1940" s="4" t="s">
        <v>6231</v>
      </c>
      <c r="D1940" s="4" t="s">
        <v>6039</v>
      </c>
      <c r="E1940" s="4" t="s">
        <v>6040</v>
      </c>
    </row>
    <row r="1941" spans="1:5">
      <c r="A1941" s="4" t="s">
        <v>6214</v>
      </c>
      <c r="B1941" s="4" t="s">
        <v>6234</v>
      </c>
      <c r="C1941" s="4" t="s">
        <v>6232</v>
      </c>
      <c r="D1941" s="4" t="s">
        <v>6039</v>
      </c>
      <c r="E1941" s="4" t="s">
        <v>6040</v>
      </c>
    </row>
    <row r="1942" spans="1:5">
      <c r="A1942" s="4" t="s">
        <v>6214</v>
      </c>
      <c r="B1942" s="4" t="s">
        <v>6234</v>
      </c>
      <c r="C1942" s="4" t="s">
        <v>6233</v>
      </c>
      <c r="D1942" s="4" t="s">
        <v>6039</v>
      </c>
      <c r="E1942" s="4" t="s">
        <v>6040</v>
      </c>
    </row>
    <row r="1943" spans="1:5">
      <c r="A1943" s="4" t="s">
        <v>6214</v>
      </c>
      <c r="B1943" s="4" t="s">
        <v>6235</v>
      </c>
      <c r="C1943" s="4" t="s">
        <v>6216</v>
      </c>
      <c r="D1943" s="4" t="s">
        <v>6033</v>
      </c>
      <c r="E1943" s="4" t="s">
        <v>6034</v>
      </c>
    </row>
    <row r="1944" spans="1:5">
      <c r="A1944" s="4" t="s">
        <v>6214</v>
      </c>
      <c r="B1944" s="4" t="s">
        <v>6235</v>
      </c>
      <c r="C1944" s="4" t="s">
        <v>6215</v>
      </c>
      <c r="D1944" s="4" t="s">
        <v>6033</v>
      </c>
      <c r="E1944" s="4" t="s">
        <v>6034</v>
      </c>
    </row>
    <row r="1945" spans="1:5">
      <c r="A1945" s="4" t="s">
        <v>6214</v>
      </c>
      <c r="B1945" s="4" t="s">
        <v>6235</v>
      </c>
      <c r="C1945" s="4" t="s">
        <v>6217</v>
      </c>
      <c r="D1945" s="4" t="s">
        <v>6033</v>
      </c>
      <c r="E1945" s="4" t="s">
        <v>6034</v>
      </c>
    </row>
    <row r="1946" spans="1:5">
      <c r="A1946" s="4" t="s">
        <v>6214</v>
      </c>
      <c r="B1946" s="4" t="s">
        <v>6235</v>
      </c>
      <c r="C1946" s="4" t="s">
        <v>6218</v>
      </c>
      <c r="D1946" s="4" t="s">
        <v>6033</v>
      </c>
      <c r="E1946" s="4" t="s">
        <v>6034</v>
      </c>
    </row>
    <row r="1947" spans="1:5">
      <c r="A1947" s="4" t="s">
        <v>6214</v>
      </c>
      <c r="B1947" s="4" t="s">
        <v>6235</v>
      </c>
      <c r="C1947" s="4" t="s">
        <v>6219</v>
      </c>
      <c r="D1947" s="4" t="s">
        <v>6033</v>
      </c>
      <c r="E1947" s="4" t="s">
        <v>6034</v>
      </c>
    </row>
    <row r="1948" spans="1:5">
      <c r="A1948" s="4" t="s">
        <v>6214</v>
      </c>
      <c r="B1948" s="4" t="s">
        <v>6235</v>
      </c>
      <c r="C1948" s="4" t="s">
        <v>6220</v>
      </c>
      <c r="D1948" s="4" t="s">
        <v>6033</v>
      </c>
      <c r="E1948" s="4" t="s">
        <v>6034</v>
      </c>
    </row>
    <row r="1949" spans="1:5">
      <c r="A1949" s="4" t="s">
        <v>6214</v>
      </c>
      <c r="B1949" s="4" t="s">
        <v>6235</v>
      </c>
      <c r="C1949" s="4" t="s">
        <v>6221</v>
      </c>
      <c r="D1949" s="4" t="s">
        <v>6033</v>
      </c>
      <c r="E1949" s="4" t="s">
        <v>6034</v>
      </c>
    </row>
    <row r="1950" spans="1:5">
      <c r="A1950" s="4" t="s">
        <v>6214</v>
      </c>
      <c r="B1950" s="4" t="s">
        <v>6235</v>
      </c>
      <c r="C1950" s="4" t="s">
        <v>6222</v>
      </c>
      <c r="D1950" s="4" t="s">
        <v>6039</v>
      </c>
      <c r="E1950" s="4" t="s">
        <v>6040</v>
      </c>
    </row>
    <row r="1951" spans="1:5">
      <c r="A1951" s="4" t="s">
        <v>6214</v>
      </c>
      <c r="B1951" s="4" t="s">
        <v>6235</v>
      </c>
      <c r="C1951" s="4" t="s">
        <v>6223</v>
      </c>
      <c r="D1951" s="4" t="s">
        <v>6033</v>
      </c>
      <c r="E1951" s="4" t="s">
        <v>6034</v>
      </c>
    </row>
    <row r="1952" spans="1:5">
      <c r="A1952" s="4" t="s">
        <v>6214</v>
      </c>
      <c r="B1952" s="4" t="s">
        <v>6235</v>
      </c>
      <c r="C1952" s="4" t="s">
        <v>6224</v>
      </c>
      <c r="D1952" s="4" t="s">
        <v>6033</v>
      </c>
      <c r="E1952" s="4" t="s">
        <v>6034</v>
      </c>
    </row>
    <row r="1953" spans="1:5">
      <c r="A1953" s="4" t="s">
        <v>6214</v>
      </c>
      <c r="B1953" s="4" t="s">
        <v>6235</v>
      </c>
      <c r="C1953" s="4" t="s">
        <v>6225</v>
      </c>
      <c r="D1953" s="4" t="s">
        <v>6033</v>
      </c>
      <c r="E1953" s="4" t="s">
        <v>6034</v>
      </c>
    </row>
    <row r="1954" spans="1:5">
      <c r="A1954" s="4" t="s">
        <v>6214</v>
      </c>
      <c r="B1954" s="4" t="s">
        <v>6235</v>
      </c>
      <c r="C1954" s="4" t="s">
        <v>6226</v>
      </c>
      <c r="D1954" s="4" t="s">
        <v>6033</v>
      </c>
      <c r="E1954" s="4" t="s">
        <v>6034</v>
      </c>
    </row>
    <row r="1955" spans="1:5">
      <c r="A1955" s="4" t="s">
        <v>6214</v>
      </c>
      <c r="B1955" s="4" t="s">
        <v>6235</v>
      </c>
      <c r="C1955" s="4" t="s">
        <v>6227</v>
      </c>
      <c r="D1955" s="4" t="s">
        <v>6033</v>
      </c>
      <c r="E1955" s="4" t="s">
        <v>6034</v>
      </c>
    </row>
    <row r="1956" spans="1:5">
      <c r="A1956" s="4" t="s">
        <v>6214</v>
      </c>
      <c r="B1956" s="4" t="s">
        <v>6235</v>
      </c>
      <c r="C1956" s="4" t="s">
        <v>6228</v>
      </c>
      <c r="D1956" s="4" t="s">
        <v>6033</v>
      </c>
      <c r="E1956" s="4" t="s">
        <v>6034</v>
      </c>
    </row>
    <row r="1957" spans="1:5">
      <c r="A1957" s="4" t="s">
        <v>6214</v>
      </c>
      <c r="B1957" s="4" t="s">
        <v>6235</v>
      </c>
      <c r="C1957" s="4" t="s">
        <v>6229</v>
      </c>
      <c r="D1957" s="4" t="s">
        <v>6039</v>
      </c>
      <c r="E1957" s="4" t="s">
        <v>6040</v>
      </c>
    </row>
    <row r="1958" spans="1:5">
      <c r="A1958" s="4" t="s">
        <v>6214</v>
      </c>
      <c r="B1958" s="4" t="s">
        <v>6235</v>
      </c>
      <c r="C1958" s="4" t="s">
        <v>6230</v>
      </c>
      <c r="D1958" s="4" t="s">
        <v>6039</v>
      </c>
      <c r="E1958" s="4" t="s">
        <v>6040</v>
      </c>
    </row>
    <row r="1959" spans="1:5">
      <c r="A1959" s="4" t="s">
        <v>6214</v>
      </c>
      <c r="B1959" s="4" t="s">
        <v>6235</v>
      </c>
      <c r="C1959" s="4" t="s">
        <v>6231</v>
      </c>
      <c r="D1959" s="4" t="s">
        <v>6039</v>
      </c>
      <c r="E1959" s="4" t="s">
        <v>6040</v>
      </c>
    </row>
    <row r="1960" spans="1:5">
      <c r="A1960" s="4" t="s">
        <v>6214</v>
      </c>
      <c r="B1960" s="4" t="s">
        <v>6235</v>
      </c>
      <c r="C1960" s="4" t="s">
        <v>6232</v>
      </c>
      <c r="D1960" s="4" t="s">
        <v>6039</v>
      </c>
      <c r="E1960" s="4" t="s">
        <v>6040</v>
      </c>
    </row>
    <row r="1961" spans="1:5">
      <c r="A1961" s="4" t="s">
        <v>6214</v>
      </c>
      <c r="B1961" s="4" t="s">
        <v>6235</v>
      </c>
      <c r="C1961" s="4" t="s">
        <v>6233</v>
      </c>
      <c r="D1961" s="4" t="s">
        <v>6039</v>
      </c>
      <c r="E1961" s="4" t="s">
        <v>6040</v>
      </c>
    </row>
    <row r="1962" spans="1:5">
      <c r="A1962" s="4" t="s">
        <v>6214</v>
      </c>
      <c r="B1962" s="4" t="s">
        <v>6235</v>
      </c>
      <c r="C1962" s="4" t="s">
        <v>6234</v>
      </c>
      <c r="D1962" s="4" t="s">
        <v>6033</v>
      </c>
      <c r="E1962" s="4" t="s">
        <v>6034</v>
      </c>
    </row>
    <row r="1963" spans="1:5">
      <c r="A1963" s="4" t="s">
        <v>6214</v>
      </c>
      <c r="B1963" s="4" t="s">
        <v>6236</v>
      </c>
      <c r="C1963" s="4" t="s">
        <v>6216</v>
      </c>
      <c r="D1963" s="4" t="s">
        <v>6033</v>
      </c>
      <c r="E1963" s="4" t="s">
        <v>6034</v>
      </c>
    </row>
    <row r="1964" spans="1:5">
      <c r="A1964" s="4" t="s">
        <v>6214</v>
      </c>
      <c r="B1964" s="4" t="s">
        <v>6236</v>
      </c>
      <c r="C1964" s="4" t="s">
        <v>6215</v>
      </c>
      <c r="D1964" s="4" t="s">
        <v>6033</v>
      </c>
      <c r="E1964" s="4" t="s">
        <v>6034</v>
      </c>
    </row>
    <row r="1965" spans="1:5">
      <c r="A1965" s="4" t="s">
        <v>6214</v>
      </c>
      <c r="B1965" s="4" t="s">
        <v>6236</v>
      </c>
      <c r="C1965" s="4" t="s">
        <v>6217</v>
      </c>
      <c r="D1965" s="4" t="s">
        <v>6033</v>
      </c>
      <c r="E1965" s="4" t="s">
        <v>6034</v>
      </c>
    </row>
    <row r="1966" spans="1:5">
      <c r="A1966" s="4" t="s">
        <v>6214</v>
      </c>
      <c r="B1966" s="4" t="s">
        <v>6236</v>
      </c>
      <c r="C1966" s="4" t="s">
        <v>6218</v>
      </c>
      <c r="D1966" s="4" t="s">
        <v>6033</v>
      </c>
      <c r="E1966" s="4" t="s">
        <v>6034</v>
      </c>
    </row>
    <row r="1967" spans="1:5">
      <c r="A1967" s="4" t="s">
        <v>6214</v>
      </c>
      <c r="B1967" s="4" t="s">
        <v>6236</v>
      </c>
      <c r="C1967" s="4" t="s">
        <v>6219</v>
      </c>
      <c r="D1967" s="4" t="s">
        <v>6033</v>
      </c>
      <c r="E1967" s="4" t="s">
        <v>6034</v>
      </c>
    </row>
    <row r="1968" spans="1:5">
      <c r="A1968" s="4" t="s">
        <v>6214</v>
      </c>
      <c r="B1968" s="4" t="s">
        <v>6236</v>
      </c>
      <c r="C1968" s="4" t="s">
        <v>6220</v>
      </c>
      <c r="D1968" s="4" t="s">
        <v>6033</v>
      </c>
      <c r="E1968" s="4" t="s">
        <v>6034</v>
      </c>
    </row>
    <row r="1969" spans="1:5">
      <c r="A1969" s="4" t="s">
        <v>6214</v>
      </c>
      <c r="B1969" s="4" t="s">
        <v>6236</v>
      </c>
      <c r="C1969" s="4" t="s">
        <v>6221</v>
      </c>
      <c r="D1969" s="4" t="s">
        <v>6033</v>
      </c>
      <c r="E1969" s="4" t="s">
        <v>6034</v>
      </c>
    </row>
    <row r="1970" spans="1:5">
      <c r="A1970" s="4" t="s">
        <v>6214</v>
      </c>
      <c r="B1970" s="4" t="s">
        <v>6236</v>
      </c>
      <c r="C1970" s="4" t="s">
        <v>6222</v>
      </c>
      <c r="D1970" s="4" t="s">
        <v>6033</v>
      </c>
      <c r="E1970" s="4" t="s">
        <v>6034</v>
      </c>
    </row>
    <row r="1971" spans="1:5">
      <c r="A1971" s="4" t="s">
        <v>6214</v>
      </c>
      <c r="B1971" s="4" t="s">
        <v>6236</v>
      </c>
      <c r="C1971" s="4" t="s">
        <v>6223</v>
      </c>
      <c r="D1971" s="4" t="s">
        <v>6033</v>
      </c>
      <c r="E1971" s="4" t="s">
        <v>6034</v>
      </c>
    </row>
    <row r="1972" spans="1:5">
      <c r="A1972" s="4" t="s">
        <v>6214</v>
      </c>
      <c r="B1972" s="4" t="s">
        <v>6236</v>
      </c>
      <c r="C1972" s="4" t="s">
        <v>6224</v>
      </c>
      <c r="D1972" s="4" t="s">
        <v>6033</v>
      </c>
      <c r="E1972" s="4" t="s">
        <v>6034</v>
      </c>
    </row>
    <row r="1973" spans="1:5">
      <c r="A1973" s="4" t="s">
        <v>6214</v>
      </c>
      <c r="B1973" s="4" t="s">
        <v>6236</v>
      </c>
      <c r="C1973" s="4" t="s">
        <v>6225</v>
      </c>
      <c r="D1973" s="4" t="s">
        <v>6033</v>
      </c>
      <c r="E1973" s="4" t="s">
        <v>6034</v>
      </c>
    </row>
    <row r="1974" spans="1:5">
      <c r="A1974" s="4" t="s">
        <v>6214</v>
      </c>
      <c r="B1974" s="4" t="s">
        <v>6236</v>
      </c>
      <c r="C1974" s="4" t="s">
        <v>6226</v>
      </c>
      <c r="D1974" s="4" t="s">
        <v>6033</v>
      </c>
      <c r="E1974" s="4" t="s">
        <v>6034</v>
      </c>
    </row>
    <row r="1975" spans="1:5">
      <c r="A1975" s="4" t="s">
        <v>6214</v>
      </c>
      <c r="B1975" s="4" t="s">
        <v>6236</v>
      </c>
      <c r="C1975" s="4" t="s">
        <v>6227</v>
      </c>
      <c r="D1975" s="4" t="s">
        <v>6033</v>
      </c>
      <c r="E1975" s="4" t="s">
        <v>6034</v>
      </c>
    </row>
    <row r="1976" spans="1:5">
      <c r="A1976" s="4" t="s">
        <v>6214</v>
      </c>
      <c r="B1976" s="4" t="s">
        <v>6236</v>
      </c>
      <c r="C1976" s="4" t="s">
        <v>6228</v>
      </c>
      <c r="D1976" s="4" t="s">
        <v>6033</v>
      </c>
      <c r="E1976" s="4" t="s">
        <v>6034</v>
      </c>
    </row>
    <row r="1977" spans="1:5">
      <c r="A1977" s="4" t="s">
        <v>6214</v>
      </c>
      <c r="B1977" s="4" t="s">
        <v>6236</v>
      </c>
      <c r="C1977" s="4" t="s">
        <v>6229</v>
      </c>
      <c r="D1977" s="4" t="s">
        <v>6033</v>
      </c>
      <c r="E1977" s="4" t="s">
        <v>6034</v>
      </c>
    </row>
    <row r="1978" spans="1:5">
      <c r="A1978" s="4" t="s">
        <v>6214</v>
      </c>
      <c r="B1978" s="4" t="s">
        <v>6236</v>
      </c>
      <c r="C1978" s="4" t="s">
        <v>6230</v>
      </c>
      <c r="D1978" s="4" t="s">
        <v>6033</v>
      </c>
      <c r="E1978" s="4" t="s">
        <v>6034</v>
      </c>
    </row>
    <row r="1979" spans="1:5">
      <c r="A1979" s="4" t="s">
        <v>6214</v>
      </c>
      <c r="B1979" s="4" t="s">
        <v>6236</v>
      </c>
      <c r="C1979" s="4" t="s">
        <v>6231</v>
      </c>
      <c r="D1979" s="4" t="s">
        <v>6039</v>
      </c>
      <c r="E1979" s="4" t="s">
        <v>6040</v>
      </c>
    </row>
    <row r="1980" spans="1:5">
      <c r="A1980" s="4" t="s">
        <v>6214</v>
      </c>
      <c r="B1980" s="4" t="s">
        <v>6236</v>
      </c>
      <c r="C1980" s="4" t="s">
        <v>6232</v>
      </c>
      <c r="D1980" s="4" t="s">
        <v>6039</v>
      </c>
      <c r="E1980" s="4" t="s">
        <v>6040</v>
      </c>
    </row>
    <row r="1981" spans="1:5">
      <c r="A1981" s="4" t="s">
        <v>6214</v>
      </c>
      <c r="B1981" s="4" t="s">
        <v>6236</v>
      </c>
      <c r="C1981" s="4" t="s">
        <v>6233</v>
      </c>
      <c r="D1981" s="4" t="s">
        <v>6039</v>
      </c>
      <c r="E1981" s="4" t="s">
        <v>6040</v>
      </c>
    </row>
    <row r="1982" spans="1:5">
      <c r="A1982" s="4" t="s">
        <v>6214</v>
      </c>
      <c r="B1982" s="4" t="s">
        <v>6236</v>
      </c>
      <c r="C1982" s="4" t="s">
        <v>6234</v>
      </c>
      <c r="D1982" s="4" t="s">
        <v>6033</v>
      </c>
      <c r="E1982" s="4" t="s">
        <v>6034</v>
      </c>
    </row>
    <row r="1983" spans="1:5">
      <c r="A1983" s="4" t="s">
        <v>6214</v>
      </c>
      <c r="B1983" s="4" t="s">
        <v>6236</v>
      </c>
      <c r="C1983" s="4" t="s">
        <v>6235</v>
      </c>
      <c r="D1983" s="4" t="s">
        <v>6033</v>
      </c>
      <c r="E1983" s="4" t="s">
        <v>6034</v>
      </c>
    </row>
    <row r="1984" spans="1:5">
      <c r="A1984" s="4" t="s">
        <v>6214</v>
      </c>
      <c r="B1984" s="4" t="s">
        <v>6237</v>
      </c>
      <c r="C1984" s="4" t="s">
        <v>6216</v>
      </c>
      <c r="D1984" s="4" t="s">
        <v>6033</v>
      </c>
      <c r="E1984" s="4" t="s">
        <v>6034</v>
      </c>
    </row>
    <row r="1985" spans="1:5">
      <c r="A1985" s="4" t="s">
        <v>6214</v>
      </c>
      <c r="B1985" s="4" t="s">
        <v>6237</v>
      </c>
      <c r="C1985" s="4" t="s">
        <v>6215</v>
      </c>
      <c r="D1985" s="4" t="s">
        <v>6033</v>
      </c>
      <c r="E1985" s="4" t="s">
        <v>6034</v>
      </c>
    </row>
    <row r="1986" spans="1:5">
      <c r="A1986" s="4" t="s">
        <v>6214</v>
      </c>
      <c r="B1986" s="4" t="s">
        <v>6237</v>
      </c>
      <c r="C1986" s="4" t="s">
        <v>6217</v>
      </c>
      <c r="D1986" s="4" t="s">
        <v>6033</v>
      </c>
      <c r="E1986" s="4" t="s">
        <v>6034</v>
      </c>
    </row>
    <row r="1987" spans="1:5">
      <c r="A1987" s="4" t="s">
        <v>6214</v>
      </c>
      <c r="B1987" s="4" t="s">
        <v>6237</v>
      </c>
      <c r="C1987" s="4" t="s">
        <v>6218</v>
      </c>
      <c r="D1987" s="4" t="s">
        <v>6033</v>
      </c>
      <c r="E1987" s="4" t="s">
        <v>6034</v>
      </c>
    </row>
    <row r="1988" spans="1:5">
      <c r="A1988" s="4" t="s">
        <v>6214</v>
      </c>
      <c r="B1988" s="4" t="s">
        <v>6237</v>
      </c>
      <c r="C1988" s="4" t="s">
        <v>6219</v>
      </c>
      <c r="D1988" s="4" t="s">
        <v>6033</v>
      </c>
      <c r="E1988" s="4" t="s">
        <v>6034</v>
      </c>
    </row>
    <row r="1989" spans="1:5">
      <c r="A1989" s="4" t="s">
        <v>6214</v>
      </c>
      <c r="B1989" s="4" t="s">
        <v>6237</v>
      </c>
      <c r="C1989" s="4" t="s">
        <v>6220</v>
      </c>
      <c r="D1989" s="4" t="s">
        <v>6033</v>
      </c>
      <c r="E1989" s="4" t="s">
        <v>6034</v>
      </c>
    </row>
    <row r="1990" spans="1:5">
      <c r="A1990" s="4" t="s">
        <v>6214</v>
      </c>
      <c r="B1990" s="4" t="s">
        <v>6237</v>
      </c>
      <c r="C1990" s="4" t="s">
        <v>6221</v>
      </c>
      <c r="D1990" s="4" t="s">
        <v>6033</v>
      </c>
      <c r="E1990" s="4" t="s">
        <v>6034</v>
      </c>
    </row>
    <row r="1991" spans="1:5">
      <c r="A1991" s="4" t="s">
        <v>6214</v>
      </c>
      <c r="B1991" s="4" t="s">
        <v>6237</v>
      </c>
      <c r="C1991" s="4" t="s">
        <v>6222</v>
      </c>
      <c r="D1991" s="4" t="s">
        <v>6033</v>
      </c>
      <c r="E1991" s="4" t="s">
        <v>6034</v>
      </c>
    </row>
    <row r="1992" spans="1:5">
      <c r="A1992" s="4" t="s">
        <v>6214</v>
      </c>
      <c r="B1992" s="4" t="s">
        <v>6237</v>
      </c>
      <c r="C1992" s="4" t="s">
        <v>6223</v>
      </c>
      <c r="D1992" s="4" t="s">
        <v>6033</v>
      </c>
      <c r="E1992" s="4" t="s">
        <v>6034</v>
      </c>
    </row>
    <row r="1993" spans="1:5">
      <c r="A1993" s="4" t="s">
        <v>6214</v>
      </c>
      <c r="B1993" s="4" t="s">
        <v>6237</v>
      </c>
      <c r="C1993" s="4" t="s">
        <v>6224</v>
      </c>
      <c r="D1993" s="4" t="s">
        <v>6033</v>
      </c>
      <c r="E1993" s="4" t="s">
        <v>6034</v>
      </c>
    </row>
    <row r="1994" spans="1:5">
      <c r="A1994" s="4" t="s">
        <v>6214</v>
      </c>
      <c r="B1994" s="4" t="s">
        <v>6237</v>
      </c>
      <c r="C1994" s="4" t="s">
        <v>6225</v>
      </c>
      <c r="D1994" s="4" t="s">
        <v>6033</v>
      </c>
      <c r="E1994" s="4" t="s">
        <v>6034</v>
      </c>
    </row>
    <row r="1995" spans="1:5">
      <c r="A1995" s="4" t="s">
        <v>6214</v>
      </c>
      <c r="B1995" s="4" t="s">
        <v>6237</v>
      </c>
      <c r="C1995" s="4" t="s">
        <v>6226</v>
      </c>
      <c r="D1995" s="4" t="s">
        <v>6033</v>
      </c>
      <c r="E1995" s="4" t="s">
        <v>6034</v>
      </c>
    </row>
    <row r="1996" spans="1:5">
      <c r="A1996" s="4" t="s">
        <v>6214</v>
      </c>
      <c r="B1996" s="4" t="s">
        <v>6237</v>
      </c>
      <c r="C1996" s="4" t="s">
        <v>6227</v>
      </c>
      <c r="D1996" s="4" t="s">
        <v>6033</v>
      </c>
      <c r="E1996" s="4" t="s">
        <v>6034</v>
      </c>
    </row>
    <row r="1997" spans="1:5">
      <c r="A1997" s="4" t="s">
        <v>6214</v>
      </c>
      <c r="B1997" s="4" t="s">
        <v>6237</v>
      </c>
      <c r="C1997" s="4" t="s">
        <v>6228</v>
      </c>
      <c r="D1997" s="4" t="s">
        <v>6033</v>
      </c>
      <c r="E1997" s="4" t="s">
        <v>6034</v>
      </c>
    </row>
    <row r="1998" spans="1:5">
      <c r="A1998" s="4" t="s">
        <v>6214</v>
      </c>
      <c r="B1998" s="4" t="s">
        <v>6237</v>
      </c>
      <c r="C1998" s="4" t="s">
        <v>6229</v>
      </c>
      <c r="D1998" s="4" t="s">
        <v>6033</v>
      </c>
      <c r="E1998" s="4" t="s">
        <v>6034</v>
      </c>
    </row>
    <row r="1999" spans="1:5">
      <c r="A1999" s="4" t="s">
        <v>6214</v>
      </c>
      <c r="B1999" s="4" t="s">
        <v>6237</v>
      </c>
      <c r="C1999" s="4" t="s">
        <v>6230</v>
      </c>
      <c r="D1999" s="4" t="s">
        <v>6033</v>
      </c>
      <c r="E1999" s="4" t="s">
        <v>6034</v>
      </c>
    </row>
    <row r="2000" spans="1:5">
      <c r="A2000" s="4" t="s">
        <v>6214</v>
      </c>
      <c r="B2000" s="4" t="s">
        <v>6237</v>
      </c>
      <c r="C2000" s="4" t="s">
        <v>6231</v>
      </c>
      <c r="D2000" s="4" t="s">
        <v>6033</v>
      </c>
      <c r="E2000" s="4" t="s">
        <v>6034</v>
      </c>
    </row>
    <row r="2001" spans="1:5">
      <c r="A2001" s="4" t="s">
        <v>6214</v>
      </c>
      <c r="B2001" s="4" t="s">
        <v>6237</v>
      </c>
      <c r="C2001" s="4" t="s">
        <v>6232</v>
      </c>
      <c r="D2001" s="4" t="s">
        <v>6033</v>
      </c>
      <c r="E2001" s="4" t="s">
        <v>6034</v>
      </c>
    </row>
    <row r="2002" spans="1:5">
      <c r="A2002" s="4" t="s">
        <v>6214</v>
      </c>
      <c r="B2002" s="4" t="s">
        <v>6237</v>
      </c>
      <c r="C2002" s="4" t="s">
        <v>6233</v>
      </c>
      <c r="D2002" s="4" t="s">
        <v>6033</v>
      </c>
      <c r="E2002" s="4" t="s">
        <v>6034</v>
      </c>
    </row>
    <row r="2003" spans="1:5">
      <c r="A2003" s="4" t="s">
        <v>6214</v>
      </c>
      <c r="B2003" s="4" t="s">
        <v>6237</v>
      </c>
      <c r="C2003" s="4" t="s">
        <v>6234</v>
      </c>
      <c r="D2003" s="4" t="s">
        <v>6033</v>
      </c>
      <c r="E2003" s="4" t="s">
        <v>6034</v>
      </c>
    </row>
    <row r="2004" spans="1:5">
      <c r="A2004" s="4" t="s">
        <v>6214</v>
      </c>
      <c r="B2004" s="4" t="s">
        <v>6237</v>
      </c>
      <c r="C2004" s="4" t="s">
        <v>6235</v>
      </c>
      <c r="D2004" s="4" t="s">
        <v>6033</v>
      </c>
      <c r="E2004" s="4" t="s">
        <v>6034</v>
      </c>
    </row>
    <row r="2005" spans="1:5">
      <c r="A2005" s="4" t="s">
        <v>6214</v>
      </c>
      <c r="B2005" s="4" t="s">
        <v>6237</v>
      </c>
      <c r="C2005" s="4" t="s">
        <v>6236</v>
      </c>
      <c r="D2005" s="4" t="s">
        <v>6033</v>
      </c>
      <c r="E2005" s="4" t="s">
        <v>6034</v>
      </c>
    </row>
    <row r="2006" spans="1:5">
      <c r="A2006" s="4" t="s">
        <v>6214</v>
      </c>
      <c r="B2006" s="4" t="s">
        <v>6238</v>
      </c>
      <c r="C2006" s="4" t="s">
        <v>6216</v>
      </c>
      <c r="D2006" s="4" t="s">
        <v>6033</v>
      </c>
      <c r="E2006" s="4" t="s">
        <v>6034</v>
      </c>
    </row>
    <row r="2007" spans="1:5">
      <c r="A2007" s="4" t="s">
        <v>6214</v>
      </c>
      <c r="B2007" s="4" t="s">
        <v>6238</v>
      </c>
      <c r="C2007" s="4" t="s">
        <v>6215</v>
      </c>
      <c r="D2007" s="4" t="s">
        <v>6033</v>
      </c>
      <c r="E2007" s="4" t="s">
        <v>6034</v>
      </c>
    </row>
    <row r="2008" spans="1:5">
      <c r="A2008" s="4" t="s">
        <v>6214</v>
      </c>
      <c r="B2008" s="4" t="s">
        <v>6238</v>
      </c>
      <c r="C2008" s="4" t="s">
        <v>6217</v>
      </c>
      <c r="D2008" s="4" t="s">
        <v>6033</v>
      </c>
      <c r="E2008" s="4" t="s">
        <v>6034</v>
      </c>
    </row>
    <row r="2009" spans="1:5">
      <c r="A2009" s="4" t="s">
        <v>6214</v>
      </c>
      <c r="B2009" s="4" t="s">
        <v>6238</v>
      </c>
      <c r="C2009" s="4" t="s">
        <v>6218</v>
      </c>
      <c r="D2009" s="4" t="s">
        <v>6033</v>
      </c>
      <c r="E2009" s="4" t="s">
        <v>6034</v>
      </c>
    </row>
    <row r="2010" spans="1:5">
      <c r="A2010" s="4" t="s">
        <v>6214</v>
      </c>
      <c r="B2010" s="4" t="s">
        <v>6238</v>
      </c>
      <c r="C2010" s="4" t="s">
        <v>6219</v>
      </c>
      <c r="D2010" s="4" t="s">
        <v>6033</v>
      </c>
      <c r="E2010" s="4" t="s">
        <v>6034</v>
      </c>
    </row>
    <row r="2011" spans="1:5">
      <c r="A2011" s="4" t="s">
        <v>6214</v>
      </c>
      <c r="B2011" s="4" t="s">
        <v>6238</v>
      </c>
      <c r="C2011" s="4" t="s">
        <v>6220</v>
      </c>
      <c r="D2011" s="4" t="s">
        <v>6033</v>
      </c>
      <c r="E2011" s="4" t="s">
        <v>6034</v>
      </c>
    </row>
    <row r="2012" spans="1:5">
      <c r="A2012" s="4" t="s">
        <v>6214</v>
      </c>
      <c r="B2012" s="4" t="s">
        <v>6238</v>
      </c>
      <c r="C2012" s="4" t="s">
        <v>6221</v>
      </c>
      <c r="D2012" s="4" t="s">
        <v>6033</v>
      </c>
      <c r="E2012" s="4" t="s">
        <v>6034</v>
      </c>
    </row>
    <row r="2013" spans="1:5">
      <c r="A2013" s="4" t="s">
        <v>6214</v>
      </c>
      <c r="B2013" s="4" t="s">
        <v>6238</v>
      </c>
      <c r="C2013" s="4" t="s">
        <v>6222</v>
      </c>
      <c r="D2013" s="4" t="s">
        <v>6033</v>
      </c>
      <c r="E2013" s="4" t="s">
        <v>6034</v>
      </c>
    </row>
    <row r="2014" spans="1:5">
      <c r="A2014" s="4" t="s">
        <v>6214</v>
      </c>
      <c r="B2014" s="4" t="s">
        <v>6238</v>
      </c>
      <c r="C2014" s="4" t="s">
        <v>6223</v>
      </c>
      <c r="D2014" s="4" t="s">
        <v>6033</v>
      </c>
      <c r="E2014" s="4" t="s">
        <v>6034</v>
      </c>
    </row>
    <row r="2015" spans="1:5">
      <c r="A2015" s="4" t="s">
        <v>6214</v>
      </c>
      <c r="B2015" s="4" t="s">
        <v>6238</v>
      </c>
      <c r="C2015" s="4" t="s">
        <v>6224</v>
      </c>
      <c r="D2015" s="4" t="s">
        <v>6033</v>
      </c>
      <c r="E2015" s="4" t="s">
        <v>6034</v>
      </c>
    </row>
    <row r="2016" spans="1:5">
      <c r="A2016" s="4" t="s">
        <v>6214</v>
      </c>
      <c r="B2016" s="4" t="s">
        <v>6238</v>
      </c>
      <c r="C2016" s="4" t="s">
        <v>6225</v>
      </c>
      <c r="D2016" s="4" t="s">
        <v>6033</v>
      </c>
      <c r="E2016" s="4" t="s">
        <v>6034</v>
      </c>
    </row>
    <row r="2017" spans="1:5">
      <c r="A2017" s="4" t="s">
        <v>6214</v>
      </c>
      <c r="B2017" s="4" t="s">
        <v>6238</v>
      </c>
      <c r="C2017" s="4" t="s">
        <v>6226</v>
      </c>
      <c r="D2017" s="4" t="s">
        <v>6033</v>
      </c>
      <c r="E2017" s="4" t="s">
        <v>6034</v>
      </c>
    </row>
    <row r="2018" spans="1:5">
      <c r="A2018" s="4" t="s">
        <v>6214</v>
      </c>
      <c r="B2018" s="4" t="s">
        <v>6238</v>
      </c>
      <c r="C2018" s="4" t="s">
        <v>6227</v>
      </c>
      <c r="D2018" s="4" t="s">
        <v>6033</v>
      </c>
      <c r="E2018" s="4" t="s">
        <v>6034</v>
      </c>
    </row>
    <row r="2019" spans="1:5">
      <c r="A2019" s="4" t="s">
        <v>6214</v>
      </c>
      <c r="B2019" s="4" t="s">
        <v>6238</v>
      </c>
      <c r="C2019" s="4" t="s">
        <v>6228</v>
      </c>
      <c r="D2019" s="4" t="s">
        <v>6033</v>
      </c>
      <c r="E2019" s="4" t="s">
        <v>6034</v>
      </c>
    </row>
    <row r="2020" spans="1:5">
      <c r="A2020" s="4" t="s">
        <v>6214</v>
      </c>
      <c r="B2020" s="4" t="s">
        <v>6238</v>
      </c>
      <c r="C2020" s="4" t="s">
        <v>6229</v>
      </c>
      <c r="D2020" s="4" t="s">
        <v>6033</v>
      </c>
      <c r="E2020" s="4" t="s">
        <v>6034</v>
      </c>
    </row>
    <row r="2021" spans="1:5">
      <c r="A2021" s="4" t="s">
        <v>6214</v>
      </c>
      <c r="B2021" s="4" t="s">
        <v>6238</v>
      </c>
      <c r="C2021" s="4" t="s">
        <v>6230</v>
      </c>
      <c r="D2021" s="4" t="s">
        <v>6033</v>
      </c>
      <c r="E2021" s="4" t="s">
        <v>6034</v>
      </c>
    </row>
    <row r="2022" spans="1:5">
      <c r="A2022" s="4" t="s">
        <v>6214</v>
      </c>
      <c r="B2022" s="4" t="s">
        <v>6238</v>
      </c>
      <c r="C2022" s="4" t="s">
        <v>6231</v>
      </c>
      <c r="D2022" s="4" t="s">
        <v>6033</v>
      </c>
      <c r="E2022" s="4" t="s">
        <v>6034</v>
      </c>
    </row>
    <row r="2023" spans="1:5">
      <c r="A2023" s="4" t="s">
        <v>6214</v>
      </c>
      <c r="B2023" s="4" t="s">
        <v>6238</v>
      </c>
      <c r="C2023" s="4" t="s">
        <v>6232</v>
      </c>
      <c r="D2023" s="4" t="s">
        <v>6033</v>
      </c>
      <c r="E2023" s="4" t="s">
        <v>6034</v>
      </c>
    </row>
    <row r="2024" spans="1:5">
      <c r="A2024" s="4" t="s">
        <v>6214</v>
      </c>
      <c r="B2024" s="4" t="s">
        <v>6238</v>
      </c>
      <c r="C2024" s="4" t="s">
        <v>6233</v>
      </c>
      <c r="D2024" s="4" t="s">
        <v>6033</v>
      </c>
      <c r="E2024" s="4" t="s">
        <v>6034</v>
      </c>
    </row>
    <row r="2025" spans="1:5">
      <c r="A2025" s="4" t="s">
        <v>6214</v>
      </c>
      <c r="B2025" s="4" t="s">
        <v>6238</v>
      </c>
      <c r="C2025" s="4" t="s">
        <v>6234</v>
      </c>
      <c r="D2025" s="4" t="s">
        <v>6033</v>
      </c>
      <c r="E2025" s="4" t="s">
        <v>6034</v>
      </c>
    </row>
    <row r="2026" spans="1:5">
      <c r="A2026" s="4" t="s">
        <v>6214</v>
      </c>
      <c r="B2026" s="4" t="s">
        <v>6238</v>
      </c>
      <c r="C2026" s="4" t="s">
        <v>6235</v>
      </c>
      <c r="D2026" s="4" t="s">
        <v>6033</v>
      </c>
      <c r="E2026" s="4" t="s">
        <v>6034</v>
      </c>
    </row>
    <row r="2027" spans="1:5">
      <c r="A2027" s="4" t="s">
        <v>6214</v>
      </c>
      <c r="B2027" s="4" t="s">
        <v>6238</v>
      </c>
      <c r="C2027" s="4" t="s">
        <v>6236</v>
      </c>
      <c r="D2027" s="4" t="s">
        <v>6033</v>
      </c>
      <c r="E2027" s="4" t="s">
        <v>6034</v>
      </c>
    </row>
    <row r="2028" spans="1:5">
      <c r="A2028" s="4" t="s">
        <v>6214</v>
      </c>
      <c r="B2028" s="4" t="s">
        <v>6238</v>
      </c>
      <c r="C2028" s="4" t="s">
        <v>6237</v>
      </c>
      <c r="D2028" s="4" t="s">
        <v>6033</v>
      </c>
      <c r="E2028" s="4" t="s">
        <v>6034</v>
      </c>
    </row>
    <row r="2029" spans="1:5">
      <c r="A2029" s="4" t="s">
        <v>6214</v>
      </c>
      <c r="B2029" s="4" t="s">
        <v>6239</v>
      </c>
      <c r="C2029" s="4" t="s">
        <v>6216</v>
      </c>
      <c r="D2029" s="4" t="s">
        <v>6033</v>
      </c>
      <c r="E2029" s="4" t="s">
        <v>6034</v>
      </c>
    </row>
    <row r="2030" spans="1:5">
      <c r="A2030" s="4" t="s">
        <v>6214</v>
      </c>
      <c r="B2030" s="4" t="s">
        <v>6239</v>
      </c>
      <c r="C2030" s="4" t="s">
        <v>6215</v>
      </c>
      <c r="D2030" s="4" t="s">
        <v>6033</v>
      </c>
      <c r="E2030" s="4" t="s">
        <v>6034</v>
      </c>
    </row>
    <row r="2031" spans="1:5">
      <c r="A2031" s="4" t="s">
        <v>6214</v>
      </c>
      <c r="B2031" s="4" t="s">
        <v>6239</v>
      </c>
      <c r="C2031" s="4" t="s">
        <v>6217</v>
      </c>
      <c r="D2031" s="4" t="s">
        <v>6033</v>
      </c>
      <c r="E2031" s="4" t="s">
        <v>6034</v>
      </c>
    </row>
    <row r="2032" spans="1:5">
      <c r="A2032" s="4" t="s">
        <v>6214</v>
      </c>
      <c r="B2032" s="4" t="s">
        <v>6239</v>
      </c>
      <c r="C2032" s="4" t="s">
        <v>6218</v>
      </c>
      <c r="D2032" s="4" t="s">
        <v>6033</v>
      </c>
      <c r="E2032" s="4" t="s">
        <v>6034</v>
      </c>
    </row>
    <row r="2033" spans="1:5">
      <c r="A2033" s="4" t="s">
        <v>6214</v>
      </c>
      <c r="B2033" s="4" t="s">
        <v>6239</v>
      </c>
      <c r="C2033" s="4" t="s">
        <v>6219</v>
      </c>
      <c r="D2033" s="4" t="s">
        <v>6033</v>
      </c>
      <c r="E2033" s="4" t="s">
        <v>6034</v>
      </c>
    </row>
    <row r="2034" spans="1:5">
      <c r="A2034" s="4" t="s">
        <v>6214</v>
      </c>
      <c r="B2034" s="4" t="s">
        <v>6239</v>
      </c>
      <c r="C2034" s="4" t="s">
        <v>6220</v>
      </c>
      <c r="D2034" s="4" t="s">
        <v>6033</v>
      </c>
      <c r="E2034" s="4" t="s">
        <v>6034</v>
      </c>
    </row>
    <row r="2035" spans="1:5">
      <c r="A2035" s="4" t="s">
        <v>6214</v>
      </c>
      <c r="B2035" s="4" t="s">
        <v>6239</v>
      </c>
      <c r="C2035" s="4" t="s">
        <v>6221</v>
      </c>
      <c r="D2035" s="4" t="s">
        <v>6033</v>
      </c>
      <c r="E2035" s="4" t="s">
        <v>6034</v>
      </c>
    </row>
    <row r="2036" spans="1:5">
      <c r="A2036" s="4" t="s">
        <v>6214</v>
      </c>
      <c r="B2036" s="4" t="s">
        <v>6239</v>
      </c>
      <c r="C2036" s="4" t="s">
        <v>6222</v>
      </c>
      <c r="D2036" s="4" t="s">
        <v>6033</v>
      </c>
      <c r="E2036" s="4" t="s">
        <v>6034</v>
      </c>
    </row>
    <row r="2037" spans="1:5">
      <c r="A2037" s="4" t="s">
        <v>6214</v>
      </c>
      <c r="B2037" s="4" t="s">
        <v>6239</v>
      </c>
      <c r="C2037" s="4" t="s">
        <v>6223</v>
      </c>
      <c r="D2037" s="4" t="s">
        <v>6033</v>
      </c>
      <c r="E2037" s="4" t="s">
        <v>6034</v>
      </c>
    </row>
    <row r="2038" spans="1:5">
      <c r="A2038" s="4" t="s">
        <v>6214</v>
      </c>
      <c r="B2038" s="4" t="s">
        <v>6239</v>
      </c>
      <c r="C2038" s="4" t="s">
        <v>6224</v>
      </c>
      <c r="D2038" s="4" t="s">
        <v>6033</v>
      </c>
      <c r="E2038" s="4" t="s">
        <v>6034</v>
      </c>
    </row>
    <row r="2039" spans="1:5">
      <c r="A2039" s="4" t="s">
        <v>6214</v>
      </c>
      <c r="B2039" s="4" t="s">
        <v>6239</v>
      </c>
      <c r="C2039" s="4" t="s">
        <v>6225</v>
      </c>
      <c r="D2039" s="4" t="s">
        <v>6033</v>
      </c>
      <c r="E2039" s="4" t="s">
        <v>6034</v>
      </c>
    </row>
    <row r="2040" spans="1:5">
      <c r="A2040" s="4" t="s">
        <v>6214</v>
      </c>
      <c r="B2040" s="4" t="s">
        <v>6239</v>
      </c>
      <c r="C2040" s="4" t="s">
        <v>6226</v>
      </c>
      <c r="D2040" s="4" t="s">
        <v>6033</v>
      </c>
      <c r="E2040" s="4" t="s">
        <v>6034</v>
      </c>
    </row>
    <row r="2041" spans="1:5">
      <c r="A2041" s="4" t="s">
        <v>6214</v>
      </c>
      <c r="B2041" s="4" t="s">
        <v>6239</v>
      </c>
      <c r="C2041" s="4" t="s">
        <v>6227</v>
      </c>
      <c r="D2041" s="4" t="s">
        <v>6033</v>
      </c>
      <c r="E2041" s="4" t="s">
        <v>6034</v>
      </c>
    </row>
    <row r="2042" spans="1:5">
      <c r="A2042" s="4" t="s">
        <v>6214</v>
      </c>
      <c r="B2042" s="4" t="s">
        <v>6239</v>
      </c>
      <c r="C2042" s="4" t="s">
        <v>6228</v>
      </c>
      <c r="D2042" s="4" t="s">
        <v>6033</v>
      </c>
      <c r="E2042" s="4" t="s">
        <v>6034</v>
      </c>
    </row>
    <row r="2043" spans="1:5">
      <c r="A2043" s="4" t="s">
        <v>6214</v>
      </c>
      <c r="B2043" s="4" t="s">
        <v>6239</v>
      </c>
      <c r="C2043" s="4" t="s">
        <v>6229</v>
      </c>
      <c r="D2043" s="4" t="s">
        <v>6033</v>
      </c>
      <c r="E2043" s="4" t="s">
        <v>6034</v>
      </c>
    </row>
    <row r="2044" spans="1:5">
      <c r="A2044" s="4" t="s">
        <v>6214</v>
      </c>
      <c r="B2044" s="4" t="s">
        <v>6239</v>
      </c>
      <c r="C2044" s="4" t="s">
        <v>6230</v>
      </c>
      <c r="D2044" s="4" t="s">
        <v>6033</v>
      </c>
      <c r="E2044" s="4" t="s">
        <v>6034</v>
      </c>
    </row>
    <row r="2045" spans="1:5">
      <c r="A2045" s="4" t="s">
        <v>6214</v>
      </c>
      <c r="B2045" s="4" t="s">
        <v>6239</v>
      </c>
      <c r="C2045" s="4" t="s">
        <v>6231</v>
      </c>
      <c r="D2045" s="4" t="s">
        <v>6033</v>
      </c>
      <c r="E2045" s="4" t="s">
        <v>6034</v>
      </c>
    </row>
    <row r="2046" spans="1:5">
      <c r="A2046" s="4" t="s">
        <v>6214</v>
      </c>
      <c r="B2046" s="4" t="s">
        <v>6239</v>
      </c>
      <c r="C2046" s="4" t="s">
        <v>6232</v>
      </c>
      <c r="D2046" s="4" t="s">
        <v>6033</v>
      </c>
      <c r="E2046" s="4" t="s">
        <v>6034</v>
      </c>
    </row>
    <row r="2047" spans="1:5">
      <c r="A2047" s="4" t="s">
        <v>6214</v>
      </c>
      <c r="B2047" s="4" t="s">
        <v>6239</v>
      </c>
      <c r="C2047" s="4" t="s">
        <v>6233</v>
      </c>
      <c r="D2047" s="4" t="s">
        <v>6033</v>
      </c>
      <c r="E2047" s="4" t="s">
        <v>6034</v>
      </c>
    </row>
    <row r="2048" spans="1:5">
      <c r="A2048" s="4" t="s">
        <v>6214</v>
      </c>
      <c r="B2048" s="4" t="s">
        <v>6239</v>
      </c>
      <c r="C2048" s="4" t="s">
        <v>6234</v>
      </c>
      <c r="D2048" s="4" t="s">
        <v>6033</v>
      </c>
      <c r="E2048" s="4" t="s">
        <v>6034</v>
      </c>
    </row>
    <row r="2049" spans="1:5">
      <c r="A2049" s="4" t="s">
        <v>6214</v>
      </c>
      <c r="B2049" s="4" t="s">
        <v>6239</v>
      </c>
      <c r="C2049" s="4" t="s">
        <v>6235</v>
      </c>
      <c r="D2049" s="4" t="s">
        <v>6033</v>
      </c>
      <c r="E2049" s="4" t="s">
        <v>6034</v>
      </c>
    </row>
    <row r="2050" spans="1:5">
      <c r="A2050" s="4" t="s">
        <v>6214</v>
      </c>
      <c r="B2050" s="4" t="s">
        <v>6239</v>
      </c>
      <c r="C2050" s="4" t="s">
        <v>6236</v>
      </c>
      <c r="D2050" s="4" t="s">
        <v>6033</v>
      </c>
      <c r="E2050" s="4" t="s">
        <v>6034</v>
      </c>
    </row>
    <row r="2051" spans="1:5">
      <c r="A2051" s="4" t="s">
        <v>6214</v>
      </c>
      <c r="B2051" s="4" t="s">
        <v>6239</v>
      </c>
      <c r="C2051" s="4" t="s">
        <v>6237</v>
      </c>
      <c r="D2051" s="4" t="s">
        <v>6033</v>
      </c>
      <c r="E2051" s="4" t="s">
        <v>6034</v>
      </c>
    </row>
    <row r="2052" spans="1:5">
      <c r="A2052" s="4" t="s">
        <v>6214</v>
      </c>
      <c r="B2052" s="4" t="s">
        <v>6239</v>
      </c>
      <c r="C2052" s="4" t="s">
        <v>6238</v>
      </c>
      <c r="D2052" s="4" t="s">
        <v>6033</v>
      </c>
      <c r="E2052" s="4" t="s">
        <v>6034</v>
      </c>
    </row>
    <row r="2053" spans="1:5">
      <c r="A2053" s="4" t="s">
        <v>6214</v>
      </c>
      <c r="B2053" s="4" t="s">
        <v>6240</v>
      </c>
      <c r="C2053" s="4" t="s">
        <v>6216</v>
      </c>
      <c r="D2053" s="4" t="s">
        <v>6033</v>
      </c>
      <c r="E2053" s="4" t="s">
        <v>6034</v>
      </c>
    </row>
    <row r="2054" spans="1:5">
      <c r="A2054" s="4" t="s">
        <v>6214</v>
      </c>
      <c r="B2054" s="4" t="s">
        <v>6240</v>
      </c>
      <c r="C2054" s="4" t="s">
        <v>6215</v>
      </c>
      <c r="D2054" s="4" t="s">
        <v>6033</v>
      </c>
      <c r="E2054" s="4" t="s">
        <v>6034</v>
      </c>
    </row>
    <row r="2055" spans="1:5">
      <c r="A2055" s="4" t="s">
        <v>6214</v>
      </c>
      <c r="B2055" s="4" t="s">
        <v>6240</v>
      </c>
      <c r="C2055" s="4" t="s">
        <v>6217</v>
      </c>
      <c r="D2055" s="4" t="s">
        <v>6033</v>
      </c>
      <c r="E2055" s="4" t="s">
        <v>6034</v>
      </c>
    </row>
    <row r="2056" spans="1:5">
      <c r="A2056" s="4" t="s">
        <v>6214</v>
      </c>
      <c r="B2056" s="4" t="s">
        <v>6240</v>
      </c>
      <c r="C2056" s="4" t="s">
        <v>6218</v>
      </c>
      <c r="D2056" s="4" t="s">
        <v>6033</v>
      </c>
      <c r="E2056" s="4" t="s">
        <v>6034</v>
      </c>
    </row>
    <row r="2057" spans="1:5">
      <c r="A2057" s="4" t="s">
        <v>6214</v>
      </c>
      <c r="B2057" s="4" t="s">
        <v>6240</v>
      </c>
      <c r="C2057" s="4" t="s">
        <v>6219</v>
      </c>
      <c r="D2057" s="4" t="s">
        <v>6033</v>
      </c>
      <c r="E2057" s="4" t="s">
        <v>6034</v>
      </c>
    </row>
    <row r="2058" spans="1:5">
      <c r="A2058" s="4" t="s">
        <v>6214</v>
      </c>
      <c r="B2058" s="4" t="s">
        <v>6240</v>
      </c>
      <c r="C2058" s="4" t="s">
        <v>6220</v>
      </c>
      <c r="D2058" s="4" t="s">
        <v>6033</v>
      </c>
      <c r="E2058" s="4" t="s">
        <v>6034</v>
      </c>
    </row>
    <row r="2059" spans="1:5">
      <c r="A2059" s="4" t="s">
        <v>6214</v>
      </c>
      <c r="B2059" s="4" t="s">
        <v>6240</v>
      </c>
      <c r="C2059" s="4" t="s">
        <v>6221</v>
      </c>
      <c r="D2059" s="4" t="s">
        <v>6033</v>
      </c>
      <c r="E2059" s="4" t="s">
        <v>6034</v>
      </c>
    </row>
    <row r="2060" spans="1:5">
      <c r="A2060" s="4" t="s">
        <v>6214</v>
      </c>
      <c r="B2060" s="4" t="s">
        <v>6240</v>
      </c>
      <c r="C2060" s="4" t="s">
        <v>6222</v>
      </c>
      <c r="D2060" s="4" t="s">
        <v>6033</v>
      </c>
      <c r="E2060" s="4" t="s">
        <v>6034</v>
      </c>
    </row>
    <row r="2061" spans="1:5">
      <c r="A2061" s="4" t="s">
        <v>6214</v>
      </c>
      <c r="B2061" s="4" t="s">
        <v>6240</v>
      </c>
      <c r="C2061" s="4" t="s">
        <v>6223</v>
      </c>
      <c r="D2061" s="4" t="s">
        <v>6033</v>
      </c>
      <c r="E2061" s="4" t="s">
        <v>6034</v>
      </c>
    </row>
    <row r="2062" spans="1:5">
      <c r="A2062" s="4" t="s">
        <v>6214</v>
      </c>
      <c r="B2062" s="4" t="s">
        <v>6240</v>
      </c>
      <c r="C2062" s="4" t="s">
        <v>6224</v>
      </c>
      <c r="D2062" s="4" t="s">
        <v>6033</v>
      </c>
      <c r="E2062" s="4" t="s">
        <v>6034</v>
      </c>
    </row>
    <row r="2063" spans="1:5">
      <c r="A2063" s="4" t="s">
        <v>6214</v>
      </c>
      <c r="B2063" s="4" t="s">
        <v>6240</v>
      </c>
      <c r="C2063" s="4" t="s">
        <v>6225</v>
      </c>
      <c r="D2063" s="4" t="s">
        <v>6033</v>
      </c>
      <c r="E2063" s="4" t="s">
        <v>6034</v>
      </c>
    </row>
    <row r="2064" spans="1:5">
      <c r="A2064" s="4" t="s">
        <v>6214</v>
      </c>
      <c r="B2064" s="4" t="s">
        <v>6240</v>
      </c>
      <c r="C2064" s="4" t="s">
        <v>6226</v>
      </c>
      <c r="D2064" s="4" t="s">
        <v>6033</v>
      </c>
      <c r="E2064" s="4" t="s">
        <v>6034</v>
      </c>
    </row>
    <row r="2065" spans="1:5">
      <c r="A2065" s="4" t="s">
        <v>6214</v>
      </c>
      <c r="B2065" s="4" t="s">
        <v>6240</v>
      </c>
      <c r="C2065" s="4" t="s">
        <v>6227</v>
      </c>
      <c r="D2065" s="4" t="s">
        <v>6033</v>
      </c>
      <c r="E2065" s="4" t="s">
        <v>6034</v>
      </c>
    </row>
    <row r="2066" spans="1:5">
      <c r="A2066" s="4" t="s">
        <v>6214</v>
      </c>
      <c r="B2066" s="4" t="s">
        <v>6240</v>
      </c>
      <c r="C2066" s="4" t="s">
        <v>6228</v>
      </c>
      <c r="D2066" s="4" t="s">
        <v>6033</v>
      </c>
      <c r="E2066" s="4" t="s">
        <v>6034</v>
      </c>
    </row>
    <row r="2067" spans="1:5">
      <c r="A2067" s="4" t="s">
        <v>6214</v>
      </c>
      <c r="B2067" s="4" t="s">
        <v>6240</v>
      </c>
      <c r="C2067" s="4" t="s">
        <v>6229</v>
      </c>
      <c r="D2067" s="4" t="s">
        <v>6033</v>
      </c>
      <c r="E2067" s="4" t="s">
        <v>6034</v>
      </c>
    </row>
    <row r="2068" spans="1:5">
      <c r="A2068" s="4" t="s">
        <v>6214</v>
      </c>
      <c r="B2068" s="4" t="s">
        <v>6240</v>
      </c>
      <c r="C2068" s="4" t="s">
        <v>6230</v>
      </c>
      <c r="D2068" s="4" t="s">
        <v>6033</v>
      </c>
      <c r="E2068" s="4" t="s">
        <v>6034</v>
      </c>
    </row>
    <row r="2069" spans="1:5">
      <c r="A2069" s="4" t="s">
        <v>6214</v>
      </c>
      <c r="B2069" s="4" t="s">
        <v>6240</v>
      </c>
      <c r="C2069" s="4" t="s">
        <v>6231</v>
      </c>
      <c r="D2069" s="4" t="s">
        <v>6033</v>
      </c>
      <c r="E2069" s="4" t="s">
        <v>6034</v>
      </c>
    </row>
    <row r="2070" spans="1:5">
      <c r="A2070" s="4" t="s">
        <v>6214</v>
      </c>
      <c r="B2070" s="4" t="s">
        <v>6240</v>
      </c>
      <c r="C2070" s="4" t="s">
        <v>6232</v>
      </c>
      <c r="D2070" s="4" t="s">
        <v>6033</v>
      </c>
      <c r="E2070" s="4" t="s">
        <v>6034</v>
      </c>
    </row>
    <row r="2071" spans="1:5">
      <c r="A2071" s="4" t="s">
        <v>6214</v>
      </c>
      <c r="B2071" s="4" t="s">
        <v>6240</v>
      </c>
      <c r="C2071" s="4" t="s">
        <v>6233</v>
      </c>
      <c r="D2071" s="4" t="s">
        <v>6033</v>
      </c>
      <c r="E2071" s="4" t="s">
        <v>6034</v>
      </c>
    </row>
    <row r="2072" spans="1:5">
      <c r="A2072" s="4" t="s">
        <v>6214</v>
      </c>
      <c r="B2072" s="4" t="s">
        <v>6240</v>
      </c>
      <c r="C2072" s="4" t="s">
        <v>6234</v>
      </c>
      <c r="D2072" s="4" t="s">
        <v>6033</v>
      </c>
      <c r="E2072" s="4" t="s">
        <v>6034</v>
      </c>
    </row>
    <row r="2073" spans="1:5">
      <c r="A2073" s="4" t="s">
        <v>6214</v>
      </c>
      <c r="B2073" s="4" t="s">
        <v>6240</v>
      </c>
      <c r="C2073" s="4" t="s">
        <v>6235</v>
      </c>
      <c r="D2073" s="4" t="s">
        <v>6033</v>
      </c>
      <c r="E2073" s="4" t="s">
        <v>6034</v>
      </c>
    </row>
    <row r="2074" spans="1:5">
      <c r="A2074" s="4" t="s">
        <v>6214</v>
      </c>
      <c r="B2074" s="4" t="s">
        <v>6240</v>
      </c>
      <c r="C2074" s="4" t="s">
        <v>6236</v>
      </c>
      <c r="D2074" s="4" t="s">
        <v>6033</v>
      </c>
      <c r="E2074" s="4" t="s">
        <v>6034</v>
      </c>
    </row>
    <row r="2075" spans="1:5">
      <c r="A2075" s="4" t="s">
        <v>6214</v>
      </c>
      <c r="B2075" s="4" t="s">
        <v>6240</v>
      </c>
      <c r="C2075" s="4" t="s">
        <v>6237</v>
      </c>
      <c r="D2075" s="4" t="s">
        <v>6033</v>
      </c>
      <c r="E2075" s="4" t="s">
        <v>6034</v>
      </c>
    </row>
    <row r="2076" spans="1:5">
      <c r="A2076" s="4" t="s">
        <v>6214</v>
      </c>
      <c r="B2076" s="4" t="s">
        <v>6240</v>
      </c>
      <c r="C2076" s="4" t="s">
        <v>6238</v>
      </c>
      <c r="D2076" s="4" t="s">
        <v>6033</v>
      </c>
      <c r="E2076" s="4" t="s">
        <v>6034</v>
      </c>
    </row>
    <row r="2077" spans="1:5">
      <c r="A2077" s="4" t="s">
        <v>6214</v>
      </c>
      <c r="B2077" s="4" t="s">
        <v>6240</v>
      </c>
      <c r="C2077" s="4" t="s">
        <v>6239</v>
      </c>
      <c r="D2077" s="4" t="s">
        <v>6039</v>
      </c>
      <c r="E2077" s="4" t="s">
        <v>6040</v>
      </c>
    </row>
    <row r="2078" spans="1:5">
      <c r="A2078" s="4" t="s">
        <v>6214</v>
      </c>
      <c r="B2078" s="4" t="s">
        <v>6241</v>
      </c>
      <c r="C2078" s="4" t="s">
        <v>6216</v>
      </c>
      <c r="D2078" s="4" t="s">
        <v>6033</v>
      </c>
      <c r="E2078" s="4" t="s">
        <v>6034</v>
      </c>
    </row>
    <row r="2079" spans="1:5">
      <c r="A2079" s="4" t="s">
        <v>6214</v>
      </c>
      <c r="B2079" s="4" t="s">
        <v>6241</v>
      </c>
      <c r="C2079" s="4" t="s">
        <v>6215</v>
      </c>
      <c r="D2079" s="4" t="s">
        <v>6033</v>
      </c>
      <c r="E2079" s="4" t="s">
        <v>6034</v>
      </c>
    </row>
    <row r="2080" spans="1:5">
      <c r="A2080" s="4" t="s">
        <v>6214</v>
      </c>
      <c r="B2080" s="4" t="s">
        <v>6241</v>
      </c>
      <c r="C2080" s="4" t="s">
        <v>6217</v>
      </c>
      <c r="D2080" s="4" t="s">
        <v>6033</v>
      </c>
      <c r="E2080" s="4" t="s">
        <v>6034</v>
      </c>
    </row>
    <row r="2081" spans="1:5">
      <c r="A2081" s="4" t="s">
        <v>6214</v>
      </c>
      <c r="B2081" s="4" t="s">
        <v>6241</v>
      </c>
      <c r="C2081" s="4" t="s">
        <v>6218</v>
      </c>
      <c r="D2081" s="4" t="s">
        <v>6033</v>
      </c>
      <c r="E2081" s="4" t="s">
        <v>6034</v>
      </c>
    </row>
    <row r="2082" spans="1:5">
      <c r="A2082" s="4" t="s">
        <v>6214</v>
      </c>
      <c r="B2082" s="4" t="s">
        <v>6241</v>
      </c>
      <c r="C2082" s="4" t="s">
        <v>6219</v>
      </c>
      <c r="D2082" s="4" t="s">
        <v>6033</v>
      </c>
      <c r="E2082" s="4" t="s">
        <v>6034</v>
      </c>
    </row>
    <row r="2083" spans="1:5">
      <c r="A2083" s="4" t="s">
        <v>6214</v>
      </c>
      <c r="B2083" s="4" t="s">
        <v>6241</v>
      </c>
      <c r="C2083" s="4" t="s">
        <v>6220</v>
      </c>
      <c r="D2083" s="4" t="s">
        <v>6033</v>
      </c>
      <c r="E2083" s="4" t="s">
        <v>6034</v>
      </c>
    </row>
    <row r="2084" spans="1:5">
      <c r="A2084" s="4" t="s">
        <v>6214</v>
      </c>
      <c r="B2084" s="4" t="s">
        <v>6241</v>
      </c>
      <c r="C2084" s="4" t="s">
        <v>6221</v>
      </c>
      <c r="D2084" s="4" t="s">
        <v>6033</v>
      </c>
      <c r="E2084" s="4" t="s">
        <v>6034</v>
      </c>
    </row>
    <row r="2085" spans="1:5">
      <c r="A2085" s="4" t="s">
        <v>6214</v>
      </c>
      <c r="B2085" s="4" t="s">
        <v>6241</v>
      </c>
      <c r="C2085" s="4" t="s">
        <v>6222</v>
      </c>
      <c r="D2085" s="4" t="s">
        <v>6033</v>
      </c>
      <c r="E2085" s="4" t="s">
        <v>6034</v>
      </c>
    </row>
    <row r="2086" spans="1:5">
      <c r="A2086" s="4" t="s">
        <v>6214</v>
      </c>
      <c r="B2086" s="4" t="s">
        <v>6241</v>
      </c>
      <c r="C2086" s="4" t="s">
        <v>6223</v>
      </c>
      <c r="D2086" s="4" t="s">
        <v>6033</v>
      </c>
      <c r="E2086" s="4" t="s">
        <v>6034</v>
      </c>
    </row>
    <row r="2087" spans="1:5">
      <c r="A2087" s="4" t="s">
        <v>6214</v>
      </c>
      <c r="B2087" s="4" t="s">
        <v>6241</v>
      </c>
      <c r="C2087" s="4" t="s">
        <v>6224</v>
      </c>
      <c r="D2087" s="4" t="s">
        <v>6033</v>
      </c>
      <c r="E2087" s="4" t="s">
        <v>6034</v>
      </c>
    </row>
    <row r="2088" spans="1:5">
      <c r="A2088" s="4" t="s">
        <v>6214</v>
      </c>
      <c r="B2088" s="4" t="s">
        <v>6241</v>
      </c>
      <c r="C2088" s="4" t="s">
        <v>6225</v>
      </c>
      <c r="D2088" s="4" t="s">
        <v>6033</v>
      </c>
      <c r="E2088" s="4" t="s">
        <v>6034</v>
      </c>
    </row>
    <row r="2089" spans="1:5">
      <c r="A2089" s="4" t="s">
        <v>6214</v>
      </c>
      <c r="B2089" s="4" t="s">
        <v>6241</v>
      </c>
      <c r="C2089" s="4" t="s">
        <v>6226</v>
      </c>
      <c r="D2089" s="4" t="s">
        <v>6033</v>
      </c>
      <c r="E2089" s="4" t="s">
        <v>6034</v>
      </c>
    </row>
    <row r="2090" spans="1:5">
      <c r="A2090" s="4" t="s">
        <v>6214</v>
      </c>
      <c r="B2090" s="4" t="s">
        <v>6241</v>
      </c>
      <c r="C2090" s="4" t="s">
        <v>6227</v>
      </c>
      <c r="D2090" s="4" t="s">
        <v>6033</v>
      </c>
      <c r="E2090" s="4" t="s">
        <v>6034</v>
      </c>
    </row>
    <row r="2091" spans="1:5">
      <c r="A2091" s="4" t="s">
        <v>6214</v>
      </c>
      <c r="B2091" s="4" t="s">
        <v>6241</v>
      </c>
      <c r="C2091" s="4" t="s">
        <v>6228</v>
      </c>
      <c r="D2091" s="4" t="s">
        <v>6033</v>
      </c>
      <c r="E2091" s="4" t="s">
        <v>6034</v>
      </c>
    </row>
    <row r="2092" spans="1:5">
      <c r="A2092" s="4" t="s">
        <v>6214</v>
      </c>
      <c r="B2092" s="4" t="s">
        <v>6241</v>
      </c>
      <c r="C2092" s="4" t="s">
        <v>6229</v>
      </c>
      <c r="D2092" s="4" t="s">
        <v>6033</v>
      </c>
      <c r="E2092" s="4" t="s">
        <v>6034</v>
      </c>
    </row>
    <row r="2093" spans="1:5">
      <c r="A2093" s="4" t="s">
        <v>6214</v>
      </c>
      <c r="B2093" s="4" t="s">
        <v>6241</v>
      </c>
      <c r="C2093" s="4" t="s">
        <v>6230</v>
      </c>
      <c r="D2093" s="4" t="s">
        <v>6033</v>
      </c>
      <c r="E2093" s="4" t="s">
        <v>6034</v>
      </c>
    </row>
    <row r="2094" spans="1:5">
      <c r="A2094" s="4" t="s">
        <v>6214</v>
      </c>
      <c r="B2094" s="4" t="s">
        <v>6241</v>
      </c>
      <c r="C2094" s="4" t="s">
        <v>6231</v>
      </c>
      <c r="D2094" s="4" t="s">
        <v>6033</v>
      </c>
      <c r="E2094" s="4" t="s">
        <v>6034</v>
      </c>
    </row>
    <row r="2095" spans="1:5">
      <c r="A2095" s="4" t="s">
        <v>6214</v>
      </c>
      <c r="B2095" s="4" t="s">
        <v>6241</v>
      </c>
      <c r="C2095" s="4" t="s">
        <v>6232</v>
      </c>
      <c r="D2095" s="4" t="s">
        <v>6033</v>
      </c>
      <c r="E2095" s="4" t="s">
        <v>6034</v>
      </c>
    </row>
    <row r="2096" spans="1:5">
      <c r="A2096" s="4" t="s">
        <v>6214</v>
      </c>
      <c r="B2096" s="4" t="s">
        <v>6241</v>
      </c>
      <c r="C2096" s="4" t="s">
        <v>6233</v>
      </c>
      <c r="D2096" s="4" t="s">
        <v>6033</v>
      </c>
      <c r="E2096" s="4" t="s">
        <v>6034</v>
      </c>
    </row>
    <row r="2097" spans="1:5">
      <c r="A2097" s="4" t="s">
        <v>6214</v>
      </c>
      <c r="B2097" s="4" t="s">
        <v>6241</v>
      </c>
      <c r="C2097" s="4" t="s">
        <v>6234</v>
      </c>
      <c r="D2097" s="4" t="s">
        <v>6033</v>
      </c>
      <c r="E2097" s="4" t="s">
        <v>6034</v>
      </c>
    </row>
    <row r="2098" spans="1:5">
      <c r="A2098" s="4" t="s">
        <v>6214</v>
      </c>
      <c r="B2098" s="4" t="s">
        <v>6241</v>
      </c>
      <c r="C2098" s="4" t="s">
        <v>6235</v>
      </c>
      <c r="D2098" s="4" t="s">
        <v>6033</v>
      </c>
      <c r="E2098" s="4" t="s">
        <v>6034</v>
      </c>
    </row>
    <row r="2099" spans="1:5">
      <c r="A2099" s="4" t="s">
        <v>6214</v>
      </c>
      <c r="B2099" s="4" t="s">
        <v>6241</v>
      </c>
      <c r="C2099" s="4" t="s">
        <v>6236</v>
      </c>
      <c r="D2099" s="4" t="s">
        <v>6033</v>
      </c>
      <c r="E2099" s="4" t="s">
        <v>6034</v>
      </c>
    </row>
    <row r="2100" spans="1:5">
      <c r="A2100" s="4" t="s">
        <v>6214</v>
      </c>
      <c r="B2100" s="4" t="s">
        <v>6241</v>
      </c>
      <c r="C2100" s="4" t="s">
        <v>6237</v>
      </c>
      <c r="D2100" s="4" t="s">
        <v>6033</v>
      </c>
      <c r="E2100" s="4" t="s">
        <v>6034</v>
      </c>
    </row>
    <row r="2101" spans="1:5">
      <c r="A2101" s="4" t="s">
        <v>6214</v>
      </c>
      <c r="B2101" s="4" t="s">
        <v>6241</v>
      </c>
      <c r="C2101" s="4" t="s">
        <v>6238</v>
      </c>
      <c r="D2101" s="4" t="s">
        <v>6033</v>
      </c>
      <c r="E2101" s="4" t="s">
        <v>6034</v>
      </c>
    </row>
    <row r="2102" spans="1:5">
      <c r="A2102" s="4" t="s">
        <v>6214</v>
      </c>
      <c r="B2102" s="4" t="s">
        <v>6241</v>
      </c>
      <c r="C2102" s="4" t="s">
        <v>6239</v>
      </c>
      <c r="D2102" s="4" t="s">
        <v>6033</v>
      </c>
      <c r="E2102" s="4" t="s">
        <v>6034</v>
      </c>
    </row>
    <row r="2103" spans="1:5">
      <c r="A2103" s="4" t="s">
        <v>6214</v>
      </c>
      <c r="B2103" s="4" t="s">
        <v>6241</v>
      </c>
      <c r="C2103" s="4" t="s">
        <v>6240</v>
      </c>
      <c r="D2103" s="4" t="s">
        <v>6033</v>
      </c>
      <c r="E2103" s="4" t="s">
        <v>6034</v>
      </c>
    </row>
    <row r="2104" spans="1:5">
      <c r="A2104" s="4" t="s">
        <v>6214</v>
      </c>
      <c r="B2104" s="4" t="s">
        <v>6242</v>
      </c>
      <c r="C2104" s="4" t="s">
        <v>6216</v>
      </c>
      <c r="D2104" s="4" t="s">
        <v>6033</v>
      </c>
      <c r="E2104" s="4" t="s">
        <v>6034</v>
      </c>
    </row>
    <row r="2105" spans="1:5">
      <c r="A2105" s="4" t="s">
        <v>6214</v>
      </c>
      <c r="B2105" s="4" t="s">
        <v>6242</v>
      </c>
      <c r="C2105" s="4" t="s">
        <v>6215</v>
      </c>
      <c r="D2105" s="4" t="s">
        <v>6033</v>
      </c>
      <c r="E2105" s="4" t="s">
        <v>6034</v>
      </c>
    </row>
    <row r="2106" spans="1:5">
      <c r="A2106" s="4" t="s">
        <v>6214</v>
      </c>
      <c r="B2106" s="4" t="s">
        <v>6242</v>
      </c>
      <c r="C2106" s="4" t="s">
        <v>6217</v>
      </c>
      <c r="D2106" s="4" t="s">
        <v>6033</v>
      </c>
      <c r="E2106" s="4" t="s">
        <v>6034</v>
      </c>
    </row>
    <row r="2107" spans="1:5">
      <c r="A2107" s="4" t="s">
        <v>6214</v>
      </c>
      <c r="B2107" s="4" t="s">
        <v>6242</v>
      </c>
      <c r="C2107" s="4" t="s">
        <v>6218</v>
      </c>
      <c r="D2107" s="4" t="s">
        <v>6033</v>
      </c>
      <c r="E2107" s="4" t="s">
        <v>6034</v>
      </c>
    </row>
    <row r="2108" spans="1:5">
      <c r="A2108" s="4" t="s">
        <v>6214</v>
      </c>
      <c r="B2108" s="4" t="s">
        <v>6242</v>
      </c>
      <c r="C2108" s="4" t="s">
        <v>6219</v>
      </c>
      <c r="D2108" s="4" t="s">
        <v>6033</v>
      </c>
      <c r="E2108" s="4" t="s">
        <v>6034</v>
      </c>
    </row>
    <row r="2109" spans="1:5">
      <c r="A2109" s="4" t="s">
        <v>6214</v>
      </c>
      <c r="B2109" s="4" t="s">
        <v>6242</v>
      </c>
      <c r="C2109" s="4" t="s">
        <v>6220</v>
      </c>
      <c r="D2109" s="4" t="s">
        <v>6033</v>
      </c>
      <c r="E2109" s="4" t="s">
        <v>6034</v>
      </c>
    </row>
    <row r="2110" spans="1:5">
      <c r="A2110" s="4" t="s">
        <v>6214</v>
      </c>
      <c r="B2110" s="4" t="s">
        <v>6242</v>
      </c>
      <c r="C2110" s="4" t="s">
        <v>6221</v>
      </c>
      <c r="D2110" s="4" t="s">
        <v>6033</v>
      </c>
      <c r="E2110" s="4" t="s">
        <v>6034</v>
      </c>
    </row>
    <row r="2111" spans="1:5">
      <c r="A2111" s="4" t="s">
        <v>6214</v>
      </c>
      <c r="B2111" s="4" t="s">
        <v>6242</v>
      </c>
      <c r="C2111" s="4" t="s">
        <v>6222</v>
      </c>
      <c r="D2111" s="4" t="s">
        <v>6033</v>
      </c>
      <c r="E2111" s="4" t="s">
        <v>6034</v>
      </c>
    </row>
    <row r="2112" spans="1:5">
      <c r="A2112" s="4" t="s">
        <v>6214</v>
      </c>
      <c r="B2112" s="4" t="s">
        <v>6242</v>
      </c>
      <c r="C2112" s="4" t="s">
        <v>6223</v>
      </c>
      <c r="D2112" s="4" t="s">
        <v>6033</v>
      </c>
      <c r="E2112" s="4" t="s">
        <v>6034</v>
      </c>
    </row>
    <row r="2113" spans="1:5">
      <c r="A2113" s="4" t="s">
        <v>6214</v>
      </c>
      <c r="B2113" s="4" t="s">
        <v>6242</v>
      </c>
      <c r="C2113" s="4" t="s">
        <v>6224</v>
      </c>
      <c r="D2113" s="4" t="s">
        <v>6033</v>
      </c>
      <c r="E2113" s="4" t="s">
        <v>6034</v>
      </c>
    </row>
    <row r="2114" spans="1:5">
      <c r="A2114" s="4" t="s">
        <v>6214</v>
      </c>
      <c r="B2114" s="4" t="s">
        <v>6242</v>
      </c>
      <c r="C2114" s="4" t="s">
        <v>6225</v>
      </c>
      <c r="D2114" s="4" t="s">
        <v>6033</v>
      </c>
      <c r="E2114" s="4" t="s">
        <v>6034</v>
      </c>
    </row>
    <row r="2115" spans="1:5">
      <c r="A2115" s="4" t="s">
        <v>6214</v>
      </c>
      <c r="B2115" s="4" t="s">
        <v>6242</v>
      </c>
      <c r="C2115" s="4" t="s">
        <v>6226</v>
      </c>
      <c r="D2115" s="4" t="s">
        <v>6033</v>
      </c>
      <c r="E2115" s="4" t="s">
        <v>6034</v>
      </c>
    </row>
    <row r="2116" spans="1:5">
      <c r="A2116" s="4" t="s">
        <v>6214</v>
      </c>
      <c r="B2116" s="4" t="s">
        <v>6242</v>
      </c>
      <c r="C2116" s="4" t="s">
        <v>6227</v>
      </c>
      <c r="D2116" s="4" t="s">
        <v>6033</v>
      </c>
      <c r="E2116" s="4" t="s">
        <v>6034</v>
      </c>
    </row>
    <row r="2117" spans="1:5">
      <c r="A2117" s="4" t="s">
        <v>6214</v>
      </c>
      <c r="B2117" s="4" t="s">
        <v>6242</v>
      </c>
      <c r="C2117" s="4" t="s">
        <v>6228</v>
      </c>
      <c r="D2117" s="4" t="s">
        <v>6033</v>
      </c>
      <c r="E2117" s="4" t="s">
        <v>6034</v>
      </c>
    </row>
    <row r="2118" spans="1:5">
      <c r="A2118" s="4" t="s">
        <v>6214</v>
      </c>
      <c r="B2118" s="4" t="s">
        <v>6242</v>
      </c>
      <c r="C2118" s="4" t="s">
        <v>6229</v>
      </c>
      <c r="D2118" s="4" t="s">
        <v>6033</v>
      </c>
      <c r="E2118" s="4" t="s">
        <v>6034</v>
      </c>
    </row>
    <row r="2119" spans="1:5">
      <c r="A2119" s="4" t="s">
        <v>6214</v>
      </c>
      <c r="B2119" s="4" t="s">
        <v>6242</v>
      </c>
      <c r="C2119" s="4" t="s">
        <v>6230</v>
      </c>
      <c r="D2119" s="4" t="s">
        <v>6033</v>
      </c>
      <c r="E2119" s="4" t="s">
        <v>6034</v>
      </c>
    </row>
    <row r="2120" spans="1:5">
      <c r="A2120" s="4" t="s">
        <v>6214</v>
      </c>
      <c r="B2120" s="4" t="s">
        <v>6242</v>
      </c>
      <c r="C2120" s="4" t="s">
        <v>6231</v>
      </c>
      <c r="D2120" s="4" t="s">
        <v>6033</v>
      </c>
      <c r="E2120" s="4" t="s">
        <v>6034</v>
      </c>
    </row>
    <row r="2121" spans="1:5">
      <c r="A2121" s="4" t="s">
        <v>6214</v>
      </c>
      <c r="B2121" s="4" t="s">
        <v>6242</v>
      </c>
      <c r="C2121" s="4" t="s">
        <v>6232</v>
      </c>
      <c r="D2121" s="4" t="s">
        <v>6033</v>
      </c>
      <c r="E2121" s="4" t="s">
        <v>6034</v>
      </c>
    </row>
    <row r="2122" spans="1:5">
      <c r="A2122" s="4" t="s">
        <v>6214</v>
      </c>
      <c r="B2122" s="4" t="s">
        <v>6242</v>
      </c>
      <c r="C2122" s="4" t="s">
        <v>6233</v>
      </c>
      <c r="D2122" s="4" t="s">
        <v>6033</v>
      </c>
      <c r="E2122" s="4" t="s">
        <v>6034</v>
      </c>
    </row>
    <row r="2123" spans="1:5">
      <c r="A2123" s="4" t="s">
        <v>6214</v>
      </c>
      <c r="B2123" s="4" t="s">
        <v>6242</v>
      </c>
      <c r="C2123" s="4" t="s">
        <v>6234</v>
      </c>
      <c r="D2123" s="4" t="s">
        <v>6033</v>
      </c>
      <c r="E2123" s="4" t="s">
        <v>6034</v>
      </c>
    </row>
    <row r="2124" spans="1:5">
      <c r="A2124" s="4" t="s">
        <v>6214</v>
      </c>
      <c r="B2124" s="4" t="s">
        <v>6242</v>
      </c>
      <c r="C2124" s="4" t="s">
        <v>6235</v>
      </c>
      <c r="D2124" s="4" t="s">
        <v>6033</v>
      </c>
      <c r="E2124" s="4" t="s">
        <v>6034</v>
      </c>
    </row>
    <row r="2125" spans="1:5">
      <c r="A2125" s="4" t="s">
        <v>6214</v>
      </c>
      <c r="B2125" s="4" t="s">
        <v>6242</v>
      </c>
      <c r="C2125" s="4" t="s">
        <v>6236</v>
      </c>
      <c r="D2125" s="4" t="s">
        <v>6033</v>
      </c>
      <c r="E2125" s="4" t="s">
        <v>6034</v>
      </c>
    </row>
    <row r="2126" spans="1:5">
      <c r="A2126" s="4" t="s">
        <v>6214</v>
      </c>
      <c r="B2126" s="4" t="s">
        <v>6242</v>
      </c>
      <c r="C2126" s="4" t="s">
        <v>6237</v>
      </c>
      <c r="D2126" s="4" t="s">
        <v>6033</v>
      </c>
      <c r="E2126" s="4" t="s">
        <v>6034</v>
      </c>
    </row>
    <row r="2127" spans="1:5">
      <c r="A2127" s="4" t="s">
        <v>6214</v>
      </c>
      <c r="B2127" s="4" t="s">
        <v>6242</v>
      </c>
      <c r="C2127" s="4" t="s">
        <v>6238</v>
      </c>
      <c r="D2127" s="4" t="s">
        <v>6033</v>
      </c>
      <c r="E2127" s="4" t="s">
        <v>6034</v>
      </c>
    </row>
    <row r="2128" spans="1:5">
      <c r="A2128" s="4" t="s">
        <v>6214</v>
      </c>
      <c r="B2128" s="4" t="s">
        <v>6242</v>
      </c>
      <c r="C2128" s="4" t="s">
        <v>6239</v>
      </c>
      <c r="D2128" s="4" t="s">
        <v>6033</v>
      </c>
      <c r="E2128" s="4" t="s">
        <v>6034</v>
      </c>
    </row>
    <row r="2129" spans="1:5">
      <c r="A2129" s="4" t="s">
        <v>6214</v>
      </c>
      <c r="B2129" s="4" t="s">
        <v>6242</v>
      </c>
      <c r="C2129" s="4" t="s">
        <v>6240</v>
      </c>
      <c r="D2129" s="4" t="s">
        <v>6033</v>
      </c>
      <c r="E2129" s="4" t="s">
        <v>6034</v>
      </c>
    </row>
    <row r="2130" spans="1:5">
      <c r="A2130" s="4" t="s">
        <v>6214</v>
      </c>
      <c r="B2130" s="4" t="s">
        <v>6242</v>
      </c>
      <c r="C2130" s="4" t="s">
        <v>6241</v>
      </c>
      <c r="D2130" s="4" t="s">
        <v>6033</v>
      </c>
      <c r="E2130" s="4" t="s">
        <v>6034</v>
      </c>
    </row>
    <row r="2131" spans="1:5">
      <c r="A2131" s="4" t="s">
        <v>6214</v>
      </c>
      <c r="B2131" s="4" t="s">
        <v>6243</v>
      </c>
      <c r="C2131" s="4" t="s">
        <v>6216</v>
      </c>
      <c r="D2131" s="4" t="s">
        <v>6033</v>
      </c>
      <c r="E2131" s="4" t="s">
        <v>6034</v>
      </c>
    </row>
    <row r="2132" spans="1:5">
      <c r="A2132" s="4" t="s">
        <v>6214</v>
      </c>
      <c r="B2132" s="4" t="s">
        <v>6243</v>
      </c>
      <c r="C2132" s="4" t="s">
        <v>6215</v>
      </c>
      <c r="D2132" s="4" t="s">
        <v>6033</v>
      </c>
      <c r="E2132" s="4" t="s">
        <v>6034</v>
      </c>
    </row>
    <row r="2133" spans="1:5">
      <c r="A2133" s="4" t="s">
        <v>6214</v>
      </c>
      <c r="B2133" s="4" t="s">
        <v>6243</v>
      </c>
      <c r="C2133" s="4" t="s">
        <v>6217</v>
      </c>
      <c r="D2133" s="4" t="s">
        <v>6033</v>
      </c>
      <c r="E2133" s="4" t="s">
        <v>6034</v>
      </c>
    </row>
    <row r="2134" spans="1:5">
      <c r="A2134" s="4" t="s">
        <v>6214</v>
      </c>
      <c r="B2134" s="4" t="s">
        <v>6243</v>
      </c>
      <c r="C2134" s="4" t="s">
        <v>6218</v>
      </c>
      <c r="D2134" s="4" t="s">
        <v>6033</v>
      </c>
      <c r="E2134" s="4" t="s">
        <v>6034</v>
      </c>
    </row>
    <row r="2135" spans="1:5">
      <c r="A2135" s="4" t="s">
        <v>6214</v>
      </c>
      <c r="B2135" s="4" t="s">
        <v>6243</v>
      </c>
      <c r="C2135" s="4" t="s">
        <v>6219</v>
      </c>
      <c r="D2135" s="4" t="s">
        <v>6033</v>
      </c>
      <c r="E2135" s="4" t="s">
        <v>6034</v>
      </c>
    </row>
    <row r="2136" spans="1:5">
      <c r="A2136" s="4" t="s">
        <v>6214</v>
      </c>
      <c r="B2136" s="4" t="s">
        <v>6243</v>
      </c>
      <c r="C2136" s="4" t="s">
        <v>6220</v>
      </c>
      <c r="D2136" s="4" t="s">
        <v>6033</v>
      </c>
      <c r="E2136" s="4" t="s">
        <v>6034</v>
      </c>
    </row>
    <row r="2137" spans="1:5">
      <c r="A2137" s="4" t="s">
        <v>6214</v>
      </c>
      <c r="B2137" s="4" t="s">
        <v>6243</v>
      </c>
      <c r="C2137" s="4" t="s">
        <v>6221</v>
      </c>
      <c r="D2137" s="4" t="s">
        <v>6033</v>
      </c>
      <c r="E2137" s="4" t="s">
        <v>6034</v>
      </c>
    </row>
    <row r="2138" spans="1:5">
      <c r="A2138" s="4" t="s">
        <v>6214</v>
      </c>
      <c r="B2138" s="4" t="s">
        <v>6243</v>
      </c>
      <c r="C2138" s="4" t="s">
        <v>6222</v>
      </c>
      <c r="D2138" s="4" t="s">
        <v>6033</v>
      </c>
      <c r="E2138" s="4" t="s">
        <v>6034</v>
      </c>
    </row>
    <row r="2139" spans="1:5">
      <c r="A2139" s="4" t="s">
        <v>6214</v>
      </c>
      <c r="B2139" s="4" t="s">
        <v>6243</v>
      </c>
      <c r="C2139" s="4" t="s">
        <v>6223</v>
      </c>
      <c r="D2139" s="4" t="s">
        <v>6033</v>
      </c>
      <c r="E2139" s="4" t="s">
        <v>6034</v>
      </c>
    </row>
    <row r="2140" spans="1:5">
      <c r="A2140" s="4" t="s">
        <v>6214</v>
      </c>
      <c r="B2140" s="4" t="s">
        <v>6243</v>
      </c>
      <c r="C2140" s="4" t="s">
        <v>6224</v>
      </c>
      <c r="D2140" s="4" t="s">
        <v>6033</v>
      </c>
      <c r="E2140" s="4" t="s">
        <v>6034</v>
      </c>
    </row>
    <row r="2141" spans="1:5">
      <c r="A2141" s="4" t="s">
        <v>6214</v>
      </c>
      <c r="B2141" s="4" t="s">
        <v>6243</v>
      </c>
      <c r="C2141" s="4" t="s">
        <v>6225</v>
      </c>
      <c r="D2141" s="4" t="s">
        <v>6033</v>
      </c>
      <c r="E2141" s="4" t="s">
        <v>6034</v>
      </c>
    </row>
    <row r="2142" spans="1:5">
      <c r="A2142" s="4" t="s">
        <v>6214</v>
      </c>
      <c r="B2142" s="4" t="s">
        <v>6243</v>
      </c>
      <c r="C2142" s="4" t="s">
        <v>6226</v>
      </c>
      <c r="D2142" s="4" t="s">
        <v>6033</v>
      </c>
      <c r="E2142" s="4" t="s">
        <v>6034</v>
      </c>
    </row>
    <row r="2143" spans="1:5">
      <c r="A2143" s="4" t="s">
        <v>6214</v>
      </c>
      <c r="B2143" s="4" t="s">
        <v>6243</v>
      </c>
      <c r="C2143" s="4" t="s">
        <v>6227</v>
      </c>
      <c r="D2143" s="4" t="s">
        <v>6033</v>
      </c>
      <c r="E2143" s="4" t="s">
        <v>6034</v>
      </c>
    </row>
    <row r="2144" spans="1:5">
      <c r="A2144" s="4" t="s">
        <v>6214</v>
      </c>
      <c r="B2144" s="4" t="s">
        <v>6243</v>
      </c>
      <c r="C2144" s="4" t="s">
        <v>6228</v>
      </c>
      <c r="D2144" s="4" t="s">
        <v>6033</v>
      </c>
      <c r="E2144" s="4" t="s">
        <v>6034</v>
      </c>
    </row>
    <row r="2145" spans="1:5">
      <c r="A2145" s="4" t="s">
        <v>6214</v>
      </c>
      <c r="B2145" s="4" t="s">
        <v>6243</v>
      </c>
      <c r="C2145" s="4" t="s">
        <v>6229</v>
      </c>
      <c r="D2145" s="4" t="s">
        <v>6033</v>
      </c>
      <c r="E2145" s="4" t="s">
        <v>6034</v>
      </c>
    </row>
    <row r="2146" spans="1:5">
      <c r="A2146" s="4" t="s">
        <v>6214</v>
      </c>
      <c r="B2146" s="4" t="s">
        <v>6243</v>
      </c>
      <c r="C2146" s="4" t="s">
        <v>6230</v>
      </c>
      <c r="D2146" s="4" t="s">
        <v>6033</v>
      </c>
      <c r="E2146" s="4" t="s">
        <v>6034</v>
      </c>
    </row>
    <row r="2147" spans="1:5">
      <c r="A2147" s="4" t="s">
        <v>6214</v>
      </c>
      <c r="B2147" s="4" t="s">
        <v>6243</v>
      </c>
      <c r="C2147" s="4" t="s">
        <v>6231</v>
      </c>
      <c r="D2147" s="4" t="s">
        <v>6033</v>
      </c>
      <c r="E2147" s="4" t="s">
        <v>6034</v>
      </c>
    </row>
    <row r="2148" spans="1:5">
      <c r="A2148" s="4" t="s">
        <v>6214</v>
      </c>
      <c r="B2148" s="4" t="s">
        <v>6243</v>
      </c>
      <c r="C2148" s="4" t="s">
        <v>6232</v>
      </c>
      <c r="D2148" s="4" t="s">
        <v>6033</v>
      </c>
      <c r="E2148" s="4" t="s">
        <v>6034</v>
      </c>
    </row>
    <row r="2149" spans="1:5">
      <c r="A2149" s="4" t="s">
        <v>6214</v>
      </c>
      <c r="B2149" s="4" t="s">
        <v>6243</v>
      </c>
      <c r="C2149" s="4" t="s">
        <v>6233</v>
      </c>
      <c r="D2149" s="4" t="s">
        <v>6033</v>
      </c>
      <c r="E2149" s="4" t="s">
        <v>6034</v>
      </c>
    </row>
    <row r="2150" spans="1:5">
      <c r="A2150" s="4" t="s">
        <v>6214</v>
      </c>
      <c r="B2150" s="4" t="s">
        <v>6243</v>
      </c>
      <c r="C2150" s="4" t="s">
        <v>6234</v>
      </c>
      <c r="D2150" s="4" t="s">
        <v>6033</v>
      </c>
      <c r="E2150" s="4" t="s">
        <v>6034</v>
      </c>
    </row>
    <row r="2151" spans="1:5">
      <c r="A2151" s="4" t="s">
        <v>6214</v>
      </c>
      <c r="B2151" s="4" t="s">
        <v>6243</v>
      </c>
      <c r="C2151" s="4" t="s">
        <v>6235</v>
      </c>
      <c r="D2151" s="4" t="s">
        <v>6033</v>
      </c>
      <c r="E2151" s="4" t="s">
        <v>6034</v>
      </c>
    </row>
    <row r="2152" spans="1:5">
      <c r="A2152" s="4" t="s">
        <v>6214</v>
      </c>
      <c r="B2152" s="4" t="s">
        <v>6243</v>
      </c>
      <c r="C2152" s="4" t="s">
        <v>6236</v>
      </c>
      <c r="D2152" s="4" t="s">
        <v>6033</v>
      </c>
      <c r="E2152" s="4" t="s">
        <v>6034</v>
      </c>
    </row>
    <row r="2153" spans="1:5">
      <c r="A2153" s="4" t="s">
        <v>6214</v>
      </c>
      <c r="B2153" s="4" t="s">
        <v>6243</v>
      </c>
      <c r="C2153" s="4" t="s">
        <v>6237</v>
      </c>
      <c r="D2153" s="4" t="s">
        <v>6033</v>
      </c>
      <c r="E2153" s="4" t="s">
        <v>6034</v>
      </c>
    </row>
    <row r="2154" spans="1:5">
      <c r="A2154" s="4" t="s">
        <v>6214</v>
      </c>
      <c r="B2154" s="4" t="s">
        <v>6243</v>
      </c>
      <c r="C2154" s="4" t="s">
        <v>6238</v>
      </c>
      <c r="D2154" s="4" t="s">
        <v>6033</v>
      </c>
      <c r="E2154" s="4" t="s">
        <v>6034</v>
      </c>
    </row>
    <row r="2155" spans="1:5">
      <c r="A2155" s="4" t="s">
        <v>6214</v>
      </c>
      <c r="B2155" s="4" t="s">
        <v>6243</v>
      </c>
      <c r="C2155" s="4" t="s">
        <v>6239</v>
      </c>
      <c r="D2155" s="4" t="s">
        <v>6033</v>
      </c>
      <c r="E2155" s="4" t="s">
        <v>6034</v>
      </c>
    </row>
    <row r="2156" spans="1:5">
      <c r="A2156" s="4" t="s">
        <v>6214</v>
      </c>
      <c r="B2156" s="4" t="s">
        <v>6243</v>
      </c>
      <c r="C2156" s="4" t="s">
        <v>6240</v>
      </c>
      <c r="D2156" s="4" t="s">
        <v>6033</v>
      </c>
      <c r="E2156" s="4" t="s">
        <v>6034</v>
      </c>
    </row>
    <row r="2157" spans="1:5">
      <c r="A2157" s="4" t="s">
        <v>6214</v>
      </c>
      <c r="B2157" s="4" t="s">
        <v>6243</v>
      </c>
      <c r="C2157" s="4" t="s">
        <v>6241</v>
      </c>
      <c r="D2157" s="4" t="s">
        <v>6033</v>
      </c>
      <c r="E2157" s="4" t="s">
        <v>6034</v>
      </c>
    </row>
    <row r="2158" spans="1:5">
      <c r="A2158" s="4" t="s">
        <v>6214</v>
      </c>
      <c r="B2158" s="4" t="s">
        <v>6243</v>
      </c>
      <c r="C2158" s="4" t="s">
        <v>6242</v>
      </c>
      <c r="D2158" s="4" t="s">
        <v>6033</v>
      </c>
      <c r="E2158" s="4" t="s">
        <v>6034</v>
      </c>
    </row>
    <row r="2159" spans="1:5">
      <c r="A2159" s="4" t="s">
        <v>6214</v>
      </c>
      <c r="B2159" s="4" t="s">
        <v>6244</v>
      </c>
      <c r="C2159" s="4" t="s">
        <v>6216</v>
      </c>
      <c r="D2159" s="4" t="s">
        <v>6033</v>
      </c>
      <c r="E2159" s="4" t="s">
        <v>6034</v>
      </c>
    </row>
    <row r="2160" spans="1:5">
      <c r="A2160" s="4" t="s">
        <v>6214</v>
      </c>
      <c r="B2160" s="4" t="s">
        <v>6244</v>
      </c>
      <c r="C2160" s="4" t="s">
        <v>6215</v>
      </c>
      <c r="D2160" s="4" t="s">
        <v>6033</v>
      </c>
      <c r="E2160" s="4" t="s">
        <v>6034</v>
      </c>
    </row>
    <row r="2161" spans="1:5">
      <c r="A2161" s="4" t="s">
        <v>6214</v>
      </c>
      <c r="B2161" s="4" t="s">
        <v>6244</v>
      </c>
      <c r="C2161" s="4" t="s">
        <v>6217</v>
      </c>
      <c r="D2161" s="4" t="s">
        <v>6033</v>
      </c>
      <c r="E2161" s="4" t="s">
        <v>6034</v>
      </c>
    </row>
    <row r="2162" spans="1:5">
      <c r="A2162" s="4" t="s">
        <v>6214</v>
      </c>
      <c r="B2162" s="4" t="s">
        <v>6244</v>
      </c>
      <c r="C2162" s="4" t="s">
        <v>6218</v>
      </c>
      <c r="D2162" s="4" t="s">
        <v>6033</v>
      </c>
      <c r="E2162" s="4" t="s">
        <v>6034</v>
      </c>
    </row>
    <row r="2163" spans="1:5">
      <c r="A2163" s="4" t="s">
        <v>6214</v>
      </c>
      <c r="B2163" s="4" t="s">
        <v>6244</v>
      </c>
      <c r="C2163" s="4" t="s">
        <v>6219</v>
      </c>
      <c r="D2163" s="4" t="s">
        <v>6033</v>
      </c>
      <c r="E2163" s="4" t="s">
        <v>6034</v>
      </c>
    </row>
    <row r="2164" spans="1:5">
      <c r="A2164" s="4" t="s">
        <v>6214</v>
      </c>
      <c r="B2164" s="4" t="s">
        <v>6244</v>
      </c>
      <c r="C2164" s="4" t="s">
        <v>6220</v>
      </c>
      <c r="D2164" s="4" t="s">
        <v>6033</v>
      </c>
      <c r="E2164" s="4" t="s">
        <v>6034</v>
      </c>
    </row>
    <row r="2165" spans="1:5">
      <c r="A2165" s="4" t="s">
        <v>6214</v>
      </c>
      <c r="B2165" s="4" t="s">
        <v>6244</v>
      </c>
      <c r="C2165" s="4" t="s">
        <v>6221</v>
      </c>
      <c r="D2165" s="4" t="s">
        <v>6033</v>
      </c>
      <c r="E2165" s="4" t="s">
        <v>6034</v>
      </c>
    </row>
    <row r="2166" spans="1:5">
      <c r="A2166" s="4" t="s">
        <v>6214</v>
      </c>
      <c r="B2166" s="4" t="s">
        <v>6244</v>
      </c>
      <c r="C2166" s="4" t="s">
        <v>6222</v>
      </c>
      <c r="D2166" s="4" t="s">
        <v>6033</v>
      </c>
      <c r="E2166" s="4" t="s">
        <v>6034</v>
      </c>
    </row>
    <row r="2167" spans="1:5">
      <c r="A2167" s="4" t="s">
        <v>6214</v>
      </c>
      <c r="B2167" s="4" t="s">
        <v>6244</v>
      </c>
      <c r="C2167" s="4" t="s">
        <v>6223</v>
      </c>
      <c r="D2167" s="4" t="s">
        <v>6033</v>
      </c>
      <c r="E2167" s="4" t="s">
        <v>6034</v>
      </c>
    </row>
    <row r="2168" spans="1:5">
      <c r="A2168" s="4" t="s">
        <v>6214</v>
      </c>
      <c r="B2168" s="4" t="s">
        <v>6244</v>
      </c>
      <c r="C2168" s="4" t="s">
        <v>6224</v>
      </c>
      <c r="D2168" s="4" t="s">
        <v>6033</v>
      </c>
      <c r="E2168" s="4" t="s">
        <v>6034</v>
      </c>
    </row>
    <row r="2169" spans="1:5">
      <c r="A2169" s="4" t="s">
        <v>6214</v>
      </c>
      <c r="B2169" s="4" t="s">
        <v>6244</v>
      </c>
      <c r="C2169" s="4" t="s">
        <v>6225</v>
      </c>
      <c r="D2169" s="4" t="s">
        <v>6033</v>
      </c>
      <c r="E2169" s="4" t="s">
        <v>6034</v>
      </c>
    </row>
    <row r="2170" spans="1:5">
      <c r="A2170" s="4" t="s">
        <v>6214</v>
      </c>
      <c r="B2170" s="4" t="s">
        <v>6244</v>
      </c>
      <c r="C2170" s="4" t="s">
        <v>6226</v>
      </c>
      <c r="D2170" s="4" t="s">
        <v>6033</v>
      </c>
      <c r="E2170" s="4" t="s">
        <v>6034</v>
      </c>
    </row>
    <row r="2171" spans="1:5">
      <c r="A2171" s="4" t="s">
        <v>6214</v>
      </c>
      <c r="B2171" s="4" t="s">
        <v>6244</v>
      </c>
      <c r="C2171" s="4" t="s">
        <v>6227</v>
      </c>
      <c r="D2171" s="4" t="s">
        <v>6033</v>
      </c>
      <c r="E2171" s="4" t="s">
        <v>6034</v>
      </c>
    </row>
    <row r="2172" spans="1:5">
      <c r="A2172" s="4" t="s">
        <v>6214</v>
      </c>
      <c r="B2172" s="4" t="s">
        <v>6244</v>
      </c>
      <c r="C2172" s="4" t="s">
        <v>6228</v>
      </c>
      <c r="D2172" s="4" t="s">
        <v>6033</v>
      </c>
      <c r="E2172" s="4" t="s">
        <v>6034</v>
      </c>
    </row>
    <row r="2173" spans="1:5">
      <c r="A2173" s="4" t="s">
        <v>6214</v>
      </c>
      <c r="B2173" s="4" t="s">
        <v>6244</v>
      </c>
      <c r="C2173" s="4" t="s">
        <v>6229</v>
      </c>
      <c r="D2173" s="4" t="s">
        <v>6033</v>
      </c>
      <c r="E2173" s="4" t="s">
        <v>6034</v>
      </c>
    </row>
    <row r="2174" spans="1:5">
      <c r="A2174" s="4" t="s">
        <v>6214</v>
      </c>
      <c r="B2174" s="4" t="s">
        <v>6244</v>
      </c>
      <c r="C2174" s="4" t="s">
        <v>6230</v>
      </c>
      <c r="D2174" s="4" t="s">
        <v>6033</v>
      </c>
      <c r="E2174" s="4" t="s">
        <v>6034</v>
      </c>
    </row>
    <row r="2175" spans="1:5">
      <c r="A2175" s="4" t="s">
        <v>6214</v>
      </c>
      <c r="B2175" s="4" t="s">
        <v>6244</v>
      </c>
      <c r="C2175" s="4" t="s">
        <v>6231</v>
      </c>
      <c r="D2175" s="4" t="s">
        <v>6033</v>
      </c>
      <c r="E2175" s="4" t="s">
        <v>6034</v>
      </c>
    </row>
    <row r="2176" spans="1:5">
      <c r="A2176" s="4" t="s">
        <v>6214</v>
      </c>
      <c r="B2176" s="4" t="s">
        <v>6244</v>
      </c>
      <c r="C2176" s="4" t="s">
        <v>6232</v>
      </c>
      <c r="D2176" s="4" t="s">
        <v>6033</v>
      </c>
      <c r="E2176" s="4" t="s">
        <v>6034</v>
      </c>
    </row>
    <row r="2177" spans="1:5">
      <c r="A2177" s="4" t="s">
        <v>6214</v>
      </c>
      <c r="B2177" s="4" t="s">
        <v>6244</v>
      </c>
      <c r="C2177" s="4" t="s">
        <v>6233</v>
      </c>
      <c r="D2177" s="4" t="s">
        <v>6033</v>
      </c>
      <c r="E2177" s="4" t="s">
        <v>6034</v>
      </c>
    </row>
    <row r="2178" spans="1:5">
      <c r="A2178" s="4" t="s">
        <v>6214</v>
      </c>
      <c r="B2178" s="4" t="s">
        <v>6244</v>
      </c>
      <c r="C2178" s="4" t="s">
        <v>6234</v>
      </c>
      <c r="D2178" s="4" t="s">
        <v>6033</v>
      </c>
      <c r="E2178" s="4" t="s">
        <v>6034</v>
      </c>
    </row>
    <row r="2179" spans="1:5">
      <c r="A2179" s="4" t="s">
        <v>6214</v>
      </c>
      <c r="B2179" s="4" t="s">
        <v>6244</v>
      </c>
      <c r="C2179" s="4" t="s">
        <v>6235</v>
      </c>
      <c r="D2179" s="4" t="s">
        <v>6033</v>
      </c>
      <c r="E2179" s="4" t="s">
        <v>6034</v>
      </c>
    </row>
    <row r="2180" spans="1:5">
      <c r="A2180" s="4" t="s">
        <v>6214</v>
      </c>
      <c r="B2180" s="4" t="s">
        <v>6244</v>
      </c>
      <c r="C2180" s="4" t="s">
        <v>6236</v>
      </c>
      <c r="D2180" s="4" t="s">
        <v>6033</v>
      </c>
      <c r="E2180" s="4" t="s">
        <v>6034</v>
      </c>
    </row>
    <row r="2181" spans="1:5">
      <c r="A2181" s="4" t="s">
        <v>6214</v>
      </c>
      <c r="B2181" s="4" t="s">
        <v>6244</v>
      </c>
      <c r="C2181" s="4" t="s">
        <v>6237</v>
      </c>
      <c r="D2181" s="4" t="s">
        <v>6033</v>
      </c>
      <c r="E2181" s="4" t="s">
        <v>6034</v>
      </c>
    </row>
    <row r="2182" spans="1:5">
      <c r="A2182" s="4" t="s">
        <v>6214</v>
      </c>
      <c r="B2182" s="4" t="s">
        <v>6244</v>
      </c>
      <c r="C2182" s="4" t="s">
        <v>6238</v>
      </c>
      <c r="D2182" s="4" t="s">
        <v>6033</v>
      </c>
      <c r="E2182" s="4" t="s">
        <v>6034</v>
      </c>
    </row>
    <row r="2183" spans="1:5">
      <c r="A2183" s="4" t="s">
        <v>6214</v>
      </c>
      <c r="B2183" s="4" t="s">
        <v>6244</v>
      </c>
      <c r="C2183" s="4" t="s">
        <v>6239</v>
      </c>
      <c r="D2183" s="4" t="s">
        <v>6033</v>
      </c>
      <c r="E2183" s="4" t="s">
        <v>6034</v>
      </c>
    </row>
    <row r="2184" spans="1:5">
      <c r="A2184" s="4" t="s">
        <v>6214</v>
      </c>
      <c r="B2184" s="4" t="s">
        <v>6244</v>
      </c>
      <c r="C2184" s="4" t="s">
        <v>6240</v>
      </c>
      <c r="D2184" s="4" t="s">
        <v>6033</v>
      </c>
      <c r="E2184" s="4" t="s">
        <v>6034</v>
      </c>
    </row>
    <row r="2185" spans="1:5">
      <c r="A2185" s="4" t="s">
        <v>6214</v>
      </c>
      <c r="B2185" s="4" t="s">
        <v>6244</v>
      </c>
      <c r="C2185" s="4" t="s">
        <v>6241</v>
      </c>
      <c r="D2185" s="4" t="s">
        <v>6033</v>
      </c>
      <c r="E2185" s="4" t="s">
        <v>6034</v>
      </c>
    </row>
    <row r="2186" spans="1:5">
      <c r="A2186" s="4" t="s">
        <v>6214</v>
      </c>
      <c r="B2186" s="4" t="s">
        <v>6244</v>
      </c>
      <c r="C2186" s="4" t="s">
        <v>6242</v>
      </c>
      <c r="D2186" s="4" t="s">
        <v>6033</v>
      </c>
      <c r="E2186" s="4" t="s">
        <v>6034</v>
      </c>
    </row>
    <row r="2187" spans="1:5">
      <c r="A2187" s="4" t="s">
        <v>6214</v>
      </c>
      <c r="B2187" s="4" t="s">
        <v>6244</v>
      </c>
      <c r="C2187" s="4" t="s">
        <v>6243</v>
      </c>
      <c r="D2187" s="4" t="s">
        <v>6033</v>
      </c>
      <c r="E2187" s="4" t="s">
        <v>6034</v>
      </c>
    </row>
    <row r="2188" spans="1:5">
      <c r="A2188" s="4" t="s">
        <v>6214</v>
      </c>
      <c r="B2188" s="4" t="s">
        <v>6245</v>
      </c>
      <c r="C2188" s="4" t="s">
        <v>6216</v>
      </c>
      <c r="D2188" s="4" t="s">
        <v>6033</v>
      </c>
      <c r="E2188" s="4" t="s">
        <v>6034</v>
      </c>
    </row>
    <row r="2189" spans="1:5">
      <c r="A2189" s="4" t="s">
        <v>6214</v>
      </c>
      <c r="B2189" s="4" t="s">
        <v>6245</v>
      </c>
      <c r="C2189" s="4" t="s">
        <v>6215</v>
      </c>
      <c r="D2189" s="4" t="s">
        <v>6033</v>
      </c>
      <c r="E2189" s="4" t="s">
        <v>6034</v>
      </c>
    </row>
    <row r="2190" spans="1:5">
      <c r="A2190" s="4" t="s">
        <v>6214</v>
      </c>
      <c r="B2190" s="4" t="s">
        <v>6245</v>
      </c>
      <c r="C2190" s="4" t="s">
        <v>6217</v>
      </c>
      <c r="D2190" s="4" t="s">
        <v>6033</v>
      </c>
      <c r="E2190" s="4" t="s">
        <v>6034</v>
      </c>
    </row>
    <row r="2191" spans="1:5">
      <c r="A2191" s="4" t="s">
        <v>6214</v>
      </c>
      <c r="B2191" s="4" t="s">
        <v>6245</v>
      </c>
      <c r="C2191" s="4" t="s">
        <v>6218</v>
      </c>
      <c r="D2191" s="4" t="s">
        <v>6033</v>
      </c>
      <c r="E2191" s="4" t="s">
        <v>6034</v>
      </c>
    </row>
    <row r="2192" spans="1:5">
      <c r="A2192" s="4" t="s">
        <v>6214</v>
      </c>
      <c r="B2192" s="4" t="s">
        <v>6245</v>
      </c>
      <c r="C2192" s="4" t="s">
        <v>6219</v>
      </c>
      <c r="D2192" s="4" t="s">
        <v>6033</v>
      </c>
      <c r="E2192" s="4" t="s">
        <v>6034</v>
      </c>
    </row>
    <row r="2193" spans="1:5">
      <c r="A2193" s="4" t="s">
        <v>6214</v>
      </c>
      <c r="B2193" s="4" t="s">
        <v>6245</v>
      </c>
      <c r="C2193" s="4" t="s">
        <v>6220</v>
      </c>
      <c r="D2193" s="4" t="s">
        <v>6033</v>
      </c>
      <c r="E2193" s="4" t="s">
        <v>6034</v>
      </c>
    </row>
    <row r="2194" spans="1:5">
      <c r="A2194" s="4" t="s">
        <v>6214</v>
      </c>
      <c r="B2194" s="4" t="s">
        <v>6245</v>
      </c>
      <c r="C2194" s="4" t="s">
        <v>6221</v>
      </c>
      <c r="D2194" s="4" t="s">
        <v>6033</v>
      </c>
      <c r="E2194" s="4" t="s">
        <v>6034</v>
      </c>
    </row>
    <row r="2195" spans="1:5">
      <c r="A2195" s="4" t="s">
        <v>6214</v>
      </c>
      <c r="B2195" s="4" t="s">
        <v>6245</v>
      </c>
      <c r="C2195" s="4" t="s">
        <v>6222</v>
      </c>
      <c r="D2195" s="4" t="s">
        <v>6033</v>
      </c>
      <c r="E2195" s="4" t="s">
        <v>6034</v>
      </c>
    </row>
    <row r="2196" spans="1:5">
      <c r="A2196" s="4" t="s">
        <v>6214</v>
      </c>
      <c r="B2196" s="4" t="s">
        <v>6245</v>
      </c>
      <c r="C2196" s="4" t="s">
        <v>6223</v>
      </c>
      <c r="D2196" s="4" t="s">
        <v>6033</v>
      </c>
      <c r="E2196" s="4" t="s">
        <v>6034</v>
      </c>
    </row>
    <row r="2197" spans="1:5">
      <c r="A2197" s="4" t="s">
        <v>6214</v>
      </c>
      <c r="B2197" s="4" t="s">
        <v>6245</v>
      </c>
      <c r="C2197" s="4" t="s">
        <v>6224</v>
      </c>
      <c r="D2197" s="4" t="s">
        <v>6033</v>
      </c>
      <c r="E2197" s="4" t="s">
        <v>6034</v>
      </c>
    </row>
    <row r="2198" spans="1:5">
      <c r="A2198" s="4" t="s">
        <v>6214</v>
      </c>
      <c r="B2198" s="4" t="s">
        <v>6245</v>
      </c>
      <c r="C2198" s="4" t="s">
        <v>6225</v>
      </c>
      <c r="D2198" s="4" t="s">
        <v>6033</v>
      </c>
      <c r="E2198" s="4" t="s">
        <v>6034</v>
      </c>
    </row>
    <row r="2199" spans="1:5">
      <c r="A2199" s="4" t="s">
        <v>6214</v>
      </c>
      <c r="B2199" s="4" t="s">
        <v>6245</v>
      </c>
      <c r="C2199" s="4" t="s">
        <v>6226</v>
      </c>
      <c r="D2199" s="4" t="s">
        <v>6033</v>
      </c>
      <c r="E2199" s="4" t="s">
        <v>6034</v>
      </c>
    </row>
    <row r="2200" spans="1:5">
      <c r="A2200" s="4" t="s">
        <v>6214</v>
      </c>
      <c r="B2200" s="4" t="s">
        <v>6245</v>
      </c>
      <c r="C2200" s="4" t="s">
        <v>6227</v>
      </c>
      <c r="D2200" s="4" t="s">
        <v>6033</v>
      </c>
      <c r="E2200" s="4" t="s">
        <v>6034</v>
      </c>
    </row>
    <row r="2201" spans="1:5">
      <c r="A2201" s="4" t="s">
        <v>6214</v>
      </c>
      <c r="B2201" s="4" t="s">
        <v>6245</v>
      </c>
      <c r="C2201" s="4" t="s">
        <v>6228</v>
      </c>
      <c r="D2201" s="4" t="s">
        <v>6033</v>
      </c>
      <c r="E2201" s="4" t="s">
        <v>6034</v>
      </c>
    </row>
    <row r="2202" spans="1:5">
      <c r="A2202" s="4" t="s">
        <v>6214</v>
      </c>
      <c r="B2202" s="4" t="s">
        <v>6245</v>
      </c>
      <c r="C2202" s="4" t="s">
        <v>6229</v>
      </c>
      <c r="D2202" s="4" t="s">
        <v>6033</v>
      </c>
      <c r="E2202" s="4" t="s">
        <v>6034</v>
      </c>
    </row>
    <row r="2203" spans="1:5">
      <c r="A2203" s="4" t="s">
        <v>6214</v>
      </c>
      <c r="B2203" s="4" t="s">
        <v>6245</v>
      </c>
      <c r="C2203" s="4" t="s">
        <v>6230</v>
      </c>
      <c r="D2203" s="4" t="s">
        <v>6033</v>
      </c>
      <c r="E2203" s="4" t="s">
        <v>6034</v>
      </c>
    </row>
    <row r="2204" spans="1:5">
      <c r="A2204" s="4" t="s">
        <v>6214</v>
      </c>
      <c r="B2204" s="4" t="s">
        <v>6245</v>
      </c>
      <c r="C2204" s="4" t="s">
        <v>6231</v>
      </c>
      <c r="D2204" s="4" t="s">
        <v>6033</v>
      </c>
      <c r="E2204" s="4" t="s">
        <v>6034</v>
      </c>
    </row>
    <row r="2205" spans="1:5">
      <c r="A2205" s="4" t="s">
        <v>6214</v>
      </c>
      <c r="B2205" s="4" t="s">
        <v>6245</v>
      </c>
      <c r="C2205" s="4" t="s">
        <v>6232</v>
      </c>
      <c r="D2205" s="4" t="s">
        <v>6033</v>
      </c>
      <c r="E2205" s="4" t="s">
        <v>6034</v>
      </c>
    </row>
    <row r="2206" spans="1:5">
      <c r="A2206" s="4" t="s">
        <v>6214</v>
      </c>
      <c r="B2206" s="4" t="s">
        <v>6245</v>
      </c>
      <c r="C2206" s="4" t="s">
        <v>6233</v>
      </c>
      <c r="D2206" s="4" t="s">
        <v>6033</v>
      </c>
      <c r="E2206" s="4" t="s">
        <v>6034</v>
      </c>
    </row>
    <row r="2207" spans="1:5">
      <c r="A2207" s="4" t="s">
        <v>6214</v>
      </c>
      <c r="B2207" s="4" t="s">
        <v>6245</v>
      </c>
      <c r="C2207" s="4" t="s">
        <v>6234</v>
      </c>
      <c r="D2207" s="4" t="s">
        <v>6033</v>
      </c>
      <c r="E2207" s="4" t="s">
        <v>6034</v>
      </c>
    </row>
    <row r="2208" spans="1:5">
      <c r="A2208" s="4" t="s">
        <v>6214</v>
      </c>
      <c r="B2208" s="4" t="s">
        <v>6245</v>
      </c>
      <c r="C2208" s="4" t="s">
        <v>6235</v>
      </c>
      <c r="D2208" s="4" t="s">
        <v>6033</v>
      </c>
      <c r="E2208" s="4" t="s">
        <v>6034</v>
      </c>
    </row>
    <row r="2209" spans="1:5">
      <c r="A2209" s="4" t="s">
        <v>6214</v>
      </c>
      <c r="B2209" s="4" t="s">
        <v>6245</v>
      </c>
      <c r="C2209" s="4" t="s">
        <v>6236</v>
      </c>
      <c r="D2209" s="4" t="s">
        <v>6033</v>
      </c>
      <c r="E2209" s="4" t="s">
        <v>6034</v>
      </c>
    </row>
    <row r="2210" spans="1:5">
      <c r="A2210" s="4" t="s">
        <v>6214</v>
      </c>
      <c r="B2210" s="4" t="s">
        <v>6245</v>
      </c>
      <c r="C2210" s="4" t="s">
        <v>6237</v>
      </c>
      <c r="D2210" s="4" t="s">
        <v>6033</v>
      </c>
      <c r="E2210" s="4" t="s">
        <v>6034</v>
      </c>
    </row>
    <row r="2211" spans="1:5">
      <c r="A2211" s="4" t="s">
        <v>6214</v>
      </c>
      <c r="B2211" s="4" t="s">
        <v>6245</v>
      </c>
      <c r="C2211" s="4" t="s">
        <v>6238</v>
      </c>
      <c r="D2211" s="4" t="s">
        <v>6033</v>
      </c>
      <c r="E2211" s="4" t="s">
        <v>6034</v>
      </c>
    </row>
    <row r="2212" spans="1:5">
      <c r="A2212" s="4" t="s">
        <v>6214</v>
      </c>
      <c r="B2212" s="4" t="s">
        <v>6245</v>
      </c>
      <c r="C2212" s="4" t="s">
        <v>6239</v>
      </c>
      <c r="D2212" s="4" t="s">
        <v>6033</v>
      </c>
      <c r="E2212" s="4" t="s">
        <v>6034</v>
      </c>
    </row>
    <row r="2213" spans="1:5">
      <c r="A2213" s="4" t="s">
        <v>6214</v>
      </c>
      <c r="B2213" s="4" t="s">
        <v>6245</v>
      </c>
      <c r="C2213" s="4" t="s">
        <v>6240</v>
      </c>
      <c r="D2213" s="4" t="s">
        <v>6033</v>
      </c>
      <c r="E2213" s="4" t="s">
        <v>6034</v>
      </c>
    </row>
    <row r="2214" spans="1:5">
      <c r="A2214" s="4" t="s">
        <v>6214</v>
      </c>
      <c r="B2214" s="4" t="s">
        <v>6245</v>
      </c>
      <c r="C2214" s="4" t="s">
        <v>6241</v>
      </c>
      <c r="D2214" s="4" t="s">
        <v>6033</v>
      </c>
      <c r="E2214" s="4" t="s">
        <v>6034</v>
      </c>
    </row>
    <row r="2215" spans="1:5">
      <c r="A2215" s="4" t="s">
        <v>6214</v>
      </c>
      <c r="B2215" s="4" t="s">
        <v>6245</v>
      </c>
      <c r="C2215" s="4" t="s">
        <v>6242</v>
      </c>
      <c r="D2215" s="4" t="s">
        <v>6033</v>
      </c>
      <c r="E2215" s="4" t="s">
        <v>6034</v>
      </c>
    </row>
    <row r="2216" spans="1:5">
      <c r="A2216" s="4" t="s">
        <v>6214</v>
      </c>
      <c r="B2216" s="4" t="s">
        <v>6245</v>
      </c>
      <c r="C2216" s="4" t="s">
        <v>6243</v>
      </c>
      <c r="D2216" s="4" t="s">
        <v>6033</v>
      </c>
      <c r="E2216" s="4" t="s">
        <v>6034</v>
      </c>
    </row>
    <row r="2217" spans="1:5">
      <c r="A2217" s="4" t="s">
        <v>6214</v>
      </c>
      <c r="B2217" s="4" t="s">
        <v>6245</v>
      </c>
      <c r="C2217" s="4" t="s">
        <v>6244</v>
      </c>
      <c r="D2217" s="4" t="s">
        <v>6033</v>
      </c>
      <c r="E2217" s="4" t="s">
        <v>6034</v>
      </c>
    </row>
    <row r="2218" spans="1:5">
      <c r="A2218" s="4" t="s">
        <v>6214</v>
      </c>
      <c r="B2218" s="4" t="s">
        <v>6246</v>
      </c>
      <c r="C2218" s="4" t="s">
        <v>6216</v>
      </c>
      <c r="D2218" s="4" t="s">
        <v>6033</v>
      </c>
      <c r="E2218" s="4" t="s">
        <v>6034</v>
      </c>
    </row>
    <row r="2219" spans="1:5">
      <c r="A2219" s="4" t="s">
        <v>6214</v>
      </c>
      <c r="B2219" s="4" t="s">
        <v>6246</v>
      </c>
      <c r="C2219" s="4" t="s">
        <v>6215</v>
      </c>
      <c r="D2219" s="4" t="s">
        <v>6033</v>
      </c>
      <c r="E2219" s="4" t="s">
        <v>6034</v>
      </c>
    </row>
    <row r="2220" spans="1:5">
      <c r="A2220" s="4" t="s">
        <v>6214</v>
      </c>
      <c r="B2220" s="4" t="s">
        <v>6246</v>
      </c>
      <c r="C2220" s="4" t="s">
        <v>6217</v>
      </c>
      <c r="D2220" s="4" t="s">
        <v>6033</v>
      </c>
      <c r="E2220" s="4" t="s">
        <v>6034</v>
      </c>
    </row>
    <row r="2221" spans="1:5">
      <c r="A2221" s="4" t="s">
        <v>6214</v>
      </c>
      <c r="B2221" s="4" t="s">
        <v>6246</v>
      </c>
      <c r="C2221" s="4" t="s">
        <v>6218</v>
      </c>
      <c r="D2221" s="4" t="s">
        <v>6033</v>
      </c>
      <c r="E2221" s="4" t="s">
        <v>6034</v>
      </c>
    </row>
    <row r="2222" spans="1:5">
      <c r="A2222" s="4" t="s">
        <v>6214</v>
      </c>
      <c r="B2222" s="4" t="s">
        <v>6246</v>
      </c>
      <c r="C2222" s="4" t="s">
        <v>6219</v>
      </c>
      <c r="D2222" s="4" t="s">
        <v>6033</v>
      </c>
      <c r="E2222" s="4" t="s">
        <v>6034</v>
      </c>
    </row>
    <row r="2223" spans="1:5">
      <c r="A2223" s="4" t="s">
        <v>6214</v>
      </c>
      <c r="B2223" s="4" t="s">
        <v>6246</v>
      </c>
      <c r="C2223" s="4" t="s">
        <v>6220</v>
      </c>
      <c r="D2223" s="4" t="s">
        <v>6033</v>
      </c>
      <c r="E2223" s="4" t="s">
        <v>6034</v>
      </c>
    </row>
    <row r="2224" spans="1:5">
      <c r="A2224" s="4" t="s">
        <v>6214</v>
      </c>
      <c r="B2224" s="4" t="s">
        <v>6246</v>
      </c>
      <c r="C2224" s="4" t="s">
        <v>6221</v>
      </c>
      <c r="D2224" s="4" t="s">
        <v>6033</v>
      </c>
      <c r="E2224" s="4" t="s">
        <v>6034</v>
      </c>
    </row>
    <row r="2225" spans="1:5">
      <c r="A2225" s="4" t="s">
        <v>6214</v>
      </c>
      <c r="B2225" s="4" t="s">
        <v>6246</v>
      </c>
      <c r="C2225" s="4" t="s">
        <v>6222</v>
      </c>
      <c r="D2225" s="4" t="s">
        <v>6033</v>
      </c>
      <c r="E2225" s="4" t="s">
        <v>6034</v>
      </c>
    </row>
    <row r="2226" spans="1:5">
      <c r="A2226" s="4" t="s">
        <v>6214</v>
      </c>
      <c r="B2226" s="4" t="s">
        <v>6246</v>
      </c>
      <c r="C2226" s="4" t="s">
        <v>6223</v>
      </c>
      <c r="D2226" s="4" t="s">
        <v>6033</v>
      </c>
      <c r="E2226" s="4" t="s">
        <v>6034</v>
      </c>
    </row>
    <row r="2227" spans="1:5">
      <c r="A2227" s="4" t="s">
        <v>6214</v>
      </c>
      <c r="B2227" s="4" t="s">
        <v>6246</v>
      </c>
      <c r="C2227" s="4" t="s">
        <v>6224</v>
      </c>
      <c r="D2227" s="4" t="s">
        <v>6033</v>
      </c>
      <c r="E2227" s="4" t="s">
        <v>6034</v>
      </c>
    </row>
    <row r="2228" spans="1:5">
      <c r="A2228" s="4" t="s">
        <v>6214</v>
      </c>
      <c r="B2228" s="4" t="s">
        <v>6246</v>
      </c>
      <c r="C2228" s="4" t="s">
        <v>6225</v>
      </c>
      <c r="D2228" s="4" t="s">
        <v>6033</v>
      </c>
      <c r="E2228" s="4" t="s">
        <v>6034</v>
      </c>
    </row>
    <row r="2229" spans="1:5">
      <c r="A2229" s="4" t="s">
        <v>6214</v>
      </c>
      <c r="B2229" s="4" t="s">
        <v>6246</v>
      </c>
      <c r="C2229" s="4" t="s">
        <v>6226</v>
      </c>
      <c r="D2229" s="4" t="s">
        <v>6033</v>
      </c>
      <c r="E2229" s="4" t="s">
        <v>6034</v>
      </c>
    </row>
    <row r="2230" spans="1:5">
      <c r="A2230" s="4" t="s">
        <v>6214</v>
      </c>
      <c r="B2230" s="4" t="s">
        <v>6246</v>
      </c>
      <c r="C2230" s="4" t="s">
        <v>6227</v>
      </c>
      <c r="D2230" s="4" t="s">
        <v>6033</v>
      </c>
      <c r="E2230" s="4" t="s">
        <v>6034</v>
      </c>
    </row>
    <row r="2231" spans="1:5">
      <c r="A2231" s="4" t="s">
        <v>6214</v>
      </c>
      <c r="B2231" s="4" t="s">
        <v>6246</v>
      </c>
      <c r="C2231" s="4" t="s">
        <v>6228</v>
      </c>
      <c r="D2231" s="4" t="s">
        <v>6033</v>
      </c>
      <c r="E2231" s="4" t="s">
        <v>6034</v>
      </c>
    </row>
    <row r="2232" spans="1:5">
      <c r="A2232" s="4" t="s">
        <v>6214</v>
      </c>
      <c r="B2232" s="4" t="s">
        <v>6246</v>
      </c>
      <c r="C2232" s="4" t="s">
        <v>6229</v>
      </c>
      <c r="D2232" s="4" t="s">
        <v>6033</v>
      </c>
      <c r="E2232" s="4" t="s">
        <v>6034</v>
      </c>
    </row>
    <row r="2233" spans="1:5">
      <c r="A2233" s="4" t="s">
        <v>6214</v>
      </c>
      <c r="B2233" s="4" t="s">
        <v>6246</v>
      </c>
      <c r="C2233" s="4" t="s">
        <v>6230</v>
      </c>
      <c r="D2233" s="4" t="s">
        <v>6033</v>
      </c>
      <c r="E2233" s="4" t="s">
        <v>6034</v>
      </c>
    </row>
    <row r="2234" spans="1:5">
      <c r="A2234" s="4" t="s">
        <v>6214</v>
      </c>
      <c r="B2234" s="4" t="s">
        <v>6246</v>
      </c>
      <c r="C2234" s="4" t="s">
        <v>6231</v>
      </c>
      <c r="D2234" s="4" t="s">
        <v>6033</v>
      </c>
      <c r="E2234" s="4" t="s">
        <v>6034</v>
      </c>
    </row>
    <row r="2235" spans="1:5">
      <c r="A2235" s="4" t="s">
        <v>6214</v>
      </c>
      <c r="B2235" s="4" t="s">
        <v>6246</v>
      </c>
      <c r="C2235" s="4" t="s">
        <v>6232</v>
      </c>
      <c r="D2235" s="4" t="s">
        <v>6033</v>
      </c>
      <c r="E2235" s="4" t="s">
        <v>6034</v>
      </c>
    </row>
    <row r="2236" spans="1:5">
      <c r="A2236" s="4" t="s">
        <v>6214</v>
      </c>
      <c r="B2236" s="4" t="s">
        <v>6246</v>
      </c>
      <c r="C2236" s="4" t="s">
        <v>6233</v>
      </c>
      <c r="D2236" s="4" t="s">
        <v>6033</v>
      </c>
      <c r="E2236" s="4" t="s">
        <v>6034</v>
      </c>
    </row>
    <row r="2237" spans="1:5">
      <c r="A2237" s="4" t="s">
        <v>6214</v>
      </c>
      <c r="B2237" s="4" t="s">
        <v>6246</v>
      </c>
      <c r="C2237" s="4" t="s">
        <v>6234</v>
      </c>
      <c r="D2237" s="4" t="s">
        <v>6033</v>
      </c>
      <c r="E2237" s="4" t="s">
        <v>6034</v>
      </c>
    </row>
    <row r="2238" spans="1:5">
      <c r="A2238" s="4" t="s">
        <v>6214</v>
      </c>
      <c r="B2238" s="4" t="s">
        <v>6246</v>
      </c>
      <c r="C2238" s="4" t="s">
        <v>6235</v>
      </c>
      <c r="D2238" s="4" t="s">
        <v>6033</v>
      </c>
      <c r="E2238" s="4" t="s">
        <v>6034</v>
      </c>
    </row>
    <row r="2239" spans="1:5">
      <c r="A2239" s="4" t="s">
        <v>6214</v>
      </c>
      <c r="B2239" s="4" t="s">
        <v>6246</v>
      </c>
      <c r="C2239" s="4" t="s">
        <v>6236</v>
      </c>
      <c r="D2239" s="4" t="s">
        <v>6033</v>
      </c>
      <c r="E2239" s="4" t="s">
        <v>6034</v>
      </c>
    </row>
    <row r="2240" spans="1:5">
      <c r="A2240" s="4" t="s">
        <v>6214</v>
      </c>
      <c r="B2240" s="4" t="s">
        <v>6246</v>
      </c>
      <c r="C2240" s="4" t="s">
        <v>6237</v>
      </c>
      <c r="D2240" s="4" t="s">
        <v>6033</v>
      </c>
      <c r="E2240" s="4" t="s">
        <v>6034</v>
      </c>
    </row>
    <row r="2241" spans="1:5">
      <c r="A2241" s="4" t="s">
        <v>6214</v>
      </c>
      <c r="B2241" s="4" t="s">
        <v>6246</v>
      </c>
      <c r="C2241" s="4" t="s">
        <v>6238</v>
      </c>
      <c r="D2241" s="4" t="s">
        <v>6033</v>
      </c>
      <c r="E2241" s="4" t="s">
        <v>6034</v>
      </c>
    </row>
    <row r="2242" spans="1:5">
      <c r="A2242" s="4" t="s">
        <v>6214</v>
      </c>
      <c r="B2242" s="4" t="s">
        <v>6246</v>
      </c>
      <c r="C2242" s="4" t="s">
        <v>6239</v>
      </c>
      <c r="D2242" s="4" t="s">
        <v>6033</v>
      </c>
      <c r="E2242" s="4" t="s">
        <v>6034</v>
      </c>
    </row>
    <row r="2243" spans="1:5">
      <c r="A2243" s="4" t="s">
        <v>6214</v>
      </c>
      <c r="B2243" s="4" t="s">
        <v>6246</v>
      </c>
      <c r="C2243" s="4" t="s">
        <v>6240</v>
      </c>
      <c r="D2243" s="4" t="s">
        <v>6033</v>
      </c>
      <c r="E2243" s="4" t="s">
        <v>6034</v>
      </c>
    </row>
    <row r="2244" spans="1:5">
      <c r="A2244" s="4" t="s">
        <v>6214</v>
      </c>
      <c r="B2244" s="4" t="s">
        <v>6246</v>
      </c>
      <c r="C2244" s="4" t="s">
        <v>6241</v>
      </c>
      <c r="D2244" s="4" t="s">
        <v>6033</v>
      </c>
      <c r="E2244" s="4" t="s">
        <v>6034</v>
      </c>
    </row>
    <row r="2245" spans="1:5">
      <c r="A2245" s="4" t="s">
        <v>6214</v>
      </c>
      <c r="B2245" s="4" t="s">
        <v>6246</v>
      </c>
      <c r="C2245" s="4" t="s">
        <v>6242</v>
      </c>
      <c r="D2245" s="4" t="s">
        <v>6033</v>
      </c>
      <c r="E2245" s="4" t="s">
        <v>6034</v>
      </c>
    </row>
    <row r="2246" spans="1:5">
      <c r="A2246" s="4" t="s">
        <v>6214</v>
      </c>
      <c r="B2246" s="4" t="s">
        <v>6246</v>
      </c>
      <c r="C2246" s="4" t="s">
        <v>6243</v>
      </c>
      <c r="D2246" s="4" t="s">
        <v>6033</v>
      </c>
      <c r="E2246" s="4" t="s">
        <v>6034</v>
      </c>
    </row>
    <row r="2247" spans="1:5">
      <c r="A2247" s="4" t="s">
        <v>6214</v>
      </c>
      <c r="B2247" s="4" t="s">
        <v>6246</v>
      </c>
      <c r="C2247" s="4" t="s">
        <v>6244</v>
      </c>
      <c r="D2247" s="4" t="s">
        <v>6033</v>
      </c>
      <c r="E2247" s="4" t="s">
        <v>6034</v>
      </c>
    </row>
    <row r="2248" spans="1:5">
      <c r="A2248" s="4" t="s">
        <v>6214</v>
      </c>
      <c r="B2248" s="4" t="s">
        <v>6246</v>
      </c>
      <c r="C2248" s="4" t="s">
        <v>6245</v>
      </c>
      <c r="D2248" s="4" t="s">
        <v>6033</v>
      </c>
      <c r="E2248" s="4" t="s">
        <v>6034</v>
      </c>
    </row>
    <row r="2249" spans="1:5">
      <c r="A2249" s="4" t="s">
        <v>6214</v>
      </c>
      <c r="B2249" s="4" t="s">
        <v>6247</v>
      </c>
      <c r="C2249" s="4" t="s">
        <v>6216</v>
      </c>
      <c r="D2249" s="4" t="s">
        <v>6033</v>
      </c>
      <c r="E2249" s="4" t="s">
        <v>6034</v>
      </c>
    </row>
    <row r="2250" spans="1:5">
      <c r="A2250" s="4" t="s">
        <v>6214</v>
      </c>
      <c r="B2250" s="4" t="s">
        <v>6247</v>
      </c>
      <c r="C2250" s="4" t="s">
        <v>6215</v>
      </c>
      <c r="D2250" s="4" t="s">
        <v>6033</v>
      </c>
      <c r="E2250" s="4" t="s">
        <v>6034</v>
      </c>
    </row>
    <row r="2251" spans="1:5">
      <c r="A2251" s="4" t="s">
        <v>6214</v>
      </c>
      <c r="B2251" s="4" t="s">
        <v>6247</v>
      </c>
      <c r="C2251" s="4" t="s">
        <v>6217</v>
      </c>
      <c r="D2251" s="4" t="s">
        <v>6033</v>
      </c>
      <c r="E2251" s="4" t="s">
        <v>6034</v>
      </c>
    </row>
    <row r="2252" spans="1:5">
      <c r="A2252" s="4" t="s">
        <v>6214</v>
      </c>
      <c r="B2252" s="4" t="s">
        <v>6247</v>
      </c>
      <c r="C2252" s="4" t="s">
        <v>6218</v>
      </c>
      <c r="D2252" s="4" t="s">
        <v>6033</v>
      </c>
      <c r="E2252" s="4" t="s">
        <v>6034</v>
      </c>
    </row>
    <row r="2253" spans="1:5">
      <c r="A2253" s="4" t="s">
        <v>6214</v>
      </c>
      <c r="B2253" s="4" t="s">
        <v>6247</v>
      </c>
      <c r="C2253" s="4" t="s">
        <v>6219</v>
      </c>
      <c r="D2253" s="4" t="s">
        <v>6033</v>
      </c>
      <c r="E2253" s="4" t="s">
        <v>6034</v>
      </c>
    </row>
    <row r="2254" spans="1:5">
      <c r="A2254" s="4" t="s">
        <v>6214</v>
      </c>
      <c r="B2254" s="4" t="s">
        <v>6247</v>
      </c>
      <c r="C2254" s="4" t="s">
        <v>6220</v>
      </c>
      <c r="D2254" s="4" t="s">
        <v>6033</v>
      </c>
      <c r="E2254" s="4" t="s">
        <v>6034</v>
      </c>
    </row>
    <row r="2255" spans="1:5">
      <c r="A2255" s="4" t="s">
        <v>6214</v>
      </c>
      <c r="B2255" s="4" t="s">
        <v>6247</v>
      </c>
      <c r="C2255" s="4" t="s">
        <v>6221</v>
      </c>
      <c r="D2255" s="4" t="s">
        <v>6033</v>
      </c>
      <c r="E2255" s="4" t="s">
        <v>6034</v>
      </c>
    </row>
    <row r="2256" spans="1:5">
      <c r="A2256" s="4" t="s">
        <v>6214</v>
      </c>
      <c r="B2256" s="4" t="s">
        <v>6247</v>
      </c>
      <c r="C2256" s="4" t="s">
        <v>6222</v>
      </c>
      <c r="D2256" s="4" t="s">
        <v>6033</v>
      </c>
      <c r="E2256" s="4" t="s">
        <v>6034</v>
      </c>
    </row>
    <row r="2257" spans="1:5">
      <c r="A2257" s="4" t="s">
        <v>6214</v>
      </c>
      <c r="B2257" s="4" t="s">
        <v>6247</v>
      </c>
      <c r="C2257" s="4" t="s">
        <v>6223</v>
      </c>
      <c r="D2257" s="4" t="s">
        <v>6033</v>
      </c>
      <c r="E2257" s="4" t="s">
        <v>6034</v>
      </c>
    </row>
    <row r="2258" spans="1:5">
      <c r="A2258" s="4" t="s">
        <v>6214</v>
      </c>
      <c r="B2258" s="4" t="s">
        <v>6247</v>
      </c>
      <c r="C2258" s="4" t="s">
        <v>6224</v>
      </c>
      <c r="D2258" s="4" t="s">
        <v>6033</v>
      </c>
      <c r="E2258" s="4" t="s">
        <v>6034</v>
      </c>
    </row>
    <row r="2259" spans="1:5">
      <c r="A2259" s="4" t="s">
        <v>6214</v>
      </c>
      <c r="B2259" s="4" t="s">
        <v>6247</v>
      </c>
      <c r="C2259" s="4" t="s">
        <v>6225</v>
      </c>
      <c r="D2259" s="4" t="s">
        <v>6033</v>
      </c>
      <c r="E2259" s="4" t="s">
        <v>6034</v>
      </c>
    </row>
    <row r="2260" spans="1:5">
      <c r="A2260" s="4" t="s">
        <v>6214</v>
      </c>
      <c r="B2260" s="4" t="s">
        <v>6247</v>
      </c>
      <c r="C2260" s="4" t="s">
        <v>6226</v>
      </c>
      <c r="D2260" s="4" t="s">
        <v>6033</v>
      </c>
      <c r="E2260" s="4" t="s">
        <v>6034</v>
      </c>
    </row>
    <row r="2261" spans="1:5">
      <c r="A2261" s="4" t="s">
        <v>6214</v>
      </c>
      <c r="B2261" s="4" t="s">
        <v>6247</v>
      </c>
      <c r="C2261" s="4" t="s">
        <v>6227</v>
      </c>
      <c r="D2261" s="4" t="s">
        <v>6033</v>
      </c>
      <c r="E2261" s="4" t="s">
        <v>6034</v>
      </c>
    </row>
    <row r="2262" spans="1:5">
      <c r="A2262" s="4" t="s">
        <v>6214</v>
      </c>
      <c r="B2262" s="4" t="s">
        <v>6247</v>
      </c>
      <c r="C2262" s="4" t="s">
        <v>6228</v>
      </c>
      <c r="D2262" s="4" t="s">
        <v>6033</v>
      </c>
      <c r="E2262" s="4" t="s">
        <v>6034</v>
      </c>
    </row>
    <row r="2263" spans="1:5">
      <c r="A2263" s="4" t="s">
        <v>6214</v>
      </c>
      <c r="B2263" s="4" t="s">
        <v>6247</v>
      </c>
      <c r="C2263" s="4" t="s">
        <v>6229</v>
      </c>
      <c r="D2263" s="4" t="s">
        <v>6033</v>
      </c>
      <c r="E2263" s="4" t="s">
        <v>6034</v>
      </c>
    </row>
    <row r="2264" spans="1:5">
      <c r="A2264" s="4" t="s">
        <v>6214</v>
      </c>
      <c r="B2264" s="4" t="s">
        <v>6247</v>
      </c>
      <c r="C2264" s="4" t="s">
        <v>6230</v>
      </c>
      <c r="D2264" s="4" t="s">
        <v>6033</v>
      </c>
      <c r="E2264" s="4" t="s">
        <v>6034</v>
      </c>
    </row>
    <row r="2265" spans="1:5">
      <c r="A2265" s="4" t="s">
        <v>6214</v>
      </c>
      <c r="B2265" s="4" t="s">
        <v>6247</v>
      </c>
      <c r="C2265" s="4" t="s">
        <v>6231</v>
      </c>
      <c r="D2265" s="4" t="s">
        <v>6033</v>
      </c>
      <c r="E2265" s="4" t="s">
        <v>6034</v>
      </c>
    </row>
    <row r="2266" spans="1:5">
      <c r="A2266" s="4" t="s">
        <v>6214</v>
      </c>
      <c r="B2266" s="4" t="s">
        <v>6247</v>
      </c>
      <c r="C2266" s="4" t="s">
        <v>6232</v>
      </c>
      <c r="D2266" s="4" t="s">
        <v>6033</v>
      </c>
      <c r="E2266" s="4" t="s">
        <v>6034</v>
      </c>
    </row>
    <row r="2267" spans="1:5">
      <c r="A2267" s="4" t="s">
        <v>6214</v>
      </c>
      <c r="B2267" s="4" t="s">
        <v>6247</v>
      </c>
      <c r="C2267" s="4" t="s">
        <v>6233</v>
      </c>
      <c r="D2267" s="4" t="s">
        <v>6033</v>
      </c>
      <c r="E2267" s="4" t="s">
        <v>6034</v>
      </c>
    </row>
    <row r="2268" spans="1:5">
      <c r="A2268" s="4" t="s">
        <v>6214</v>
      </c>
      <c r="B2268" s="4" t="s">
        <v>6247</v>
      </c>
      <c r="C2268" s="4" t="s">
        <v>6234</v>
      </c>
      <c r="D2268" s="4" t="s">
        <v>6033</v>
      </c>
      <c r="E2268" s="4" t="s">
        <v>6034</v>
      </c>
    </row>
    <row r="2269" spans="1:5">
      <c r="A2269" s="4" t="s">
        <v>6214</v>
      </c>
      <c r="B2269" s="4" t="s">
        <v>6247</v>
      </c>
      <c r="C2269" s="4" t="s">
        <v>6235</v>
      </c>
      <c r="D2269" s="4" t="s">
        <v>6033</v>
      </c>
      <c r="E2269" s="4" t="s">
        <v>6034</v>
      </c>
    </row>
    <row r="2270" spans="1:5">
      <c r="A2270" s="4" t="s">
        <v>6214</v>
      </c>
      <c r="B2270" s="4" t="s">
        <v>6247</v>
      </c>
      <c r="C2270" s="4" t="s">
        <v>6236</v>
      </c>
      <c r="D2270" s="4" t="s">
        <v>6033</v>
      </c>
      <c r="E2270" s="4" t="s">
        <v>6034</v>
      </c>
    </row>
    <row r="2271" spans="1:5">
      <c r="A2271" s="4" t="s">
        <v>6214</v>
      </c>
      <c r="B2271" s="4" t="s">
        <v>6247</v>
      </c>
      <c r="C2271" s="4" t="s">
        <v>6237</v>
      </c>
      <c r="D2271" s="4" t="s">
        <v>6033</v>
      </c>
      <c r="E2271" s="4" t="s">
        <v>6034</v>
      </c>
    </row>
    <row r="2272" spans="1:5">
      <c r="A2272" s="4" t="s">
        <v>6214</v>
      </c>
      <c r="B2272" s="4" t="s">
        <v>6247</v>
      </c>
      <c r="C2272" s="4" t="s">
        <v>6238</v>
      </c>
      <c r="D2272" s="4" t="s">
        <v>6033</v>
      </c>
      <c r="E2272" s="4" t="s">
        <v>6034</v>
      </c>
    </row>
    <row r="2273" spans="1:5">
      <c r="A2273" s="4" t="s">
        <v>6214</v>
      </c>
      <c r="B2273" s="4" t="s">
        <v>6247</v>
      </c>
      <c r="C2273" s="4" t="s">
        <v>6239</v>
      </c>
      <c r="D2273" s="4" t="s">
        <v>6033</v>
      </c>
      <c r="E2273" s="4" t="s">
        <v>6034</v>
      </c>
    </row>
    <row r="2274" spans="1:5">
      <c r="A2274" s="4" t="s">
        <v>6214</v>
      </c>
      <c r="B2274" s="4" t="s">
        <v>6247</v>
      </c>
      <c r="C2274" s="4" t="s">
        <v>6240</v>
      </c>
      <c r="D2274" s="4" t="s">
        <v>6033</v>
      </c>
      <c r="E2274" s="4" t="s">
        <v>6034</v>
      </c>
    </row>
    <row r="2275" spans="1:5">
      <c r="A2275" s="4" t="s">
        <v>6214</v>
      </c>
      <c r="B2275" s="4" t="s">
        <v>6247</v>
      </c>
      <c r="C2275" s="4" t="s">
        <v>6241</v>
      </c>
      <c r="D2275" s="4" t="s">
        <v>6033</v>
      </c>
      <c r="E2275" s="4" t="s">
        <v>6034</v>
      </c>
    </row>
    <row r="2276" spans="1:5">
      <c r="A2276" s="4" t="s">
        <v>6214</v>
      </c>
      <c r="B2276" s="4" t="s">
        <v>6247</v>
      </c>
      <c r="C2276" s="4" t="s">
        <v>6242</v>
      </c>
      <c r="D2276" s="4" t="s">
        <v>6033</v>
      </c>
      <c r="E2276" s="4" t="s">
        <v>6034</v>
      </c>
    </row>
    <row r="2277" spans="1:5">
      <c r="A2277" s="4" t="s">
        <v>6214</v>
      </c>
      <c r="B2277" s="4" t="s">
        <v>6247</v>
      </c>
      <c r="C2277" s="4" t="s">
        <v>6243</v>
      </c>
      <c r="D2277" s="4" t="s">
        <v>6033</v>
      </c>
      <c r="E2277" s="4" t="s">
        <v>6034</v>
      </c>
    </row>
    <row r="2278" spans="1:5">
      <c r="A2278" s="4" t="s">
        <v>6214</v>
      </c>
      <c r="B2278" s="4" t="s">
        <v>6247</v>
      </c>
      <c r="C2278" s="4" t="s">
        <v>6244</v>
      </c>
      <c r="D2278" s="4" t="s">
        <v>6033</v>
      </c>
      <c r="E2278" s="4" t="s">
        <v>6034</v>
      </c>
    </row>
    <row r="2279" spans="1:5">
      <c r="A2279" s="4" t="s">
        <v>6214</v>
      </c>
      <c r="B2279" s="4" t="s">
        <v>6247</v>
      </c>
      <c r="C2279" s="4" t="s">
        <v>6245</v>
      </c>
      <c r="D2279" s="4" t="s">
        <v>6033</v>
      </c>
      <c r="E2279" s="4" t="s">
        <v>6034</v>
      </c>
    </row>
    <row r="2280" spans="1:5">
      <c r="A2280" s="4" t="s">
        <v>6214</v>
      </c>
      <c r="B2280" s="4" t="s">
        <v>6247</v>
      </c>
      <c r="C2280" s="4" t="s">
        <v>6246</v>
      </c>
      <c r="D2280" s="4" t="s">
        <v>6033</v>
      </c>
      <c r="E2280" s="4" t="s">
        <v>6034</v>
      </c>
    </row>
    <row r="2281" spans="1:5">
      <c r="A2281" s="4" t="s">
        <v>6248</v>
      </c>
      <c r="B2281" s="4" t="s">
        <v>6249</v>
      </c>
      <c r="C2281" s="4" t="s">
        <v>6250</v>
      </c>
      <c r="D2281" s="4" t="s">
        <v>6033</v>
      </c>
      <c r="E2281" s="4" t="s">
        <v>6034</v>
      </c>
    </row>
    <row r="2282" spans="1:5">
      <c r="A2282" s="4" t="s">
        <v>6248</v>
      </c>
      <c r="B2282" s="4" t="s">
        <v>6251</v>
      </c>
      <c r="C2282" s="4" t="s">
        <v>6250</v>
      </c>
      <c r="D2282" s="4" t="s">
        <v>6033</v>
      </c>
      <c r="E2282" s="4" t="s">
        <v>6034</v>
      </c>
    </row>
    <row r="2283" spans="1:5">
      <c r="A2283" s="4" t="s">
        <v>6248</v>
      </c>
      <c r="B2283" s="4" t="s">
        <v>6251</v>
      </c>
      <c r="C2283" s="4" t="s">
        <v>6249</v>
      </c>
      <c r="D2283" s="4" t="s">
        <v>6033</v>
      </c>
      <c r="E2283" s="4" t="s">
        <v>6034</v>
      </c>
    </row>
    <row r="2284" spans="1:5">
      <c r="A2284" s="4" t="s">
        <v>6248</v>
      </c>
      <c r="B2284" s="4" t="s">
        <v>6252</v>
      </c>
      <c r="C2284" s="4" t="s">
        <v>6250</v>
      </c>
      <c r="D2284" s="4" t="s">
        <v>6033</v>
      </c>
      <c r="E2284" s="4" t="s">
        <v>6034</v>
      </c>
    </row>
    <row r="2285" spans="1:5">
      <c r="A2285" s="4" t="s">
        <v>6248</v>
      </c>
      <c r="B2285" s="4" t="s">
        <v>6252</v>
      </c>
      <c r="C2285" s="4" t="s">
        <v>6249</v>
      </c>
      <c r="D2285" s="4" t="s">
        <v>6033</v>
      </c>
      <c r="E2285" s="4" t="s">
        <v>6034</v>
      </c>
    </row>
    <row r="2286" spans="1:5">
      <c r="A2286" s="4" t="s">
        <v>6248</v>
      </c>
      <c r="B2286" s="4" t="s">
        <v>6252</v>
      </c>
      <c r="C2286" s="4" t="s">
        <v>6251</v>
      </c>
      <c r="D2286" s="4" t="s">
        <v>6033</v>
      </c>
      <c r="E2286" s="4" t="s">
        <v>6034</v>
      </c>
    </row>
    <row r="2287" spans="1:5">
      <c r="A2287" s="4" t="s">
        <v>6248</v>
      </c>
      <c r="B2287" s="4" t="s">
        <v>6253</v>
      </c>
      <c r="C2287" s="4" t="s">
        <v>6250</v>
      </c>
      <c r="D2287" s="4" t="s">
        <v>6033</v>
      </c>
      <c r="E2287" s="4" t="s">
        <v>6034</v>
      </c>
    </row>
    <row r="2288" spans="1:5">
      <c r="A2288" s="4" t="s">
        <v>6248</v>
      </c>
      <c r="B2288" s="4" t="s">
        <v>6253</v>
      </c>
      <c r="C2288" s="4" t="s">
        <v>6249</v>
      </c>
      <c r="D2288" s="4" t="s">
        <v>6039</v>
      </c>
      <c r="E2288" s="4" t="s">
        <v>6040</v>
      </c>
    </row>
    <row r="2289" spans="1:5">
      <c r="A2289" s="4" t="s">
        <v>6248</v>
      </c>
      <c r="B2289" s="4" t="s">
        <v>6253</v>
      </c>
      <c r="C2289" s="4" t="s">
        <v>6251</v>
      </c>
      <c r="D2289" s="4" t="s">
        <v>6039</v>
      </c>
      <c r="E2289" s="4" t="s">
        <v>6040</v>
      </c>
    </row>
    <row r="2290" spans="1:5">
      <c r="A2290" s="4" t="s">
        <v>6248</v>
      </c>
      <c r="B2290" s="4" t="s">
        <v>6253</v>
      </c>
      <c r="C2290" s="4" t="s">
        <v>6252</v>
      </c>
      <c r="D2290" s="4" t="s">
        <v>6039</v>
      </c>
      <c r="E2290" s="4" t="s">
        <v>6040</v>
      </c>
    </row>
    <row r="2291" spans="1:5">
      <c r="A2291" s="4" t="s">
        <v>6248</v>
      </c>
      <c r="B2291" s="4" t="s">
        <v>6254</v>
      </c>
      <c r="C2291" s="4" t="s">
        <v>6250</v>
      </c>
      <c r="D2291" s="4" t="s">
        <v>6033</v>
      </c>
      <c r="E2291" s="4" t="s">
        <v>6034</v>
      </c>
    </row>
    <row r="2292" spans="1:5">
      <c r="A2292" s="4" t="s">
        <v>6248</v>
      </c>
      <c r="B2292" s="4" t="s">
        <v>6254</v>
      </c>
      <c r="C2292" s="4" t="s">
        <v>6249</v>
      </c>
      <c r="D2292" s="4" t="s">
        <v>6033</v>
      </c>
      <c r="E2292" s="4" t="s">
        <v>6034</v>
      </c>
    </row>
    <row r="2293" spans="1:5">
      <c r="A2293" s="4" t="s">
        <v>6248</v>
      </c>
      <c r="B2293" s="4" t="s">
        <v>6254</v>
      </c>
      <c r="C2293" s="4" t="s">
        <v>6251</v>
      </c>
      <c r="D2293" s="4" t="s">
        <v>6033</v>
      </c>
      <c r="E2293" s="4" t="s">
        <v>6034</v>
      </c>
    </row>
    <row r="2294" spans="1:5">
      <c r="A2294" s="4" t="s">
        <v>6248</v>
      </c>
      <c r="B2294" s="4" t="s">
        <v>6254</v>
      </c>
      <c r="C2294" s="4" t="s">
        <v>6252</v>
      </c>
      <c r="D2294" s="4" t="s">
        <v>6033</v>
      </c>
      <c r="E2294" s="4" t="s">
        <v>6034</v>
      </c>
    </row>
    <row r="2295" spans="1:5">
      <c r="A2295" s="4" t="s">
        <v>6248</v>
      </c>
      <c r="B2295" s="4" t="s">
        <v>6254</v>
      </c>
      <c r="C2295" s="4" t="s">
        <v>6253</v>
      </c>
      <c r="D2295" s="4" t="s">
        <v>6033</v>
      </c>
      <c r="E2295" s="4" t="s">
        <v>6034</v>
      </c>
    </row>
    <row r="2296" spans="1:5">
      <c r="A2296" s="4" t="s">
        <v>6248</v>
      </c>
      <c r="B2296" s="4" t="s">
        <v>6255</v>
      </c>
      <c r="C2296" s="4" t="s">
        <v>6250</v>
      </c>
      <c r="D2296" s="4" t="s">
        <v>6033</v>
      </c>
      <c r="E2296" s="4" t="s">
        <v>6034</v>
      </c>
    </row>
    <row r="2297" spans="1:5">
      <c r="A2297" s="4" t="s">
        <v>6248</v>
      </c>
      <c r="B2297" s="4" t="s">
        <v>6255</v>
      </c>
      <c r="C2297" s="4" t="s">
        <v>6249</v>
      </c>
      <c r="D2297" s="4" t="s">
        <v>6033</v>
      </c>
      <c r="E2297" s="4" t="s">
        <v>6034</v>
      </c>
    </row>
    <row r="2298" spans="1:5">
      <c r="A2298" s="4" t="s">
        <v>6248</v>
      </c>
      <c r="B2298" s="4" t="s">
        <v>6255</v>
      </c>
      <c r="C2298" s="4" t="s">
        <v>6251</v>
      </c>
      <c r="D2298" s="4" t="s">
        <v>6033</v>
      </c>
      <c r="E2298" s="4" t="s">
        <v>6034</v>
      </c>
    </row>
    <row r="2299" spans="1:5">
      <c r="A2299" s="4" t="s">
        <v>6248</v>
      </c>
      <c r="B2299" s="4" t="s">
        <v>6255</v>
      </c>
      <c r="C2299" s="4" t="s">
        <v>6252</v>
      </c>
      <c r="D2299" s="4" t="s">
        <v>6033</v>
      </c>
      <c r="E2299" s="4" t="s">
        <v>6034</v>
      </c>
    </row>
    <row r="2300" spans="1:5">
      <c r="A2300" s="4" t="s">
        <v>6248</v>
      </c>
      <c r="B2300" s="4" t="s">
        <v>6255</v>
      </c>
      <c r="C2300" s="4" t="s">
        <v>6253</v>
      </c>
      <c r="D2300" s="4" t="s">
        <v>6033</v>
      </c>
      <c r="E2300" s="4" t="s">
        <v>6034</v>
      </c>
    </row>
    <row r="2301" spans="1:5">
      <c r="A2301" s="4" t="s">
        <v>6248</v>
      </c>
      <c r="B2301" s="4" t="s">
        <v>6255</v>
      </c>
      <c r="C2301" s="4" t="s">
        <v>6254</v>
      </c>
      <c r="D2301" s="4" t="s">
        <v>6033</v>
      </c>
      <c r="E2301" s="4" t="s">
        <v>6034</v>
      </c>
    </row>
    <row r="2302" spans="1:5">
      <c r="A2302" s="4" t="s">
        <v>6248</v>
      </c>
      <c r="B2302" s="4" t="s">
        <v>6256</v>
      </c>
      <c r="C2302" s="4" t="s">
        <v>6250</v>
      </c>
      <c r="D2302" s="4" t="s">
        <v>6033</v>
      </c>
      <c r="E2302" s="4" t="s">
        <v>6034</v>
      </c>
    </row>
    <row r="2303" spans="1:5">
      <c r="A2303" s="4" t="s">
        <v>6248</v>
      </c>
      <c r="B2303" s="4" t="s">
        <v>6256</v>
      </c>
      <c r="C2303" s="4" t="s">
        <v>6249</v>
      </c>
      <c r="D2303" s="4" t="s">
        <v>6033</v>
      </c>
      <c r="E2303" s="4" t="s">
        <v>6034</v>
      </c>
    </row>
    <row r="2304" spans="1:5">
      <c r="A2304" s="4" t="s">
        <v>6248</v>
      </c>
      <c r="B2304" s="4" t="s">
        <v>6256</v>
      </c>
      <c r="C2304" s="4" t="s">
        <v>6251</v>
      </c>
      <c r="D2304" s="4" t="s">
        <v>6033</v>
      </c>
      <c r="E2304" s="4" t="s">
        <v>6034</v>
      </c>
    </row>
    <row r="2305" spans="1:5">
      <c r="A2305" s="4" t="s">
        <v>6248</v>
      </c>
      <c r="B2305" s="4" t="s">
        <v>6256</v>
      </c>
      <c r="C2305" s="4" t="s">
        <v>6252</v>
      </c>
      <c r="D2305" s="4" t="s">
        <v>6033</v>
      </c>
      <c r="E2305" s="4" t="s">
        <v>6034</v>
      </c>
    </row>
    <row r="2306" spans="1:5">
      <c r="A2306" s="4" t="s">
        <v>6248</v>
      </c>
      <c r="B2306" s="4" t="s">
        <v>6256</v>
      </c>
      <c r="C2306" s="4" t="s">
        <v>6253</v>
      </c>
      <c r="D2306" s="4" t="s">
        <v>6033</v>
      </c>
      <c r="E2306" s="4" t="s">
        <v>6034</v>
      </c>
    </row>
    <row r="2307" spans="1:5">
      <c r="A2307" s="4" t="s">
        <v>6248</v>
      </c>
      <c r="B2307" s="4" t="s">
        <v>6256</v>
      </c>
      <c r="C2307" s="4" t="s">
        <v>6254</v>
      </c>
      <c r="D2307" s="4" t="s">
        <v>6033</v>
      </c>
      <c r="E2307" s="4" t="s">
        <v>6034</v>
      </c>
    </row>
    <row r="2308" spans="1:5">
      <c r="A2308" s="4" t="s">
        <v>6248</v>
      </c>
      <c r="B2308" s="4" t="s">
        <v>6256</v>
      </c>
      <c r="C2308" s="4" t="s">
        <v>6255</v>
      </c>
      <c r="D2308" s="4" t="s">
        <v>6033</v>
      </c>
      <c r="E2308" s="4" t="s">
        <v>6034</v>
      </c>
    </row>
    <row r="2309" spans="1:5">
      <c r="A2309" s="4" t="s">
        <v>6248</v>
      </c>
      <c r="B2309" s="4" t="s">
        <v>6257</v>
      </c>
      <c r="C2309" s="4" t="s">
        <v>6250</v>
      </c>
      <c r="D2309" s="4" t="s">
        <v>6039</v>
      </c>
      <c r="E2309" s="4" t="s">
        <v>6040</v>
      </c>
    </row>
    <row r="2310" spans="1:5">
      <c r="A2310" s="4" t="s">
        <v>6248</v>
      </c>
      <c r="B2310" s="4" t="s">
        <v>6257</v>
      </c>
      <c r="C2310" s="4" t="s">
        <v>6249</v>
      </c>
      <c r="D2310" s="4" t="s">
        <v>6039</v>
      </c>
      <c r="E2310" s="4" t="s">
        <v>6040</v>
      </c>
    </row>
    <row r="2311" spans="1:5">
      <c r="A2311" s="4" t="s">
        <v>6248</v>
      </c>
      <c r="B2311" s="4" t="s">
        <v>6257</v>
      </c>
      <c r="C2311" s="4" t="s">
        <v>6251</v>
      </c>
      <c r="D2311" s="4" t="s">
        <v>6039</v>
      </c>
      <c r="E2311" s="4" t="s">
        <v>6040</v>
      </c>
    </row>
    <row r="2312" spans="1:5">
      <c r="A2312" s="4" t="s">
        <v>6248</v>
      </c>
      <c r="B2312" s="4" t="s">
        <v>6257</v>
      </c>
      <c r="C2312" s="4" t="s">
        <v>6252</v>
      </c>
      <c r="D2312" s="4" t="s">
        <v>6039</v>
      </c>
      <c r="E2312" s="4" t="s">
        <v>6040</v>
      </c>
    </row>
    <row r="2313" spans="1:5">
      <c r="A2313" s="4" t="s">
        <v>6248</v>
      </c>
      <c r="B2313" s="4" t="s">
        <v>6257</v>
      </c>
      <c r="C2313" s="4" t="s">
        <v>6253</v>
      </c>
      <c r="D2313" s="4" t="s">
        <v>6039</v>
      </c>
      <c r="E2313" s="4" t="s">
        <v>6040</v>
      </c>
    </row>
    <row r="2314" spans="1:5">
      <c r="A2314" s="4" t="s">
        <v>6248</v>
      </c>
      <c r="B2314" s="4" t="s">
        <v>6257</v>
      </c>
      <c r="C2314" s="4" t="s">
        <v>6254</v>
      </c>
      <c r="D2314" s="4" t="s">
        <v>6039</v>
      </c>
      <c r="E2314" s="4" t="s">
        <v>6040</v>
      </c>
    </row>
    <row r="2315" spans="1:5">
      <c r="A2315" s="4" t="s">
        <v>6248</v>
      </c>
      <c r="B2315" s="4" t="s">
        <v>6257</v>
      </c>
      <c r="C2315" s="4" t="s">
        <v>6255</v>
      </c>
      <c r="D2315" s="4" t="s">
        <v>6039</v>
      </c>
      <c r="E2315" s="4" t="s">
        <v>6040</v>
      </c>
    </row>
    <row r="2316" spans="1:5">
      <c r="A2316" s="4" t="s">
        <v>6248</v>
      </c>
      <c r="B2316" s="4" t="s">
        <v>6257</v>
      </c>
      <c r="C2316" s="4" t="s">
        <v>6256</v>
      </c>
      <c r="D2316" s="4" t="s">
        <v>6039</v>
      </c>
      <c r="E2316" s="4" t="s">
        <v>6040</v>
      </c>
    </row>
    <row r="2317" spans="1:5">
      <c r="A2317" s="4" t="s">
        <v>6248</v>
      </c>
      <c r="B2317" s="4" t="s">
        <v>6258</v>
      </c>
      <c r="C2317" s="4" t="s">
        <v>6250</v>
      </c>
      <c r="D2317" s="4" t="s">
        <v>6039</v>
      </c>
      <c r="E2317" s="4" t="s">
        <v>6040</v>
      </c>
    </row>
    <row r="2318" spans="1:5">
      <c r="A2318" s="4" t="s">
        <v>6248</v>
      </c>
      <c r="B2318" s="4" t="s">
        <v>6258</v>
      </c>
      <c r="C2318" s="4" t="s">
        <v>6249</v>
      </c>
      <c r="D2318" s="4" t="s">
        <v>6039</v>
      </c>
      <c r="E2318" s="4" t="s">
        <v>6040</v>
      </c>
    </row>
    <row r="2319" spans="1:5">
      <c r="A2319" s="4" t="s">
        <v>6248</v>
      </c>
      <c r="B2319" s="4" t="s">
        <v>6258</v>
      </c>
      <c r="C2319" s="4" t="s">
        <v>6251</v>
      </c>
      <c r="D2319" s="4" t="s">
        <v>6039</v>
      </c>
      <c r="E2319" s="4" t="s">
        <v>6040</v>
      </c>
    </row>
    <row r="2320" spans="1:5">
      <c r="A2320" s="4" t="s">
        <v>6248</v>
      </c>
      <c r="B2320" s="4" t="s">
        <v>6258</v>
      </c>
      <c r="C2320" s="4" t="s">
        <v>6252</v>
      </c>
      <c r="D2320" s="4" t="s">
        <v>6039</v>
      </c>
      <c r="E2320" s="4" t="s">
        <v>6040</v>
      </c>
    </row>
    <row r="2321" spans="1:5">
      <c r="A2321" s="4" t="s">
        <v>6248</v>
      </c>
      <c r="B2321" s="4" t="s">
        <v>6258</v>
      </c>
      <c r="C2321" s="4" t="s">
        <v>6253</v>
      </c>
      <c r="D2321" s="4" t="s">
        <v>6039</v>
      </c>
      <c r="E2321" s="4" t="s">
        <v>6040</v>
      </c>
    </row>
    <row r="2322" spans="1:5">
      <c r="A2322" s="4" t="s">
        <v>6248</v>
      </c>
      <c r="B2322" s="4" t="s">
        <v>6258</v>
      </c>
      <c r="C2322" s="4" t="s">
        <v>6254</v>
      </c>
      <c r="D2322" s="4" t="s">
        <v>6039</v>
      </c>
      <c r="E2322" s="4" t="s">
        <v>6040</v>
      </c>
    </row>
    <row r="2323" spans="1:5">
      <c r="A2323" s="4" t="s">
        <v>6248</v>
      </c>
      <c r="B2323" s="4" t="s">
        <v>6258</v>
      </c>
      <c r="C2323" s="4" t="s">
        <v>6255</v>
      </c>
      <c r="D2323" s="4" t="s">
        <v>6039</v>
      </c>
      <c r="E2323" s="4" t="s">
        <v>6040</v>
      </c>
    </row>
    <row r="2324" spans="1:5">
      <c r="A2324" s="4" t="s">
        <v>6248</v>
      </c>
      <c r="B2324" s="4" t="s">
        <v>6258</v>
      </c>
      <c r="C2324" s="4" t="s">
        <v>6256</v>
      </c>
      <c r="D2324" s="4" t="s">
        <v>6039</v>
      </c>
      <c r="E2324" s="4" t="s">
        <v>6040</v>
      </c>
    </row>
    <row r="2325" spans="1:5">
      <c r="A2325" s="4" t="s">
        <v>6248</v>
      </c>
      <c r="B2325" s="4" t="s">
        <v>6258</v>
      </c>
      <c r="C2325" s="4" t="s">
        <v>6257</v>
      </c>
      <c r="D2325" s="4" t="s">
        <v>6033</v>
      </c>
      <c r="E2325" s="4" t="s">
        <v>6034</v>
      </c>
    </row>
    <row r="2326" spans="1:5">
      <c r="A2326" s="4" t="s">
        <v>6248</v>
      </c>
      <c r="B2326" s="4" t="s">
        <v>6259</v>
      </c>
      <c r="C2326" s="4" t="s">
        <v>6250</v>
      </c>
      <c r="D2326" s="4" t="s">
        <v>6033</v>
      </c>
      <c r="E2326" s="4" t="s">
        <v>6034</v>
      </c>
    </row>
    <row r="2327" spans="1:5">
      <c r="A2327" s="4" t="s">
        <v>6248</v>
      </c>
      <c r="B2327" s="4" t="s">
        <v>6259</v>
      </c>
      <c r="C2327" s="4" t="s">
        <v>6249</v>
      </c>
      <c r="D2327" s="4" t="s">
        <v>6033</v>
      </c>
      <c r="E2327" s="4" t="s">
        <v>6034</v>
      </c>
    </row>
    <row r="2328" spans="1:5">
      <c r="A2328" s="4" t="s">
        <v>6248</v>
      </c>
      <c r="B2328" s="4" t="s">
        <v>6259</v>
      </c>
      <c r="C2328" s="4" t="s">
        <v>6251</v>
      </c>
      <c r="D2328" s="4" t="s">
        <v>6033</v>
      </c>
      <c r="E2328" s="4" t="s">
        <v>6034</v>
      </c>
    </row>
    <row r="2329" spans="1:5">
      <c r="A2329" s="4" t="s">
        <v>6248</v>
      </c>
      <c r="B2329" s="4" t="s">
        <v>6259</v>
      </c>
      <c r="C2329" s="4" t="s">
        <v>6252</v>
      </c>
      <c r="D2329" s="4" t="s">
        <v>6033</v>
      </c>
      <c r="E2329" s="4" t="s">
        <v>6034</v>
      </c>
    </row>
    <row r="2330" spans="1:5">
      <c r="A2330" s="4" t="s">
        <v>6248</v>
      </c>
      <c r="B2330" s="4" t="s">
        <v>6259</v>
      </c>
      <c r="C2330" s="4" t="s">
        <v>6253</v>
      </c>
      <c r="D2330" s="4" t="s">
        <v>6039</v>
      </c>
      <c r="E2330" s="4" t="s">
        <v>6040</v>
      </c>
    </row>
    <row r="2331" spans="1:5">
      <c r="A2331" s="4" t="s">
        <v>6248</v>
      </c>
      <c r="B2331" s="4" t="s">
        <v>6259</v>
      </c>
      <c r="C2331" s="4" t="s">
        <v>6254</v>
      </c>
      <c r="D2331" s="4" t="s">
        <v>6039</v>
      </c>
      <c r="E2331" s="4" t="s">
        <v>6040</v>
      </c>
    </row>
    <row r="2332" spans="1:5">
      <c r="A2332" s="4" t="s">
        <v>6248</v>
      </c>
      <c r="B2332" s="4" t="s">
        <v>6259</v>
      </c>
      <c r="C2332" s="4" t="s">
        <v>6255</v>
      </c>
      <c r="D2332" s="4" t="s">
        <v>6039</v>
      </c>
      <c r="E2332" s="4" t="s">
        <v>6040</v>
      </c>
    </row>
    <row r="2333" spans="1:5">
      <c r="A2333" s="4" t="s">
        <v>6248</v>
      </c>
      <c r="B2333" s="4" t="s">
        <v>6259</v>
      </c>
      <c r="C2333" s="4" t="s">
        <v>6256</v>
      </c>
      <c r="D2333" s="4" t="s">
        <v>6039</v>
      </c>
      <c r="E2333" s="4" t="s">
        <v>6040</v>
      </c>
    </row>
    <row r="2334" spans="1:5">
      <c r="A2334" s="4" t="s">
        <v>6248</v>
      </c>
      <c r="B2334" s="4" t="s">
        <v>6259</v>
      </c>
      <c r="C2334" s="4" t="s">
        <v>6257</v>
      </c>
      <c r="D2334" s="4" t="s">
        <v>6033</v>
      </c>
      <c r="E2334" s="4" t="s">
        <v>6034</v>
      </c>
    </row>
    <row r="2335" spans="1:5">
      <c r="A2335" s="4" t="s">
        <v>6248</v>
      </c>
      <c r="B2335" s="4" t="s">
        <v>6259</v>
      </c>
      <c r="C2335" s="4" t="s">
        <v>6258</v>
      </c>
      <c r="D2335" s="4" t="s">
        <v>6033</v>
      </c>
      <c r="E2335" s="4" t="s">
        <v>6034</v>
      </c>
    </row>
    <row r="2336" spans="1:5">
      <c r="A2336" s="4" t="s">
        <v>6248</v>
      </c>
      <c r="B2336" s="4" t="s">
        <v>6260</v>
      </c>
      <c r="C2336" s="4" t="s">
        <v>6250</v>
      </c>
      <c r="D2336" s="4" t="s">
        <v>6033</v>
      </c>
      <c r="E2336" s="4" t="s">
        <v>6034</v>
      </c>
    </row>
    <row r="2337" spans="1:5">
      <c r="A2337" s="4" t="s">
        <v>6248</v>
      </c>
      <c r="B2337" s="4" t="s">
        <v>6260</v>
      </c>
      <c r="C2337" s="4" t="s">
        <v>6249</v>
      </c>
      <c r="D2337" s="4" t="s">
        <v>6033</v>
      </c>
      <c r="E2337" s="4" t="s">
        <v>6034</v>
      </c>
    </row>
    <row r="2338" spans="1:5">
      <c r="A2338" s="4" t="s">
        <v>6248</v>
      </c>
      <c r="B2338" s="4" t="s">
        <v>6260</v>
      </c>
      <c r="C2338" s="4" t="s">
        <v>6251</v>
      </c>
      <c r="D2338" s="4" t="s">
        <v>6033</v>
      </c>
      <c r="E2338" s="4" t="s">
        <v>6034</v>
      </c>
    </row>
    <row r="2339" spans="1:5">
      <c r="A2339" s="4" t="s">
        <v>6248</v>
      </c>
      <c r="B2339" s="4" t="s">
        <v>6260</v>
      </c>
      <c r="C2339" s="4" t="s">
        <v>6252</v>
      </c>
      <c r="D2339" s="4" t="s">
        <v>6033</v>
      </c>
      <c r="E2339" s="4" t="s">
        <v>6034</v>
      </c>
    </row>
    <row r="2340" spans="1:5">
      <c r="A2340" s="4" t="s">
        <v>6248</v>
      </c>
      <c r="B2340" s="4" t="s">
        <v>6260</v>
      </c>
      <c r="C2340" s="4" t="s">
        <v>6253</v>
      </c>
      <c r="D2340" s="4" t="s">
        <v>6033</v>
      </c>
      <c r="E2340" s="4" t="s">
        <v>6034</v>
      </c>
    </row>
    <row r="2341" spans="1:5">
      <c r="A2341" s="4" t="s">
        <v>6248</v>
      </c>
      <c r="B2341" s="4" t="s">
        <v>6260</v>
      </c>
      <c r="C2341" s="4" t="s">
        <v>6254</v>
      </c>
      <c r="D2341" s="4" t="s">
        <v>6033</v>
      </c>
      <c r="E2341" s="4" t="s">
        <v>6034</v>
      </c>
    </row>
    <row r="2342" spans="1:5">
      <c r="A2342" s="4" t="s">
        <v>6248</v>
      </c>
      <c r="B2342" s="4" t="s">
        <v>6260</v>
      </c>
      <c r="C2342" s="4" t="s">
        <v>6255</v>
      </c>
      <c r="D2342" s="4" t="s">
        <v>6039</v>
      </c>
      <c r="E2342" s="4" t="s">
        <v>6040</v>
      </c>
    </row>
    <row r="2343" spans="1:5">
      <c r="A2343" s="4" t="s">
        <v>6248</v>
      </c>
      <c r="B2343" s="4" t="s">
        <v>6260</v>
      </c>
      <c r="C2343" s="4" t="s">
        <v>6256</v>
      </c>
      <c r="D2343" s="4" t="s">
        <v>6039</v>
      </c>
      <c r="E2343" s="4" t="s">
        <v>6040</v>
      </c>
    </row>
    <row r="2344" spans="1:5">
      <c r="A2344" s="4" t="s">
        <v>6248</v>
      </c>
      <c r="B2344" s="4" t="s">
        <v>6260</v>
      </c>
      <c r="C2344" s="4" t="s">
        <v>6257</v>
      </c>
      <c r="D2344" s="4" t="s">
        <v>6033</v>
      </c>
      <c r="E2344" s="4" t="s">
        <v>6034</v>
      </c>
    </row>
    <row r="2345" spans="1:5">
      <c r="A2345" s="4" t="s">
        <v>6248</v>
      </c>
      <c r="B2345" s="4" t="s">
        <v>6260</v>
      </c>
      <c r="C2345" s="4" t="s">
        <v>6258</v>
      </c>
      <c r="D2345" s="4" t="s">
        <v>6033</v>
      </c>
      <c r="E2345" s="4" t="s">
        <v>6034</v>
      </c>
    </row>
    <row r="2346" spans="1:5">
      <c r="A2346" s="4" t="s">
        <v>6248</v>
      </c>
      <c r="B2346" s="4" t="s">
        <v>6260</v>
      </c>
      <c r="C2346" s="4" t="s">
        <v>6259</v>
      </c>
      <c r="D2346" s="4" t="s">
        <v>6033</v>
      </c>
      <c r="E2346" s="4" t="s">
        <v>6034</v>
      </c>
    </row>
    <row r="2347" spans="1:5">
      <c r="A2347" s="4" t="s">
        <v>6248</v>
      </c>
      <c r="B2347" s="4" t="s">
        <v>6261</v>
      </c>
      <c r="C2347" s="4" t="s">
        <v>6250</v>
      </c>
      <c r="D2347" s="4" t="s">
        <v>6033</v>
      </c>
      <c r="E2347" s="4" t="s">
        <v>6034</v>
      </c>
    </row>
    <row r="2348" spans="1:5">
      <c r="A2348" s="4" t="s">
        <v>6248</v>
      </c>
      <c r="B2348" s="4" t="s">
        <v>6261</v>
      </c>
      <c r="C2348" s="4" t="s">
        <v>6249</v>
      </c>
      <c r="D2348" s="4" t="s">
        <v>6033</v>
      </c>
      <c r="E2348" s="4" t="s">
        <v>6034</v>
      </c>
    </row>
    <row r="2349" spans="1:5">
      <c r="A2349" s="4" t="s">
        <v>6248</v>
      </c>
      <c r="B2349" s="4" t="s">
        <v>6261</v>
      </c>
      <c r="C2349" s="4" t="s">
        <v>6251</v>
      </c>
      <c r="D2349" s="4" t="s">
        <v>6033</v>
      </c>
      <c r="E2349" s="4" t="s">
        <v>6034</v>
      </c>
    </row>
    <row r="2350" spans="1:5">
      <c r="A2350" s="4" t="s">
        <v>6248</v>
      </c>
      <c r="B2350" s="4" t="s">
        <v>6261</v>
      </c>
      <c r="C2350" s="4" t="s">
        <v>6252</v>
      </c>
      <c r="D2350" s="4" t="s">
        <v>6033</v>
      </c>
      <c r="E2350" s="4" t="s">
        <v>6034</v>
      </c>
    </row>
    <row r="2351" spans="1:5">
      <c r="A2351" s="4" t="s">
        <v>6248</v>
      </c>
      <c r="B2351" s="4" t="s">
        <v>6261</v>
      </c>
      <c r="C2351" s="4" t="s">
        <v>6253</v>
      </c>
      <c r="D2351" s="4" t="s">
        <v>6033</v>
      </c>
      <c r="E2351" s="4" t="s">
        <v>6034</v>
      </c>
    </row>
    <row r="2352" spans="1:5">
      <c r="A2352" s="4" t="s">
        <v>6248</v>
      </c>
      <c r="B2352" s="4" t="s">
        <v>6261</v>
      </c>
      <c r="C2352" s="4" t="s">
        <v>6254</v>
      </c>
      <c r="D2352" s="4" t="s">
        <v>6033</v>
      </c>
      <c r="E2352" s="4" t="s">
        <v>6034</v>
      </c>
    </row>
    <row r="2353" spans="1:5">
      <c r="A2353" s="4" t="s">
        <v>6248</v>
      </c>
      <c r="B2353" s="4" t="s">
        <v>6261</v>
      </c>
      <c r="C2353" s="4" t="s">
        <v>6255</v>
      </c>
      <c r="D2353" s="4" t="s">
        <v>6033</v>
      </c>
      <c r="E2353" s="4" t="s">
        <v>6034</v>
      </c>
    </row>
    <row r="2354" spans="1:5">
      <c r="A2354" s="4" t="s">
        <v>6248</v>
      </c>
      <c r="B2354" s="4" t="s">
        <v>6261</v>
      </c>
      <c r="C2354" s="4" t="s">
        <v>6256</v>
      </c>
      <c r="D2354" s="4" t="s">
        <v>6039</v>
      </c>
      <c r="E2354" s="4" t="s">
        <v>6040</v>
      </c>
    </row>
    <row r="2355" spans="1:5">
      <c r="A2355" s="4" t="s">
        <v>6248</v>
      </c>
      <c r="B2355" s="4" t="s">
        <v>6261</v>
      </c>
      <c r="C2355" s="4" t="s">
        <v>6257</v>
      </c>
      <c r="D2355" s="4" t="s">
        <v>6033</v>
      </c>
      <c r="E2355" s="4" t="s">
        <v>6034</v>
      </c>
    </row>
    <row r="2356" spans="1:5">
      <c r="A2356" s="4" t="s">
        <v>6248</v>
      </c>
      <c r="B2356" s="4" t="s">
        <v>6261</v>
      </c>
      <c r="C2356" s="4" t="s">
        <v>6258</v>
      </c>
      <c r="D2356" s="4" t="s">
        <v>6033</v>
      </c>
      <c r="E2356" s="4" t="s">
        <v>6034</v>
      </c>
    </row>
    <row r="2357" spans="1:5">
      <c r="A2357" s="4" t="s">
        <v>6248</v>
      </c>
      <c r="B2357" s="4" t="s">
        <v>6261</v>
      </c>
      <c r="C2357" s="4" t="s">
        <v>6259</v>
      </c>
      <c r="D2357" s="4" t="s">
        <v>6033</v>
      </c>
      <c r="E2357" s="4" t="s">
        <v>6034</v>
      </c>
    </row>
    <row r="2358" spans="1:5">
      <c r="A2358" s="4" t="s">
        <v>6248</v>
      </c>
      <c r="B2358" s="4" t="s">
        <v>6261</v>
      </c>
      <c r="C2358" s="4" t="s">
        <v>6260</v>
      </c>
      <c r="D2358" s="4" t="s">
        <v>6033</v>
      </c>
      <c r="E2358" s="4" t="s">
        <v>6034</v>
      </c>
    </row>
    <row r="2359" spans="1:5">
      <c r="A2359" s="4" t="s">
        <v>6248</v>
      </c>
      <c r="B2359" s="4" t="s">
        <v>6262</v>
      </c>
      <c r="C2359" s="4" t="s">
        <v>6250</v>
      </c>
      <c r="D2359" s="4" t="s">
        <v>6033</v>
      </c>
      <c r="E2359" s="4" t="s">
        <v>6034</v>
      </c>
    </row>
    <row r="2360" spans="1:5">
      <c r="A2360" s="4" t="s">
        <v>6248</v>
      </c>
      <c r="B2360" s="4" t="s">
        <v>6262</v>
      </c>
      <c r="C2360" s="4" t="s">
        <v>6249</v>
      </c>
      <c r="D2360" s="4" t="s">
        <v>6033</v>
      </c>
      <c r="E2360" s="4" t="s">
        <v>6034</v>
      </c>
    </row>
    <row r="2361" spans="1:5">
      <c r="A2361" s="4" t="s">
        <v>6248</v>
      </c>
      <c r="B2361" s="4" t="s">
        <v>6262</v>
      </c>
      <c r="C2361" s="4" t="s">
        <v>6251</v>
      </c>
      <c r="D2361" s="4" t="s">
        <v>6033</v>
      </c>
      <c r="E2361" s="4" t="s">
        <v>6034</v>
      </c>
    </row>
    <row r="2362" spans="1:5">
      <c r="A2362" s="4" t="s">
        <v>6248</v>
      </c>
      <c r="B2362" s="4" t="s">
        <v>6262</v>
      </c>
      <c r="C2362" s="4" t="s">
        <v>6252</v>
      </c>
      <c r="D2362" s="4" t="s">
        <v>6033</v>
      </c>
      <c r="E2362" s="4" t="s">
        <v>6034</v>
      </c>
    </row>
    <row r="2363" spans="1:5">
      <c r="A2363" s="4" t="s">
        <v>6248</v>
      </c>
      <c r="B2363" s="4" t="s">
        <v>6262</v>
      </c>
      <c r="C2363" s="4" t="s">
        <v>6253</v>
      </c>
      <c r="D2363" s="4" t="s">
        <v>6033</v>
      </c>
      <c r="E2363" s="4" t="s">
        <v>6034</v>
      </c>
    </row>
    <row r="2364" spans="1:5">
      <c r="A2364" s="4" t="s">
        <v>6248</v>
      </c>
      <c r="B2364" s="4" t="s">
        <v>6262</v>
      </c>
      <c r="C2364" s="4" t="s">
        <v>6254</v>
      </c>
      <c r="D2364" s="4" t="s">
        <v>6033</v>
      </c>
      <c r="E2364" s="4" t="s">
        <v>6034</v>
      </c>
    </row>
    <row r="2365" spans="1:5">
      <c r="A2365" s="4" t="s">
        <v>6248</v>
      </c>
      <c r="B2365" s="4" t="s">
        <v>6262</v>
      </c>
      <c r="C2365" s="4" t="s">
        <v>6255</v>
      </c>
      <c r="D2365" s="4" t="s">
        <v>6033</v>
      </c>
      <c r="E2365" s="4" t="s">
        <v>6034</v>
      </c>
    </row>
    <row r="2366" spans="1:5">
      <c r="A2366" s="4" t="s">
        <v>6248</v>
      </c>
      <c r="B2366" s="4" t="s">
        <v>6262</v>
      </c>
      <c r="C2366" s="4" t="s">
        <v>6256</v>
      </c>
      <c r="D2366" s="4" t="s">
        <v>6033</v>
      </c>
      <c r="E2366" s="4" t="s">
        <v>6034</v>
      </c>
    </row>
    <row r="2367" spans="1:5">
      <c r="A2367" s="4" t="s">
        <v>6248</v>
      </c>
      <c r="B2367" s="4" t="s">
        <v>6262</v>
      </c>
      <c r="C2367" s="4" t="s">
        <v>6257</v>
      </c>
      <c r="D2367" s="4" t="s">
        <v>6033</v>
      </c>
      <c r="E2367" s="4" t="s">
        <v>6034</v>
      </c>
    </row>
    <row r="2368" spans="1:5">
      <c r="A2368" s="4" t="s">
        <v>6248</v>
      </c>
      <c r="B2368" s="4" t="s">
        <v>6262</v>
      </c>
      <c r="C2368" s="4" t="s">
        <v>6258</v>
      </c>
      <c r="D2368" s="4" t="s">
        <v>6033</v>
      </c>
      <c r="E2368" s="4" t="s">
        <v>6034</v>
      </c>
    </row>
    <row r="2369" spans="1:5">
      <c r="A2369" s="4" t="s">
        <v>6248</v>
      </c>
      <c r="B2369" s="4" t="s">
        <v>6262</v>
      </c>
      <c r="C2369" s="4" t="s">
        <v>6259</v>
      </c>
      <c r="D2369" s="4" t="s">
        <v>6033</v>
      </c>
      <c r="E2369" s="4" t="s">
        <v>6034</v>
      </c>
    </row>
    <row r="2370" spans="1:5">
      <c r="A2370" s="4" t="s">
        <v>6248</v>
      </c>
      <c r="B2370" s="4" t="s">
        <v>6262</v>
      </c>
      <c r="C2370" s="4" t="s">
        <v>6260</v>
      </c>
      <c r="D2370" s="4" t="s">
        <v>6033</v>
      </c>
      <c r="E2370" s="4" t="s">
        <v>6034</v>
      </c>
    </row>
    <row r="2371" spans="1:5">
      <c r="A2371" s="4" t="s">
        <v>6248</v>
      </c>
      <c r="B2371" s="4" t="s">
        <v>6262</v>
      </c>
      <c r="C2371" s="4" t="s">
        <v>6261</v>
      </c>
      <c r="D2371" s="4" t="s">
        <v>6033</v>
      </c>
      <c r="E2371" s="4" t="s">
        <v>6034</v>
      </c>
    </row>
    <row r="2372" spans="1:5">
      <c r="A2372" s="4" t="s">
        <v>6248</v>
      </c>
      <c r="B2372" s="4" t="s">
        <v>6263</v>
      </c>
      <c r="C2372" s="4" t="s">
        <v>6250</v>
      </c>
      <c r="D2372" s="4" t="s">
        <v>6033</v>
      </c>
      <c r="E2372" s="4" t="s">
        <v>6034</v>
      </c>
    </row>
    <row r="2373" spans="1:5">
      <c r="A2373" s="4" t="s">
        <v>6248</v>
      </c>
      <c r="B2373" s="4" t="s">
        <v>6263</v>
      </c>
      <c r="C2373" s="4" t="s">
        <v>6249</v>
      </c>
      <c r="D2373" s="4" t="s">
        <v>6033</v>
      </c>
      <c r="E2373" s="4" t="s">
        <v>6034</v>
      </c>
    </row>
    <row r="2374" spans="1:5">
      <c r="A2374" s="4" t="s">
        <v>6248</v>
      </c>
      <c r="B2374" s="4" t="s">
        <v>6263</v>
      </c>
      <c r="C2374" s="4" t="s">
        <v>6251</v>
      </c>
      <c r="D2374" s="4" t="s">
        <v>6033</v>
      </c>
      <c r="E2374" s="4" t="s">
        <v>6034</v>
      </c>
    </row>
    <row r="2375" spans="1:5">
      <c r="A2375" s="4" t="s">
        <v>6248</v>
      </c>
      <c r="B2375" s="4" t="s">
        <v>6263</v>
      </c>
      <c r="C2375" s="4" t="s">
        <v>6252</v>
      </c>
      <c r="D2375" s="4" t="s">
        <v>6033</v>
      </c>
      <c r="E2375" s="4" t="s">
        <v>6034</v>
      </c>
    </row>
    <row r="2376" spans="1:5">
      <c r="A2376" s="4" t="s">
        <v>6248</v>
      </c>
      <c r="B2376" s="4" t="s">
        <v>6263</v>
      </c>
      <c r="C2376" s="4" t="s">
        <v>6253</v>
      </c>
      <c r="D2376" s="4" t="s">
        <v>6033</v>
      </c>
      <c r="E2376" s="4" t="s">
        <v>6034</v>
      </c>
    </row>
    <row r="2377" spans="1:5">
      <c r="A2377" s="4" t="s">
        <v>6248</v>
      </c>
      <c r="B2377" s="4" t="s">
        <v>6263</v>
      </c>
      <c r="C2377" s="4" t="s">
        <v>6254</v>
      </c>
      <c r="D2377" s="4" t="s">
        <v>6033</v>
      </c>
      <c r="E2377" s="4" t="s">
        <v>6034</v>
      </c>
    </row>
    <row r="2378" spans="1:5">
      <c r="A2378" s="4" t="s">
        <v>6248</v>
      </c>
      <c r="B2378" s="4" t="s">
        <v>6263</v>
      </c>
      <c r="C2378" s="4" t="s">
        <v>6255</v>
      </c>
      <c r="D2378" s="4" t="s">
        <v>6033</v>
      </c>
      <c r="E2378" s="4" t="s">
        <v>6034</v>
      </c>
    </row>
    <row r="2379" spans="1:5">
      <c r="A2379" s="4" t="s">
        <v>6248</v>
      </c>
      <c r="B2379" s="4" t="s">
        <v>6263</v>
      </c>
      <c r="C2379" s="4" t="s">
        <v>6256</v>
      </c>
      <c r="D2379" s="4" t="s">
        <v>6033</v>
      </c>
      <c r="E2379" s="4" t="s">
        <v>6034</v>
      </c>
    </row>
    <row r="2380" spans="1:5">
      <c r="A2380" s="4" t="s">
        <v>6248</v>
      </c>
      <c r="B2380" s="4" t="s">
        <v>6263</v>
      </c>
      <c r="C2380" s="4" t="s">
        <v>6257</v>
      </c>
      <c r="D2380" s="4" t="s">
        <v>6033</v>
      </c>
      <c r="E2380" s="4" t="s">
        <v>6034</v>
      </c>
    </row>
    <row r="2381" spans="1:5">
      <c r="A2381" s="4" t="s">
        <v>6248</v>
      </c>
      <c r="B2381" s="4" t="s">
        <v>6263</v>
      </c>
      <c r="C2381" s="4" t="s">
        <v>6258</v>
      </c>
      <c r="D2381" s="4" t="s">
        <v>6033</v>
      </c>
      <c r="E2381" s="4" t="s">
        <v>6034</v>
      </c>
    </row>
    <row r="2382" spans="1:5">
      <c r="A2382" s="4" t="s">
        <v>6248</v>
      </c>
      <c r="B2382" s="4" t="s">
        <v>6263</v>
      </c>
      <c r="C2382" s="4" t="s">
        <v>6259</v>
      </c>
      <c r="D2382" s="4" t="s">
        <v>6033</v>
      </c>
      <c r="E2382" s="4" t="s">
        <v>6034</v>
      </c>
    </row>
    <row r="2383" spans="1:5">
      <c r="A2383" s="4" t="s">
        <v>6248</v>
      </c>
      <c r="B2383" s="4" t="s">
        <v>6263</v>
      </c>
      <c r="C2383" s="4" t="s">
        <v>6260</v>
      </c>
      <c r="D2383" s="4" t="s">
        <v>6033</v>
      </c>
      <c r="E2383" s="4" t="s">
        <v>6034</v>
      </c>
    </row>
    <row r="2384" spans="1:5">
      <c r="A2384" s="4" t="s">
        <v>6248</v>
      </c>
      <c r="B2384" s="4" t="s">
        <v>6263</v>
      </c>
      <c r="C2384" s="4" t="s">
        <v>6261</v>
      </c>
      <c r="D2384" s="4" t="s">
        <v>6033</v>
      </c>
      <c r="E2384" s="4" t="s">
        <v>6034</v>
      </c>
    </row>
    <row r="2385" spans="1:5">
      <c r="A2385" s="4" t="s">
        <v>6248</v>
      </c>
      <c r="B2385" s="4" t="s">
        <v>6263</v>
      </c>
      <c r="C2385" s="4" t="s">
        <v>6262</v>
      </c>
      <c r="D2385" s="4" t="s">
        <v>6033</v>
      </c>
      <c r="E2385" s="4" t="s">
        <v>6034</v>
      </c>
    </row>
    <row r="2386" spans="1:5">
      <c r="A2386" s="4" t="s">
        <v>6248</v>
      </c>
      <c r="B2386" s="4" t="s">
        <v>6264</v>
      </c>
      <c r="C2386" s="4" t="s">
        <v>6250</v>
      </c>
      <c r="D2386" s="4" t="s">
        <v>6033</v>
      </c>
      <c r="E2386" s="4" t="s">
        <v>6034</v>
      </c>
    </row>
    <row r="2387" spans="1:5">
      <c r="A2387" s="4" t="s">
        <v>6248</v>
      </c>
      <c r="B2387" s="4" t="s">
        <v>6264</v>
      </c>
      <c r="C2387" s="4" t="s">
        <v>6249</v>
      </c>
      <c r="D2387" s="4" t="s">
        <v>6033</v>
      </c>
      <c r="E2387" s="4" t="s">
        <v>6034</v>
      </c>
    </row>
    <row r="2388" spans="1:5">
      <c r="A2388" s="4" t="s">
        <v>6248</v>
      </c>
      <c r="B2388" s="4" t="s">
        <v>6264</v>
      </c>
      <c r="C2388" s="4" t="s">
        <v>6251</v>
      </c>
      <c r="D2388" s="4" t="s">
        <v>6033</v>
      </c>
      <c r="E2388" s="4" t="s">
        <v>6034</v>
      </c>
    </row>
    <row r="2389" spans="1:5">
      <c r="A2389" s="4" t="s">
        <v>6248</v>
      </c>
      <c r="B2389" s="4" t="s">
        <v>6264</v>
      </c>
      <c r="C2389" s="4" t="s">
        <v>6252</v>
      </c>
      <c r="D2389" s="4" t="s">
        <v>6033</v>
      </c>
      <c r="E2389" s="4" t="s">
        <v>6034</v>
      </c>
    </row>
    <row r="2390" spans="1:5">
      <c r="A2390" s="4" t="s">
        <v>6248</v>
      </c>
      <c r="B2390" s="4" t="s">
        <v>6264</v>
      </c>
      <c r="C2390" s="4" t="s">
        <v>6253</v>
      </c>
      <c r="D2390" s="4" t="s">
        <v>6033</v>
      </c>
      <c r="E2390" s="4" t="s">
        <v>6034</v>
      </c>
    </row>
    <row r="2391" spans="1:5">
      <c r="A2391" s="4" t="s">
        <v>6248</v>
      </c>
      <c r="B2391" s="4" t="s">
        <v>6264</v>
      </c>
      <c r="C2391" s="4" t="s">
        <v>6254</v>
      </c>
      <c r="D2391" s="4" t="s">
        <v>6033</v>
      </c>
      <c r="E2391" s="4" t="s">
        <v>6034</v>
      </c>
    </row>
    <row r="2392" spans="1:5">
      <c r="A2392" s="4" t="s">
        <v>6248</v>
      </c>
      <c r="B2392" s="4" t="s">
        <v>6264</v>
      </c>
      <c r="C2392" s="4" t="s">
        <v>6255</v>
      </c>
      <c r="D2392" s="4" t="s">
        <v>6033</v>
      </c>
      <c r="E2392" s="4" t="s">
        <v>6034</v>
      </c>
    </row>
    <row r="2393" spans="1:5">
      <c r="A2393" s="4" t="s">
        <v>6248</v>
      </c>
      <c r="B2393" s="4" t="s">
        <v>6264</v>
      </c>
      <c r="C2393" s="4" t="s">
        <v>6256</v>
      </c>
      <c r="D2393" s="4" t="s">
        <v>6033</v>
      </c>
      <c r="E2393" s="4" t="s">
        <v>6034</v>
      </c>
    </row>
    <row r="2394" spans="1:5">
      <c r="A2394" s="4" t="s">
        <v>6248</v>
      </c>
      <c r="B2394" s="4" t="s">
        <v>6264</v>
      </c>
      <c r="C2394" s="4" t="s">
        <v>6257</v>
      </c>
      <c r="D2394" s="4" t="s">
        <v>6033</v>
      </c>
      <c r="E2394" s="4" t="s">
        <v>6034</v>
      </c>
    </row>
    <row r="2395" spans="1:5">
      <c r="A2395" s="4" t="s">
        <v>6248</v>
      </c>
      <c r="B2395" s="4" t="s">
        <v>6264</v>
      </c>
      <c r="C2395" s="4" t="s">
        <v>6258</v>
      </c>
      <c r="D2395" s="4" t="s">
        <v>6033</v>
      </c>
      <c r="E2395" s="4" t="s">
        <v>6034</v>
      </c>
    </row>
    <row r="2396" spans="1:5">
      <c r="A2396" s="4" t="s">
        <v>6248</v>
      </c>
      <c r="B2396" s="4" t="s">
        <v>6264</v>
      </c>
      <c r="C2396" s="4" t="s">
        <v>6259</v>
      </c>
      <c r="D2396" s="4" t="s">
        <v>6033</v>
      </c>
      <c r="E2396" s="4" t="s">
        <v>6034</v>
      </c>
    </row>
    <row r="2397" spans="1:5">
      <c r="A2397" s="4" t="s">
        <v>6248</v>
      </c>
      <c r="B2397" s="4" t="s">
        <v>6264</v>
      </c>
      <c r="C2397" s="4" t="s">
        <v>6260</v>
      </c>
      <c r="D2397" s="4" t="s">
        <v>6033</v>
      </c>
      <c r="E2397" s="4" t="s">
        <v>6034</v>
      </c>
    </row>
    <row r="2398" spans="1:5">
      <c r="A2398" s="4" t="s">
        <v>6248</v>
      </c>
      <c r="B2398" s="4" t="s">
        <v>6264</v>
      </c>
      <c r="C2398" s="4" t="s">
        <v>6261</v>
      </c>
      <c r="D2398" s="4" t="s">
        <v>6033</v>
      </c>
      <c r="E2398" s="4" t="s">
        <v>6034</v>
      </c>
    </row>
    <row r="2399" spans="1:5">
      <c r="A2399" s="4" t="s">
        <v>6248</v>
      </c>
      <c r="B2399" s="4" t="s">
        <v>6264</v>
      </c>
      <c r="C2399" s="4" t="s">
        <v>6262</v>
      </c>
      <c r="D2399" s="4" t="s">
        <v>6033</v>
      </c>
      <c r="E2399" s="4" t="s">
        <v>6034</v>
      </c>
    </row>
    <row r="2400" spans="1:5">
      <c r="A2400" s="4" t="s">
        <v>6248</v>
      </c>
      <c r="B2400" s="4" t="s">
        <v>6264</v>
      </c>
      <c r="C2400" s="4" t="s">
        <v>6263</v>
      </c>
      <c r="D2400" s="4" t="s">
        <v>6033</v>
      </c>
      <c r="E2400" s="4" t="s">
        <v>6034</v>
      </c>
    </row>
    <row r="2401" spans="1:5">
      <c r="A2401" s="4" t="s">
        <v>6248</v>
      </c>
      <c r="B2401" s="4" t="s">
        <v>6265</v>
      </c>
      <c r="C2401" s="4" t="s">
        <v>6250</v>
      </c>
      <c r="D2401" s="4" t="s">
        <v>6033</v>
      </c>
      <c r="E2401" s="4" t="s">
        <v>6034</v>
      </c>
    </row>
    <row r="2402" spans="1:5">
      <c r="A2402" s="4" t="s">
        <v>6248</v>
      </c>
      <c r="B2402" s="4" t="s">
        <v>6265</v>
      </c>
      <c r="C2402" s="4" t="s">
        <v>6249</v>
      </c>
      <c r="D2402" s="4" t="s">
        <v>6033</v>
      </c>
      <c r="E2402" s="4" t="s">
        <v>6034</v>
      </c>
    </row>
    <row r="2403" spans="1:5">
      <c r="A2403" s="4" t="s">
        <v>6248</v>
      </c>
      <c r="B2403" s="4" t="s">
        <v>6265</v>
      </c>
      <c r="C2403" s="4" t="s">
        <v>6251</v>
      </c>
      <c r="D2403" s="4" t="s">
        <v>6033</v>
      </c>
      <c r="E2403" s="4" t="s">
        <v>6034</v>
      </c>
    </row>
    <row r="2404" spans="1:5">
      <c r="A2404" s="4" t="s">
        <v>6248</v>
      </c>
      <c r="B2404" s="4" t="s">
        <v>6265</v>
      </c>
      <c r="C2404" s="4" t="s">
        <v>6252</v>
      </c>
      <c r="D2404" s="4" t="s">
        <v>6033</v>
      </c>
      <c r="E2404" s="4" t="s">
        <v>6034</v>
      </c>
    </row>
    <row r="2405" spans="1:5">
      <c r="A2405" s="4" t="s">
        <v>6248</v>
      </c>
      <c r="B2405" s="4" t="s">
        <v>6265</v>
      </c>
      <c r="C2405" s="4" t="s">
        <v>6253</v>
      </c>
      <c r="D2405" s="4" t="s">
        <v>6033</v>
      </c>
      <c r="E2405" s="4" t="s">
        <v>6034</v>
      </c>
    </row>
    <row r="2406" spans="1:5">
      <c r="A2406" s="4" t="s">
        <v>6248</v>
      </c>
      <c r="B2406" s="4" t="s">
        <v>6265</v>
      </c>
      <c r="C2406" s="4" t="s">
        <v>6254</v>
      </c>
      <c r="D2406" s="4" t="s">
        <v>6033</v>
      </c>
      <c r="E2406" s="4" t="s">
        <v>6034</v>
      </c>
    </row>
    <row r="2407" spans="1:5">
      <c r="A2407" s="4" t="s">
        <v>6248</v>
      </c>
      <c r="B2407" s="4" t="s">
        <v>6265</v>
      </c>
      <c r="C2407" s="4" t="s">
        <v>6255</v>
      </c>
      <c r="D2407" s="4" t="s">
        <v>6033</v>
      </c>
      <c r="E2407" s="4" t="s">
        <v>6034</v>
      </c>
    </row>
    <row r="2408" spans="1:5">
      <c r="A2408" s="4" t="s">
        <v>6248</v>
      </c>
      <c r="B2408" s="4" t="s">
        <v>6265</v>
      </c>
      <c r="C2408" s="4" t="s">
        <v>6256</v>
      </c>
      <c r="D2408" s="4" t="s">
        <v>6033</v>
      </c>
      <c r="E2408" s="4" t="s">
        <v>6034</v>
      </c>
    </row>
    <row r="2409" spans="1:5">
      <c r="A2409" s="4" t="s">
        <v>6248</v>
      </c>
      <c r="B2409" s="4" t="s">
        <v>6265</v>
      </c>
      <c r="C2409" s="4" t="s">
        <v>6257</v>
      </c>
      <c r="D2409" s="4" t="s">
        <v>6033</v>
      </c>
      <c r="E2409" s="4" t="s">
        <v>6034</v>
      </c>
    </row>
    <row r="2410" spans="1:5">
      <c r="A2410" s="4" t="s">
        <v>6248</v>
      </c>
      <c r="B2410" s="4" t="s">
        <v>6265</v>
      </c>
      <c r="C2410" s="4" t="s">
        <v>6258</v>
      </c>
      <c r="D2410" s="4" t="s">
        <v>6033</v>
      </c>
      <c r="E2410" s="4" t="s">
        <v>6034</v>
      </c>
    </row>
    <row r="2411" spans="1:5">
      <c r="A2411" s="4" t="s">
        <v>6248</v>
      </c>
      <c r="B2411" s="4" t="s">
        <v>6265</v>
      </c>
      <c r="C2411" s="4" t="s">
        <v>6259</v>
      </c>
      <c r="D2411" s="4" t="s">
        <v>6033</v>
      </c>
      <c r="E2411" s="4" t="s">
        <v>6034</v>
      </c>
    </row>
    <row r="2412" spans="1:5">
      <c r="A2412" s="4" t="s">
        <v>6248</v>
      </c>
      <c r="B2412" s="4" t="s">
        <v>6265</v>
      </c>
      <c r="C2412" s="4" t="s">
        <v>6260</v>
      </c>
      <c r="D2412" s="4" t="s">
        <v>6033</v>
      </c>
      <c r="E2412" s="4" t="s">
        <v>6034</v>
      </c>
    </row>
    <row r="2413" spans="1:5">
      <c r="A2413" s="4" t="s">
        <v>6248</v>
      </c>
      <c r="B2413" s="4" t="s">
        <v>6265</v>
      </c>
      <c r="C2413" s="4" t="s">
        <v>6261</v>
      </c>
      <c r="D2413" s="4" t="s">
        <v>6033</v>
      </c>
      <c r="E2413" s="4" t="s">
        <v>6034</v>
      </c>
    </row>
    <row r="2414" spans="1:5">
      <c r="A2414" s="4" t="s">
        <v>6248</v>
      </c>
      <c r="B2414" s="4" t="s">
        <v>6265</v>
      </c>
      <c r="C2414" s="4" t="s">
        <v>6262</v>
      </c>
      <c r="D2414" s="4" t="s">
        <v>6033</v>
      </c>
      <c r="E2414" s="4" t="s">
        <v>6034</v>
      </c>
    </row>
    <row r="2415" spans="1:5">
      <c r="A2415" s="4" t="s">
        <v>6248</v>
      </c>
      <c r="B2415" s="4" t="s">
        <v>6265</v>
      </c>
      <c r="C2415" s="4" t="s">
        <v>6263</v>
      </c>
      <c r="D2415" s="4" t="s">
        <v>6033</v>
      </c>
      <c r="E2415" s="4" t="s">
        <v>6034</v>
      </c>
    </row>
    <row r="2416" spans="1:5">
      <c r="A2416" s="4" t="s">
        <v>6248</v>
      </c>
      <c r="B2416" s="4" t="s">
        <v>6265</v>
      </c>
      <c r="C2416" s="4" t="s">
        <v>6264</v>
      </c>
      <c r="D2416" s="4" t="s">
        <v>6033</v>
      </c>
      <c r="E2416" s="4" t="s">
        <v>6034</v>
      </c>
    </row>
    <row r="2417" spans="1:5">
      <c r="A2417" s="4" t="s">
        <v>6248</v>
      </c>
      <c r="B2417" s="4" t="s">
        <v>6266</v>
      </c>
      <c r="C2417" s="4" t="s">
        <v>6250</v>
      </c>
      <c r="D2417" s="4" t="s">
        <v>6033</v>
      </c>
      <c r="E2417" s="4" t="s">
        <v>6034</v>
      </c>
    </row>
    <row r="2418" spans="1:5">
      <c r="A2418" s="4" t="s">
        <v>6248</v>
      </c>
      <c r="B2418" s="4" t="s">
        <v>6266</v>
      </c>
      <c r="C2418" s="4" t="s">
        <v>6249</v>
      </c>
      <c r="D2418" s="4" t="s">
        <v>6033</v>
      </c>
      <c r="E2418" s="4" t="s">
        <v>6034</v>
      </c>
    </row>
    <row r="2419" spans="1:5">
      <c r="A2419" s="4" t="s">
        <v>6248</v>
      </c>
      <c r="B2419" s="4" t="s">
        <v>6266</v>
      </c>
      <c r="C2419" s="4" t="s">
        <v>6251</v>
      </c>
      <c r="D2419" s="4" t="s">
        <v>6033</v>
      </c>
      <c r="E2419" s="4" t="s">
        <v>6034</v>
      </c>
    </row>
    <row r="2420" spans="1:5">
      <c r="A2420" s="4" t="s">
        <v>6248</v>
      </c>
      <c r="B2420" s="4" t="s">
        <v>6266</v>
      </c>
      <c r="C2420" s="4" t="s">
        <v>6252</v>
      </c>
      <c r="D2420" s="4" t="s">
        <v>6033</v>
      </c>
      <c r="E2420" s="4" t="s">
        <v>6034</v>
      </c>
    </row>
    <row r="2421" spans="1:5">
      <c r="A2421" s="4" t="s">
        <v>6248</v>
      </c>
      <c r="B2421" s="4" t="s">
        <v>6266</v>
      </c>
      <c r="C2421" s="4" t="s">
        <v>6253</v>
      </c>
      <c r="D2421" s="4" t="s">
        <v>6033</v>
      </c>
      <c r="E2421" s="4" t="s">
        <v>6034</v>
      </c>
    </row>
    <row r="2422" spans="1:5">
      <c r="A2422" s="4" t="s">
        <v>6248</v>
      </c>
      <c r="B2422" s="4" t="s">
        <v>6266</v>
      </c>
      <c r="C2422" s="4" t="s">
        <v>6254</v>
      </c>
      <c r="D2422" s="4" t="s">
        <v>6033</v>
      </c>
      <c r="E2422" s="4" t="s">
        <v>6034</v>
      </c>
    </row>
    <row r="2423" spans="1:5">
      <c r="A2423" s="4" t="s">
        <v>6248</v>
      </c>
      <c r="B2423" s="4" t="s">
        <v>6266</v>
      </c>
      <c r="C2423" s="4" t="s">
        <v>6255</v>
      </c>
      <c r="D2423" s="4" t="s">
        <v>6033</v>
      </c>
      <c r="E2423" s="4" t="s">
        <v>6034</v>
      </c>
    </row>
    <row r="2424" spans="1:5">
      <c r="A2424" s="4" t="s">
        <v>6248</v>
      </c>
      <c r="B2424" s="4" t="s">
        <v>6266</v>
      </c>
      <c r="C2424" s="4" t="s">
        <v>6256</v>
      </c>
      <c r="D2424" s="4" t="s">
        <v>6033</v>
      </c>
      <c r="E2424" s="4" t="s">
        <v>6034</v>
      </c>
    </row>
    <row r="2425" spans="1:5">
      <c r="A2425" s="4" t="s">
        <v>6248</v>
      </c>
      <c r="B2425" s="4" t="s">
        <v>6266</v>
      </c>
      <c r="C2425" s="4" t="s">
        <v>6257</v>
      </c>
      <c r="D2425" s="4" t="s">
        <v>6033</v>
      </c>
      <c r="E2425" s="4" t="s">
        <v>6034</v>
      </c>
    </row>
    <row r="2426" spans="1:5">
      <c r="A2426" s="4" t="s">
        <v>6248</v>
      </c>
      <c r="B2426" s="4" t="s">
        <v>6266</v>
      </c>
      <c r="C2426" s="4" t="s">
        <v>6258</v>
      </c>
      <c r="D2426" s="4" t="s">
        <v>6033</v>
      </c>
      <c r="E2426" s="4" t="s">
        <v>6034</v>
      </c>
    </row>
    <row r="2427" spans="1:5">
      <c r="A2427" s="4" t="s">
        <v>6248</v>
      </c>
      <c r="B2427" s="4" t="s">
        <v>6266</v>
      </c>
      <c r="C2427" s="4" t="s">
        <v>6259</v>
      </c>
      <c r="D2427" s="4" t="s">
        <v>6033</v>
      </c>
      <c r="E2427" s="4" t="s">
        <v>6034</v>
      </c>
    </row>
    <row r="2428" spans="1:5">
      <c r="A2428" s="4" t="s">
        <v>6248</v>
      </c>
      <c r="B2428" s="4" t="s">
        <v>6266</v>
      </c>
      <c r="C2428" s="4" t="s">
        <v>6260</v>
      </c>
      <c r="D2428" s="4" t="s">
        <v>6033</v>
      </c>
      <c r="E2428" s="4" t="s">
        <v>6034</v>
      </c>
    </row>
    <row r="2429" spans="1:5">
      <c r="A2429" s="4" t="s">
        <v>6248</v>
      </c>
      <c r="B2429" s="4" t="s">
        <v>6266</v>
      </c>
      <c r="C2429" s="4" t="s">
        <v>6261</v>
      </c>
      <c r="D2429" s="4" t="s">
        <v>6033</v>
      </c>
      <c r="E2429" s="4" t="s">
        <v>6034</v>
      </c>
    </row>
    <row r="2430" spans="1:5">
      <c r="A2430" s="4" t="s">
        <v>6248</v>
      </c>
      <c r="B2430" s="4" t="s">
        <v>6266</v>
      </c>
      <c r="C2430" s="4" t="s">
        <v>6262</v>
      </c>
      <c r="D2430" s="4" t="s">
        <v>6033</v>
      </c>
      <c r="E2430" s="4" t="s">
        <v>6034</v>
      </c>
    </row>
    <row r="2431" spans="1:5">
      <c r="A2431" s="4" t="s">
        <v>6248</v>
      </c>
      <c r="B2431" s="4" t="s">
        <v>6266</v>
      </c>
      <c r="C2431" s="4" t="s">
        <v>6263</v>
      </c>
      <c r="D2431" s="4" t="s">
        <v>6033</v>
      </c>
      <c r="E2431" s="4" t="s">
        <v>6034</v>
      </c>
    </row>
    <row r="2432" spans="1:5">
      <c r="A2432" s="4" t="s">
        <v>6248</v>
      </c>
      <c r="B2432" s="4" t="s">
        <v>6266</v>
      </c>
      <c r="C2432" s="4" t="s">
        <v>6264</v>
      </c>
      <c r="D2432" s="4" t="s">
        <v>6033</v>
      </c>
      <c r="E2432" s="4" t="s">
        <v>6034</v>
      </c>
    </row>
    <row r="2433" spans="1:5">
      <c r="A2433" s="4" t="s">
        <v>6248</v>
      </c>
      <c r="B2433" s="4" t="s">
        <v>6266</v>
      </c>
      <c r="C2433" s="4" t="s">
        <v>6265</v>
      </c>
      <c r="D2433" s="4" t="s">
        <v>6033</v>
      </c>
      <c r="E2433" s="4" t="s">
        <v>6034</v>
      </c>
    </row>
    <row r="2434" spans="1:5">
      <c r="A2434" s="4" t="s">
        <v>6248</v>
      </c>
      <c r="B2434" s="4" t="s">
        <v>6267</v>
      </c>
      <c r="C2434" s="4" t="s">
        <v>6250</v>
      </c>
      <c r="D2434" s="4" t="s">
        <v>6033</v>
      </c>
      <c r="E2434" s="4" t="s">
        <v>6034</v>
      </c>
    </row>
    <row r="2435" spans="1:5">
      <c r="A2435" s="4" t="s">
        <v>6248</v>
      </c>
      <c r="B2435" s="4" t="s">
        <v>6267</v>
      </c>
      <c r="C2435" s="4" t="s">
        <v>6249</v>
      </c>
      <c r="D2435" s="4" t="s">
        <v>6033</v>
      </c>
      <c r="E2435" s="4" t="s">
        <v>6034</v>
      </c>
    </row>
    <row r="2436" spans="1:5">
      <c r="A2436" s="4" t="s">
        <v>6248</v>
      </c>
      <c r="B2436" s="4" t="s">
        <v>6267</v>
      </c>
      <c r="C2436" s="4" t="s">
        <v>6251</v>
      </c>
      <c r="D2436" s="4" t="s">
        <v>6033</v>
      </c>
      <c r="E2436" s="4" t="s">
        <v>6034</v>
      </c>
    </row>
    <row r="2437" spans="1:5">
      <c r="A2437" s="4" t="s">
        <v>6248</v>
      </c>
      <c r="B2437" s="4" t="s">
        <v>6267</v>
      </c>
      <c r="C2437" s="4" t="s">
        <v>6252</v>
      </c>
      <c r="D2437" s="4" t="s">
        <v>6033</v>
      </c>
      <c r="E2437" s="4" t="s">
        <v>6034</v>
      </c>
    </row>
    <row r="2438" spans="1:5">
      <c r="A2438" s="4" t="s">
        <v>6248</v>
      </c>
      <c r="B2438" s="4" t="s">
        <v>6267</v>
      </c>
      <c r="C2438" s="4" t="s">
        <v>6253</v>
      </c>
      <c r="D2438" s="4" t="s">
        <v>6033</v>
      </c>
      <c r="E2438" s="4" t="s">
        <v>6034</v>
      </c>
    </row>
    <row r="2439" spans="1:5">
      <c r="A2439" s="4" t="s">
        <v>6248</v>
      </c>
      <c r="B2439" s="4" t="s">
        <v>6267</v>
      </c>
      <c r="C2439" s="4" t="s">
        <v>6254</v>
      </c>
      <c r="D2439" s="4" t="s">
        <v>6033</v>
      </c>
      <c r="E2439" s="4" t="s">
        <v>6034</v>
      </c>
    </row>
    <row r="2440" spans="1:5">
      <c r="A2440" s="4" t="s">
        <v>6248</v>
      </c>
      <c r="B2440" s="4" t="s">
        <v>6267</v>
      </c>
      <c r="C2440" s="4" t="s">
        <v>6255</v>
      </c>
      <c r="D2440" s="4" t="s">
        <v>6033</v>
      </c>
      <c r="E2440" s="4" t="s">
        <v>6034</v>
      </c>
    </row>
    <row r="2441" spans="1:5">
      <c r="A2441" s="4" t="s">
        <v>6248</v>
      </c>
      <c r="B2441" s="4" t="s">
        <v>6267</v>
      </c>
      <c r="C2441" s="4" t="s">
        <v>6256</v>
      </c>
      <c r="D2441" s="4" t="s">
        <v>6033</v>
      </c>
      <c r="E2441" s="4" t="s">
        <v>6034</v>
      </c>
    </row>
    <row r="2442" spans="1:5">
      <c r="A2442" s="4" t="s">
        <v>6248</v>
      </c>
      <c r="B2442" s="4" t="s">
        <v>6267</v>
      </c>
      <c r="C2442" s="4" t="s">
        <v>6257</v>
      </c>
      <c r="D2442" s="4" t="s">
        <v>6033</v>
      </c>
      <c r="E2442" s="4" t="s">
        <v>6034</v>
      </c>
    </row>
    <row r="2443" spans="1:5">
      <c r="A2443" s="4" t="s">
        <v>6248</v>
      </c>
      <c r="B2443" s="4" t="s">
        <v>6267</v>
      </c>
      <c r="C2443" s="4" t="s">
        <v>6258</v>
      </c>
      <c r="D2443" s="4" t="s">
        <v>6033</v>
      </c>
      <c r="E2443" s="4" t="s">
        <v>6034</v>
      </c>
    </row>
    <row r="2444" spans="1:5">
      <c r="A2444" s="4" t="s">
        <v>6248</v>
      </c>
      <c r="B2444" s="4" t="s">
        <v>6267</v>
      </c>
      <c r="C2444" s="4" t="s">
        <v>6259</v>
      </c>
      <c r="D2444" s="4" t="s">
        <v>6033</v>
      </c>
      <c r="E2444" s="4" t="s">
        <v>6034</v>
      </c>
    </row>
    <row r="2445" spans="1:5">
      <c r="A2445" s="4" t="s">
        <v>6248</v>
      </c>
      <c r="B2445" s="4" t="s">
        <v>6267</v>
      </c>
      <c r="C2445" s="4" t="s">
        <v>6260</v>
      </c>
      <c r="D2445" s="4" t="s">
        <v>6033</v>
      </c>
      <c r="E2445" s="4" t="s">
        <v>6034</v>
      </c>
    </row>
    <row r="2446" spans="1:5">
      <c r="A2446" s="4" t="s">
        <v>6248</v>
      </c>
      <c r="B2446" s="4" t="s">
        <v>6267</v>
      </c>
      <c r="C2446" s="4" t="s">
        <v>6261</v>
      </c>
      <c r="D2446" s="4" t="s">
        <v>6033</v>
      </c>
      <c r="E2446" s="4" t="s">
        <v>6034</v>
      </c>
    </row>
    <row r="2447" spans="1:5">
      <c r="A2447" s="4" t="s">
        <v>6248</v>
      </c>
      <c r="B2447" s="4" t="s">
        <v>6267</v>
      </c>
      <c r="C2447" s="4" t="s">
        <v>6262</v>
      </c>
      <c r="D2447" s="4" t="s">
        <v>6033</v>
      </c>
      <c r="E2447" s="4" t="s">
        <v>6034</v>
      </c>
    </row>
    <row r="2448" spans="1:5">
      <c r="A2448" s="4" t="s">
        <v>6248</v>
      </c>
      <c r="B2448" s="4" t="s">
        <v>6267</v>
      </c>
      <c r="C2448" s="4" t="s">
        <v>6263</v>
      </c>
      <c r="D2448" s="4" t="s">
        <v>6033</v>
      </c>
      <c r="E2448" s="4" t="s">
        <v>6034</v>
      </c>
    </row>
    <row r="2449" spans="1:5">
      <c r="A2449" s="4" t="s">
        <v>6248</v>
      </c>
      <c r="B2449" s="4" t="s">
        <v>6267</v>
      </c>
      <c r="C2449" s="4" t="s">
        <v>6264</v>
      </c>
      <c r="D2449" s="4" t="s">
        <v>6033</v>
      </c>
      <c r="E2449" s="4" t="s">
        <v>6034</v>
      </c>
    </row>
    <row r="2450" spans="1:5">
      <c r="A2450" s="4" t="s">
        <v>6248</v>
      </c>
      <c r="B2450" s="4" t="s">
        <v>6267</v>
      </c>
      <c r="C2450" s="4" t="s">
        <v>6265</v>
      </c>
      <c r="D2450" s="4" t="s">
        <v>6033</v>
      </c>
      <c r="E2450" s="4" t="s">
        <v>6034</v>
      </c>
    </row>
    <row r="2451" spans="1:5">
      <c r="A2451" s="4" t="s">
        <v>6248</v>
      </c>
      <c r="B2451" s="4" t="s">
        <v>6267</v>
      </c>
      <c r="C2451" s="4" t="s">
        <v>6266</v>
      </c>
      <c r="D2451" s="4" t="s">
        <v>6033</v>
      </c>
      <c r="E2451" s="4" t="s">
        <v>6034</v>
      </c>
    </row>
    <row r="2452" spans="1:5">
      <c r="A2452" s="4" t="s">
        <v>6248</v>
      </c>
      <c r="B2452" s="4" t="s">
        <v>6268</v>
      </c>
      <c r="C2452" s="4" t="s">
        <v>6250</v>
      </c>
      <c r="D2452" s="4" t="s">
        <v>6033</v>
      </c>
      <c r="E2452" s="4" t="s">
        <v>6034</v>
      </c>
    </row>
    <row r="2453" spans="1:5">
      <c r="A2453" s="4" t="s">
        <v>6248</v>
      </c>
      <c r="B2453" s="4" t="s">
        <v>6268</v>
      </c>
      <c r="C2453" s="4" t="s">
        <v>6249</v>
      </c>
      <c r="D2453" s="4" t="s">
        <v>6039</v>
      </c>
      <c r="E2453" s="4" t="s">
        <v>6040</v>
      </c>
    </row>
    <row r="2454" spans="1:5">
      <c r="A2454" s="4" t="s">
        <v>6248</v>
      </c>
      <c r="B2454" s="4" t="s">
        <v>6268</v>
      </c>
      <c r="C2454" s="4" t="s">
        <v>6251</v>
      </c>
      <c r="D2454" s="4" t="s">
        <v>6039</v>
      </c>
      <c r="E2454" s="4" t="s">
        <v>6040</v>
      </c>
    </row>
    <row r="2455" spans="1:5">
      <c r="A2455" s="4" t="s">
        <v>6248</v>
      </c>
      <c r="B2455" s="4" t="s">
        <v>6268</v>
      </c>
      <c r="C2455" s="4" t="s">
        <v>6252</v>
      </c>
      <c r="D2455" s="4" t="s">
        <v>6039</v>
      </c>
      <c r="E2455" s="4" t="s">
        <v>6040</v>
      </c>
    </row>
    <row r="2456" spans="1:5">
      <c r="A2456" s="4" t="s">
        <v>6248</v>
      </c>
      <c r="B2456" s="4" t="s">
        <v>6268</v>
      </c>
      <c r="C2456" s="4" t="s">
        <v>6253</v>
      </c>
      <c r="D2456" s="4" t="s">
        <v>6033</v>
      </c>
      <c r="E2456" s="4" t="s">
        <v>6034</v>
      </c>
    </row>
    <row r="2457" spans="1:5">
      <c r="A2457" s="4" t="s">
        <v>6248</v>
      </c>
      <c r="B2457" s="4" t="s">
        <v>6268</v>
      </c>
      <c r="C2457" s="4" t="s">
        <v>6254</v>
      </c>
      <c r="D2457" s="4" t="s">
        <v>6039</v>
      </c>
      <c r="E2457" s="4" t="s">
        <v>6040</v>
      </c>
    </row>
    <row r="2458" spans="1:5">
      <c r="A2458" s="4" t="s">
        <v>6248</v>
      </c>
      <c r="B2458" s="4" t="s">
        <v>6268</v>
      </c>
      <c r="C2458" s="4" t="s">
        <v>6255</v>
      </c>
      <c r="D2458" s="4" t="s">
        <v>6039</v>
      </c>
      <c r="E2458" s="4" t="s">
        <v>6040</v>
      </c>
    </row>
    <row r="2459" spans="1:5">
      <c r="A2459" s="4" t="s">
        <v>6248</v>
      </c>
      <c r="B2459" s="4" t="s">
        <v>6268</v>
      </c>
      <c r="C2459" s="4" t="s">
        <v>6256</v>
      </c>
      <c r="D2459" s="4" t="s">
        <v>6039</v>
      </c>
      <c r="E2459" s="4" t="s">
        <v>6040</v>
      </c>
    </row>
    <row r="2460" spans="1:5">
      <c r="A2460" s="4" t="s">
        <v>6248</v>
      </c>
      <c r="B2460" s="4" t="s">
        <v>6268</v>
      </c>
      <c r="C2460" s="4" t="s">
        <v>6257</v>
      </c>
      <c r="D2460" s="4" t="s">
        <v>6033</v>
      </c>
      <c r="E2460" s="4" t="s">
        <v>6034</v>
      </c>
    </row>
    <row r="2461" spans="1:5">
      <c r="A2461" s="4" t="s">
        <v>6248</v>
      </c>
      <c r="B2461" s="4" t="s">
        <v>6268</v>
      </c>
      <c r="C2461" s="4" t="s">
        <v>6258</v>
      </c>
      <c r="D2461" s="4" t="s">
        <v>6039</v>
      </c>
      <c r="E2461" s="4" t="s">
        <v>6040</v>
      </c>
    </row>
    <row r="2462" spans="1:5">
      <c r="A2462" s="4" t="s">
        <v>6248</v>
      </c>
      <c r="B2462" s="4" t="s">
        <v>6268</v>
      </c>
      <c r="C2462" s="4" t="s">
        <v>6259</v>
      </c>
      <c r="D2462" s="4" t="s">
        <v>6039</v>
      </c>
      <c r="E2462" s="4" t="s">
        <v>6040</v>
      </c>
    </row>
    <row r="2463" spans="1:5">
      <c r="A2463" s="4" t="s">
        <v>6248</v>
      </c>
      <c r="B2463" s="4" t="s">
        <v>6268</v>
      </c>
      <c r="C2463" s="4" t="s">
        <v>6260</v>
      </c>
      <c r="D2463" s="4" t="s">
        <v>6039</v>
      </c>
      <c r="E2463" s="4" t="s">
        <v>6040</v>
      </c>
    </row>
    <row r="2464" spans="1:5">
      <c r="A2464" s="4" t="s">
        <v>6248</v>
      </c>
      <c r="B2464" s="4" t="s">
        <v>6268</v>
      </c>
      <c r="C2464" s="4" t="s">
        <v>6261</v>
      </c>
      <c r="D2464" s="4" t="s">
        <v>6039</v>
      </c>
      <c r="E2464" s="4" t="s">
        <v>6040</v>
      </c>
    </row>
    <row r="2465" spans="1:5">
      <c r="A2465" s="4" t="s">
        <v>6248</v>
      </c>
      <c r="B2465" s="4" t="s">
        <v>6268</v>
      </c>
      <c r="C2465" s="4" t="s">
        <v>6262</v>
      </c>
      <c r="D2465" s="4" t="s">
        <v>6039</v>
      </c>
      <c r="E2465" s="4" t="s">
        <v>6040</v>
      </c>
    </row>
    <row r="2466" spans="1:5">
      <c r="A2466" s="4" t="s">
        <v>6248</v>
      </c>
      <c r="B2466" s="4" t="s">
        <v>6268</v>
      </c>
      <c r="C2466" s="4" t="s">
        <v>6263</v>
      </c>
      <c r="D2466" s="4" t="s">
        <v>6039</v>
      </c>
      <c r="E2466" s="4" t="s">
        <v>6040</v>
      </c>
    </row>
    <row r="2467" spans="1:5">
      <c r="A2467" s="4" t="s">
        <v>6248</v>
      </c>
      <c r="B2467" s="4" t="s">
        <v>6268</v>
      </c>
      <c r="C2467" s="4" t="s">
        <v>6264</v>
      </c>
      <c r="D2467" s="4" t="s">
        <v>6039</v>
      </c>
      <c r="E2467" s="4" t="s">
        <v>6040</v>
      </c>
    </row>
    <row r="2468" spans="1:5">
      <c r="A2468" s="4" t="s">
        <v>6248</v>
      </c>
      <c r="B2468" s="4" t="s">
        <v>6268</v>
      </c>
      <c r="C2468" s="4" t="s">
        <v>6265</v>
      </c>
      <c r="D2468" s="4" t="s">
        <v>6039</v>
      </c>
      <c r="E2468" s="4" t="s">
        <v>6040</v>
      </c>
    </row>
    <row r="2469" spans="1:5">
      <c r="A2469" s="4" t="s">
        <v>6248</v>
      </c>
      <c r="B2469" s="4" t="s">
        <v>6268</v>
      </c>
      <c r="C2469" s="4" t="s">
        <v>6266</v>
      </c>
      <c r="D2469" s="4" t="s">
        <v>6039</v>
      </c>
      <c r="E2469" s="4" t="s">
        <v>6040</v>
      </c>
    </row>
    <row r="2470" spans="1:5">
      <c r="A2470" s="4" t="s">
        <v>6248</v>
      </c>
      <c r="B2470" s="4" t="s">
        <v>6268</v>
      </c>
      <c r="C2470" s="4" t="s">
        <v>6267</v>
      </c>
      <c r="D2470" s="4" t="s">
        <v>6039</v>
      </c>
      <c r="E2470" s="4" t="s">
        <v>6040</v>
      </c>
    </row>
    <row r="2471" spans="1:5">
      <c r="A2471" s="4" t="s">
        <v>6248</v>
      </c>
      <c r="B2471" s="4" t="s">
        <v>6269</v>
      </c>
      <c r="C2471" s="4" t="s">
        <v>6250</v>
      </c>
      <c r="D2471" s="4" t="s">
        <v>6033</v>
      </c>
      <c r="E2471" s="4" t="s">
        <v>6034</v>
      </c>
    </row>
    <row r="2472" spans="1:5">
      <c r="A2472" s="4" t="s">
        <v>6248</v>
      </c>
      <c r="B2472" s="4" t="s">
        <v>6269</v>
      </c>
      <c r="C2472" s="4" t="s">
        <v>6249</v>
      </c>
      <c r="D2472" s="4" t="s">
        <v>6033</v>
      </c>
      <c r="E2472" s="4" t="s">
        <v>6034</v>
      </c>
    </row>
    <row r="2473" spans="1:5">
      <c r="A2473" s="4" t="s">
        <v>6248</v>
      </c>
      <c r="B2473" s="4" t="s">
        <v>6269</v>
      </c>
      <c r="C2473" s="4" t="s">
        <v>6251</v>
      </c>
      <c r="D2473" s="4" t="s">
        <v>6033</v>
      </c>
      <c r="E2473" s="4" t="s">
        <v>6034</v>
      </c>
    </row>
    <row r="2474" spans="1:5">
      <c r="A2474" s="4" t="s">
        <v>6248</v>
      </c>
      <c r="B2474" s="4" t="s">
        <v>6269</v>
      </c>
      <c r="C2474" s="4" t="s">
        <v>6252</v>
      </c>
      <c r="D2474" s="4" t="s">
        <v>6033</v>
      </c>
      <c r="E2474" s="4" t="s">
        <v>6034</v>
      </c>
    </row>
    <row r="2475" spans="1:5">
      <c r="A2475" s="4" t="s">
        <v>6248</v>
      </c>
      <c r="B2475" s="4" t="s">
        <v>6269</v>
      </c>
      <c r="C2475" s="4" t="s">
        <v>6253</v>
      </c>
      <c r="D2475" s="4" t="s">
        <v>6033</v>
      </c>
      <c r="E2475" s="4" t="s">
        <v>6034</v>
      </c>
    </row>
    <row r="2476" spans="1:5">
      <c r="A2476" s="4" t="s">
        <v>6248</v>
      </c>
      <c r="B2476" s="4" t="s">
        <v>6269</v>
      </c>
      <c r="C2476" s="4" t="s">
        <v>6254</v>
      </c>
      <c r="D2476" s="4" t="s">
        <v>6033</v>
      </c>
      <c r="E2476" s="4" t="s">
        <v>6034</v>
      </c>
    </row>
    <row r="2477" spans="1:5">
      <c r="A2477" s="4" t="s">
        <v>6248</v>
      </c>
      <c r="B2477" s="4" t="s">
        <v>6269</v>
      </c>
      <c r="C2477" s="4" t="s">
        <v>6255</v>
      </c>
      <c r="D2477" s="4" t="s">
        <v>6033</v>
      </c>
      <c r="E2477" s="4" t="s">
        <v>6034</v>
      </c>
    </row>
    <row r="2478" spans="1:5">
      <c r="A2478" s="4" t="s">
        <v>6248</v>
      </c>
      <c r="B2478" s="4" t="s">
        <v>6269</v>
      </c>
      <c r="C2478" s="4" t="s">
        <v>6256</v>
      </c>
      <c r="D2478" s="4" t="s">
        <v>6033</v>
      </c>
      <c r="E2478" s="4" t="s">
        <v>6034</v>
      </c>
    </row>
    <row r="2479" spans="1:5">
      <c r="A2479" s="4" t="s">
        <v>6248</v>
      </c>
      <c r="B2479" s="4" t="s">
        <v>6269</v>
      </c>
      <c r="C2479" s="4" t="s">
        <v>6257</v>
      </c>
      <c r="D2479" s="4" t="s">
        <v>6033</v>
      </c>
      <c r="E2479" s="4" t="s">
        <v>6034</v>
      </c>
    </row>
    <row r="2480" spans="1:5">
      <c r="A2480" s="4" t="s">
        <v>6248</v>
      </c>
      <c r="B2480" s="4" t="s">
        <v>6269</v>
      </c>
      <c r="C2480" s="4" t="s">
        <v>6258</v>
      </c>
      <c r="D2480" s="4" t="s">
        <v>6033</v>
      </c>
      <c r="E2480" s="4" t="s">
        <v>6034</v>
      </c>
    </row>
    <row r="2481" spans="1:5">
      <c r="A2481" s="4" t="s">
        <v>6248</v>
      </c>
      <c r="B2481" s="4" t="s">
        <v>6269</v>
      </c>
      <c r="C2481" s="4" t="s">
        <v>6259</v>
      </c>
      <c r="D2481" s="4" t="s">
        <v>6033</v>
      </c>
      <c r="E2481" s="4" t="s">
        <v>6034</v>
      </c>
    </row>
    <row r="2482" spans="1:5">
      <c r="A2482" s="4" t="s">
        <v>6248</v>
      </c>
      <c r="B2482" s="4" t="s">
        <v>6269</v>
      </c>
      <c r="C2482" s="4" t="s">
        <v>6260</v>
      </c>
      <c r="D2482" s="4" t="s">
        <v>6033</v>
      </c>
      <c r="E2482" s="4" t="s">
        <v>6034</v>
      </c>
    </row>
    <row r="2483" spans="1:5">
      <c r="A2483" s="4" t="s">
        <v>6248</v>
      </c>
      <c r="B2483" s="4" t="s">
        <v>6269</v>
      </c>
      <c r="C2483" s="4" t="s">
        <v>6261</v>
      </c>
      <c r="D2483" s="4" t="s">
        <v>6033</v>
      </c>
      <c r="E2483" s="4" t="s">
        <v>6034</v>
      </c>
    </row>
    <row r="2484" spans="1:5">
      <c r="A2484" s="4" t="s">
        <v>6248</v>
      </c>
      <c r="B2484" s="4" t="s">
        <v>6269</v>
      </c>
      <c r="C2484" s="4" t="s">
        <v>6262</v>
      </c>
      <c r="D2484" s="4" t="s">
        <v>6033</v>
      </c>
      <c r="E2484" s="4" t="s">
        <v>6034</v>
      </c>
    </row>
    <row r="2485" spans="1:5">
      <c r="A2485" s="4" t="s">
        <v>6248</v>
      </c>
      <c r="B2485" s="4" t="s">
        <v>6269</v>
      </c>
      <c r="C2485" s="4" t="s">
        <v>6263</v>
      </c>
      <c r="D2485" s="4" t="s">
        <v>6033</v>
      </c>
      <c r="E2485" s="4" t="s">
        <v>6034</v>
      </c>
    </row>
    <row r="2486" spans="1:5">
      <c r="A2486" s="4" t="s">
        <v>6248</v>
      </c>
      <c r="B2486" s="4" t="s">
        <v>6269</v>
      </c>
      <c r="C2486" s="4" t="s">
        <v>6264</v>
      </c>
      <c r="D2486" s="4" t="s">
        <v>6039</v>
      </c>
      <c r="E2486" s="4" t="s">
        <v>6040</v>
      </c>
    </row>
    <row r="2487" spans="1:5">
      <c r="A2487" s="4" t="s">
        <v>6248</v>
      </c>
      <c r="B2487" s="4" t="s">
        <v>6269</v>
      </c>
      <c r="C2487" s="4" t="s">
        <v>6265</v>
      </c>
      <c r="D2487" s="4" t="s">
        <v>6039</v>
      </c>
      <c r="E2487" s="4" t="s">
        <v>6040</v>
      </c>
    </row>
    <row r="2488" spans="1:5">
      <c r="A2488" s="4" t="s">
        <v>6248</v>
      </c>
      <c r="B2488" s="4" t="s">
        <v>6269</v>
      </c>
      <c r="C2488" s="4" t="s">
        <v>6266</v>
      </c>
      <c r="D2488" s="4" t="s">
        <v>6039</v>
      </c>
      <c r="E2488" s="4" t="s">
        <v>6040</v>
      </c>
    </row>
    <row r="2489" spans="1:5">
      <c r="A2489" s="4" t="s">
        <v>6248</v>
      </c>
      <c r="B2489" s="4" t="s">
        <v>6269</v>
      </c>
      <c r="C2489" s="4" t="s">
        <v>6267</v>
      </c>
      <c r="D2489" s="4" t="s">
        <v>6039</v>
      </c>
      <c r="E2489" s="4" t="s">
        <v>6040</v>
      </c>
    </row>
    <row r="2490" spans="1:5">
      <c r="A2490" s="4" t="s">
        <v>6248</v>
      </c>
      <c r="B2490" s="4" t="s">
        <v>6269</v>
      </c>
      <c r="C2490" s="4" t="s">
        <v>6268</v>
      </c>
      <c r="D2490" s="4" t="s">
        <v>6033</v>
      </c>
      <c r="E2490" s="4" t="s">
        <v>6034</v>
      </c>
    </row>
    <row r="2491" spans="1:5">
      <c r="A2491" s="4" t="s">
        <v>6248</v>
      </c>
      <c r="B2491" s="4" t="s">
        <v>6270</v>
      </c>
      <c r="C2491" s="4" t="s">
        <v>6250</v>
      </c>
      <c r="D2491" s="4" t="s">
        <v>6033</v>
      </c>
      <c r="E2491" s="4" t="s">
        <v>6034</v>
      </c>
    </row>
    <row r="2492" spans="1:5">
      <c r="A2492" s="4" t="s">
        <v>6248</v>
      </c>
      <c r="B2492" s="4" t="s">
        <v>6270</v>
      </c>
      <c r="C2492" s="4" t="s">
        <v>6249</v>
      </c>
      <c r="D2492" s="4" t="s">
        <v>6033</v>
      </c>
      <c r="E2492" s="4" t="s">
        <v>6034</v>
      </c>
    </row>
    <row r="2493" spans="1:5">
      <c r="A2493" s="4" t="s">
        <v>6248</v>
      </c>
      <c r="B2493" s="4" t="s">
        <v>6270</v>
      </c>
      <c r="C2493" s="4" t="s">
        <v>6251</v>
      </c>
      <c r="D2493" s="4" t="s">
        <v>6033</v>
      </c>
      <c r="E2493" s="4" t="s">
        <v>6034</v>
      </c>
    </row>
    <row r="2494" spans="1:5">
      <c r="A2494" s="4" t="s">
        <v>6248</v>
      </c>
      <c r="B2494" s="4" t="s">
        <v>6270</v>
      </c>
      <c r="C2494" s="4" t="s">
        <v>6252</v>
      </c>
      <c r="D2494" s="4" t="s">
        <v>6033</v>
      </c>
      <c r="E2494" s="4" t="s">
        <v>6034</v>
      </c>
    </row>
    <row r="2495" spans="1:5">
      <c r="A2495" s="4" t="s">
        <v>6248</v>
      </c>
      <c r="B2495" s="4" t="s">
        <v>6270</v>
      </c>
      <c r="C2495" s="4" t="s">
        <v>6253</v>
      </c>
      <c r="D2495" s="4" t="s">
        <v>6033</v>
      </c>
      <c r="E2495" s="4" t="s">
        <v>6034</v>
      </c>
    </row>
    <row r="2496" spans="1:5">
      <c r="A2496" s="4" t="s">
        <v>6248</v>
      </c>
      <c r="B2496" s="4" t="s">
        <v>6270</v>
      </c>
      <c r="C2496" s="4" t="s">
        <v>6254</v>
      </c>
      <c r="D2496" s="4" t="s">
        <v>6033</v>
      </c>
      <c r="E2496" s="4" t="s">
        <v>6034</v>
      </c>
    </row>
    <row r="2497" spans="1:5">
      <c r="A2497" s="4" t="s">
        <v>6248</v>
      </c>
      <c r="B2497" s="4" t="s">
        <v>6270</v>
      </c>
      <c r="C2497" s="4" t="s">
        <v>6255</v>
      </c>
      <c r="D2497" s="4" t="s">
        <v>6033</v>
      </c>
      <c r="E2497" s="4" t="s">
        <v>6034</v>
      </c>
    </row>
    <row r="2498" spans="1:5">
      <c r="A2498" s="4" t="s">
        <v>6248</v>
      </c>
      <c r="B2498" s="4" t="s">
        <v>6270</v>
      </c>
      <c r="C2498" s="4" t="s">
        <v>6256</v>
      </c>
      <c r="D2498" s="4" t="s">
        <v>6033</v>
      </c>
      <c r="E2498" s="4" t="s">
        <v>6034</v>
      </c>
    </row>
    <row r="2499" spans="1:5">
      <c r="A2499" s="4" t="s">
        <v>6248</v>
      </c>
      <c r="B2499" s="4" t="s">
        <v>6270</v>
      </c>
      <c r="C2499" s="4" t="s">
        <v>6257</v>
      </c>
      <c r="D2499" s="4" t="s">
        <v>6033</v>
      </c>
      <c r="E2499" s="4" t="s">
        <v>6034</v>
      </c>
    </row>
    <row r="2500" spans="1:5">
      <c r="A2500" s="4" t="s">
        <v>6248</v>
      </c>
      <c r="B2500" s="4" t="s">
        <v>6270</v>
      </c>
      <c r="C2500" s="4" t="s">
        <v>6258</v>
      </c>
      <c r="D2500" s="4" t="s">
        <v>6033</v>
      </c>
      <c r="E2500" s="4" t="s">
        <v>6034</v>
      </c>
    </row>
    <row r="2501" spans="1:5">
      <c r="A2501" s="4" t="s">
        <v>6248</v>
      </c>
      <c r="B2501" s="4" t="s">
        <v>6270</v>
      </c>
      <c r="C2501" s="4" t="s">
        <v>6259</v>
      </c>
      <c r="D2501" s="4" t="s">
        <v>6033</v>
      </c>
      <c r="E2501" s="4" t="s">
        <v>6034</v>
      </c>
    </row>
    <row r="2502" spans="1:5">
      <c r="A2502" s="4" t="s">
        <v>6248</v>
      </c>
      <c r="B2502" s="4" t="s">
        <v>6270</v>
      </c>
      <c r="C2502" s="4" t="s">
        <v>6260</v>
      </c>
      <c r="D2502" s="4" t="s">
        <v>6033</v>
      </c>
      <c r="E2502" s="4" t="s">
        <v>6034</v>
      </c>
    </row>
    <row r="2503" spans="1:5">
      <c r="A2503" s="4" t="s">
        <v>6248</v>
      </c>
      <c r="B2503" s="4" t="s">
        <v>6270</v>
      </c>
      <c r="C2503" s="4" t="s">
        <v>6261</v>
      </c>
      <c r="D2503" s="4" t="s">
        <v>6033</v>
      </c>
      <c r="E2503" s="4" t="s">
        <v>6034</v>
      </c>
    </row>
    <row r="2504" spans="1:5">
      <c r="A2504" s="4" t="s">
        <v>6248</v>
      </c>
      <c r="B2504" s="4" t="s">
        <v>6270</v>
      </c>
      <c r="C2504" s="4" t="s">
        <v>6262</v>
      </c>
      <c r="D2504" s="4" t="s">
        <v>6033</v>
      </c>
      <c r="E2504" s="4" t="s">
        <v>6034</v>
      </c>
    </row>
    <row r="2505" spans="1:5">
      <c r="A2505" s="4" t="s">
        <v>6248</v>
      </c>
      <c r="B2505" s="4" t="s">
        <v>6270</v>
      </c>
      <c r="C2505" s="4" t="s">
        <v>6263</v>
      </c>
      <c r="D2505" s="4" t="s">
        <v>6033</v>
      </c>
      <c r="E2505" s="4" t="s">
        <v>6034</v>
      </c>
    </row>
    <row r="2506" spans="1:5">
      <c r="A2506" s="4" t="s">
        <v>6248</v>
      </c>
      <c r="B2506" s="4" t="s">
        <v>6270</v>
      </c>
      <c r="C2506" s="4" t="s">
        <v>6264</v>
      </c>
      <c r="D2506" s="4" t="s">
        <v>6033</v>
      </c>
      <c r="E2506" s="4" t="s">
        <v>6034</v>
      </c>
    </row>
    <row r="2507" spans="1:5">
      <c r="A2507" s="4" t="s">
        <v>6248</v>
      </c>
      <c r="B2507" s="4" t="s">
        <v>6270</v>
      </c>
      <c r="C2507" s="4" t="s">
        <v>6265</v>
      </c>
      <c r="D2507" s="4" t="s">
        <v>6033</v>
      </c>
      <c r="E2507" s="4" t="s">
        <v>6034</v>
      </c>
    </row>
    <row r="2508" spans="1:5">
      <c r="A2508" s="4" t="s">
        <v>6248</v>
      </c>
      <c r="B2508" s="4" t="s">
        <v>6270</v>
      </c>
      <c r="C2508" s="4" t="s">
        <v>6266</v>
      </c>
      <c r="D2508" s="4" t="s">
        <v>6033</v>
      </c>
      <c r="E2508" s="4" t="s">
        <v>6034</v>
      </c>
    </row>
    <row r="2509" spans="1:5">
      <c r="A2509" s="4" t="s">
        <v>6248</v>
      </c>
      <c r="B2509" s="4" t="s">
        <v>6270</v>
      </c>
      <c r="C2509" s="4" t="s">
        <v>6267</v>
      </c>
      <c r="D2509" s="4" t="s">
        <v>6033</v>
      </c>
      <c r="E2509" s="4" t="s">
        <v>6034</v>
      </c>
    </row>
    <row r="2510" spans="1:5">
      <c r="A2510" s="4" t="s">
        <v>6248</v>
      </c>
      <c r="B2510" s="4" t="s">
        <v>6270</v>
      </c>
      <c r="C2510" s="4" t="s">
        <v>6268</v>
      </c>
      <c r="D2510" s="4" t="s">
        <v>6033</v>
      </c>
      <c r="E2510" s="4" t="s">
        <v>6034</v>
      </c>
    </row>
    <row r="2511" spans="1:5">
      <c r="A2511" s="4" t="s">
        <v>6248</v>
      </c>
      <c r="B2511" s="4" t="s">
        <v>6270</v>
      </c>
      <c r="C2511" s="4" t="s">
        <v>6269</v>
      </c>
      <c r="D2511" s="4" t="s">
        <v>6033</v>
      </c>
      <c r="E2511" s="4" t="s">
        <v>6034</v>
      </c>
    </row>
    <row r="2512" spans="1:5">
      <c r="A2512" s="4" t="s">
        <v>6248</v>
      </c>
      <c r="B2512" s="4" t="s">
        <v>6271</v>
      </c>
      <c r="C2512" s="4" t="s">
        <v>6250</v>
      </c>
      <c r="D2512" s="4" t="s">
        <v>6033</v>
      </c>
      <c r="E2512" s="4" t="s">
        <v>6034</v>
      </c>
    </row>
    <row r="2513" spans="1:5">
      <c r="A2513" s="4" t="s">
        <v>6248</v>
      </c>
      <c r="B2513" s="4" t="s">
        <v>6271</v>
      </c>
      <c r="C2513" s="4" t="s">
        <v>6249</v>
      </c>
      <c r="D2513" s="4" t="s">
        <v>6033</v>
      </c>
      <c r="E2513" s="4" t="s">
        <v>6034</v>
      </c>
    </row>
    <row r="2514" spans="1:5">
      <c r="A2514" s="4" t="s">
        <v>6248</v>
      </c>
      <c r="B2514" s="4" t="s">
        <v>6271</v>
      </c>
      <c r="C2514" s="4" t="s">
        <v>6251</v>
      </c>
      <c r="D2514" s="4" t="s">
        <v>6033</v>
      </c>
      <c r="E2514" s="4" t="s">
        <v>6034</v>
      </c>
    </row>
    <row r="2515" spans="1:5">
      <c r="A2515" s="4" t="s">
        <v>6248</v>
      </c>
      <c r="B2515" s="4" t="s">
        <v>6271</v>
      </c>
      <c r="C2515" s="4" t="s">
        <v>6252</v>
      </c>
      <c r="D2515" s="4" t="s">
        <v>6033</v>
      </c>
      <c r="E2515" s="4" t="s">
        <v>6034</v>
      </c>
    </row>
    <row r="2516" spans="1:5">
      <c r="A2516" s="4" t="s">
        <v>6248</v>
      </c>
      <c r="B2516" s="4" t="s">
        <v>6271</v>
      </c>
      <c r="C2516" s="4" t="s">
        <v>6253</v>
      </c>
      <c r="D2516" s="4" t="s">
        <v>6033</v>
      </c>
      <c r="E2516" s="4" t="s">
        <v>6034</v>
      </c>
    </row>
    <row r="2517" spans="1:5">
      <c r="A2517" s="4" t="s">
        <v>6248</v>
      </c>
      <c r="B2517" s="4" t="s">
        <v>6271</v>
      </c>
      <c r="C2517" s="4" t="s">
        <v>6254</v>
      </c>
      <c r="D2517" s="4" t="s">
        <v>6033</v>
      </c>
      <c r="E2517" s="4" t="s">
        <v>6034</v>
      </c>
    </row>
    <row r="2518" spans="1:5">
      <c r="A2518" s="4" t="s">
        <v>6248</v>
      </c>
      <c r="B2518" s="4" t="s">
        <v>6271</v>
      </c>
      <c r="C2518" s="4" t="s">
        <v>6255</v>
      </c>
      <c r="D2518" s="4" t="s">
        <v>6033</v>
      </c>
      <c r="E2518" s="4" t="s">
        <v>6034</v>
      </c>
    </row>
    <row r="2519" spans="1:5">
      <c r="A2519" s="4" t="s">
        <v>6248</v>
      </c>
      <c r="B2519" s="4" t="s">
        <v>6271</v>
      </c>
      <c r="C2519" s="4" t="s">
        <v>6256</v>
      </c>
      <c r="D2519" s="4" t="s">
        <v>6033</v>
      </c>
      <c r="E2519" s="4" t="s">
        <v>6034</v>
      </c>
    </row>
    <row r="2520" spans="1:5">
      <c r="A2520" s="4" t="s">
        <v>6248</v>
      </c>
      <c r="B2520" s="4" t="s">
        <v>6271</v>
      </c>
      <c r="C2520" s="4" t="s">
        <v>6257</v>
      </c>
      <c r="D2520" s="4" t="s">
        <v>6033</v>
      </c>
      <c r="E2520" s="4" t="s">
        <v>6034</v>
      </c>
    </row>
    <row r="2521" spans="1:5">
      <c r="A2521" s="4" t="s">
        <v>6248</v>
      </c>
      <c r="B2521" s="4" t="s">
        <v>6271</v>
      </c>
      <c r="C2521" s="4" t="s">
        <v>6258</v>
      </c>
      <c r="D2521" s="4" t="s">
        <v>6033</v>
      </c>
      <c r="E2521" s="4" t="s">
        <v>6034</v>
      </c>
    </row>
    <row r="2522" spans="1:5">
      <c r="A2522" s="4" t="s">
        <v>6248</v>
      </c>
      <c r="B2522" s="4" t="s">
        <v>6271</v>
      </c>
      <c r="C2522" s="4" t="s">
        <v>6259</v>
      </c>
      <c r="D2522" s="4" t="s">
        <v>6033</v>
      </c>
      <c r="E2522" s="4" t="s">
        <v>6034</v>
      </c>
    </row>
    <row r="2523" spans="1:5">
      <c r="A2523" s="4" t="s">
        <v>6248</v>
      </c>
      <c r="B2523" s="4" t="s">
        <v>6271</v>
      </c>
      <c r="C2523" s="4" t="s">
        <v>6260</v>
      </c>
      <c r="D2523" s="4" t="s">
        <v>6033</v>
      </c>
      <c r="E2523" s="4" t="s">
        <v>6034</v>
      </c>
    </row>
    <row r="2524" spans="1:5">
      <c r="A2524" s="4" t="s">
        <v>6248</v>
      </c>
      <c r="B2524" s="4" t="s">
        <v>6271</v>
      </c>
      <c r="C2524" s="4" t="s">
        <v>6261</v>
      </c>
      <c r="D2524" s="4" t="s">
        <v>6033</v>
      </c>
      <c r="E2524" s="4" t="s">
        <v>6034</v>
      </c>
    </row>
    <row r="2525" spans="1:5">
      <c r="A2525" s="4" t="s">
        <v>6248</v>
      </c>
      <c r="B2525" s="4" t="s">
        <v>6271</v>
      </c>
      <c r="C2525" s="4" t="s">
        <v>6262</v>
      </c>
      <c r="D2525" s="4" t="s">
        <v>6033</v>
      </c>
      <c r="E2525" s="4" t="s">
        <v>6034</v>
      </c>
    </row>
    <row r="2526" spans="1:5">
      <c r="A2526" s="4" t="s">
        <v>6248</v>
      </c>
      <c r="B2526" s="4" t="s">
        <v>6271</v>
      </c>
      <c r="C2526" s="4" t="s">
        <v>6263</v>
      </c>
      <c r="D2526" s="4" t="s">
        <v>6033</v>
      </c>
      <c r="E2526" s="4" t="s">
        <v>6034</v>
      </c>
    </row>
    <row r="2527" spans="1:5">
      <c r="A2527" s="4" t="s">
        <v>6248</v>
      </c>
      <c r="B2527" s="4" t="s">
        <v>6271</v>
      </c>
      <c r="C2527" s="4" t="s">
        <v>6264</v>
      </c>
      <c r="D2527" s="4" t="s">
        <v>6033</v>
      </c>
      <c r="E2527" s="4" t="s">
        <v>6034</v>
      </c>
    </row>
    <row r="2528" spans="1:5">
      <c r="A2528" s="4" t="s">
        <v>6248</v>
      </c>
      <c r="B2528" s="4" t="s">
        <v>6271</v>
      </c>
      <c r="C2528" s="4" t="s">
        <v>6265</v>
      </c>
      <c r="D2528" s="4" t="s">
        <v>6033</v>
      </c>
      <c r="E2528" s="4" t="s">
        <v>6034</v>
      </c>
    </row>
    <row r="2529" spans="1:5">
      <c r="A2529" s="4" t="s">
        <v>6248</v>
      </c>
      <c r="B2529" s="4" t="s">
        <v>6271</v>
      </c>
      <c r="C2529" s="4" t="s">
        <v>6266</v>
      </c>
      <c r="D2529" s="4" t="s">
        <v>6033</v>
      </c>
      <c r="E2529" s="4" t="s">
        <v>6034</v>
      </c>
    </row>
    <row r="2530" spans="1:5">
      <c r="A2530" s="4" t="s">
        <v>6248</v>
      </c>
      <c r="B2530" s="4" t="s">
        <v>6271</v>
      </c>
      <c r="C2530" s="4" t="s">
        <v>6267</v>
      </c>
      <c r="D2530" s="4" t="s">
        <v>6033</v>
      </c>
      <c r="E2530" s="4" t="s">
        <v>6034</v>
      </c>
    </row>
    <row r="2531" spans="1:5">
      <c r="A2531" s="4" t="s">
        <v>6248</v>
      </c>
      <c r="B2531" s="4" t="s">
        <v>6271</v>
      </c>
      <c r="C2531" s="4" t="s">
        <v>6268</v>
      </c>
      <c r="D2531" s="4" t="s">
        <v>6033</v>
      </c>
      <c r="E2531" s="4" t="s">
        <v>6034</v>
      </c>
    </row>
    <row r="2532" spans="1:5">
      <c r="A2532" s="4" t="s">
        <v>6248</v>
      </c>
      <c r="B2532" s="4" t="s">
        <v>6271</v>
      </c>
      <c r="C2532" s="4" t="s">
        <v>6269</v>
      </c>
      <c r="D2532" s="4" t="s">
        <v>6033</v>
      </c>
      <c r="E2532" s="4" t="s">
        <v>6034</v>
      </c>
    </row>
    <row r="2533" spans="1:5">
      <c r="A2533" s="4" t="s">
        <v>6248</v>
      </c>
      <c r="B2533" s="4" t="s">
        <v>6271</v>
      </c>
      <c r="C2533" s="4" t="s">
        <v>6270</v>
      </c>
      <c r="D2533" s="4" t="s">
        <v>6033</v>
      </c>
      <c r="E2533" s="4" t="s">
        <v>6034</v>
      </c>
    </row>
    <row r="2534" spans="1:5">
      <c r="A2534" s="4" t="s">
        <v>6248</v>
      </c>
      <c r="B2534" s="4" t="s">
        <v>6272</v>
      </c>
      <c r="C2534" s="4" t="s">
        <v>6250</v>
      </c>
      <c r="D2534" s="4" t="s">
        <v>6033</v>
      </c>
      <c r="E2534" s="4" t="s">
        <v>6034</v>
      </c>
    </row>
    <row r="2535" spans="1:5">
      <c r="A2535" s="4" t="s">
        <v>6248</v>
      </c>
      <c r="B2535" s="4" t="s">
        <v>6272</v>
      </c>
      <c r="C2535" s="4" t="s">
        <v>6249</v>
      </c>
      <c r="D2535" s="4" t="s">
        <v>6033</v>
      </c>
      <c r="E2535" s="4" t="s">
        <v>6034</v>
      </c>
    </row>
    <row r="2536" spans="1:5">
      <c r="A2536" s="4" t="s">
        <v>6248</v>
      </c>
      <c r="B2536" s="4" t="s">
        <v>6272</v>
      </c>
      <c r="C2536" s="4" t="s">
        <v>6251</v>
      </c>
      <c r="D2536" s="4" t="s">
        <v>6033</v>
      </c>
      <c r="E2536" s="4" t="s">
        <v>6034</v>
      </c>
    </row>
    <row r="2537" spans="1:5">
      <c r="A2537" s="4" t="s">
        <v>6248</v>
      </c>
      <c r="B2537" s="4" t="s">
        <v>6272</v>
      </c>
      <c r="C2537" s="4" t="s">
        <v>6252</v>
      </c>
      <c r="D2537" s="4" t="s">
        <v>6033</v>
      </c>
      <c r="E2537" s="4" t="s">
        <v>6034</v>
      </c>
    </row>
    <row r="2538" spans="1:5">
      <c r="A2538" s="4" t="s">
        <v>6248</v>
      </c>
      <c r="B2538" s="4" t="s">
        <v>6272</v>
      </c>
      <c r="C2538" s="4" t="s">
        <v>6253</v>
      </c>
      <c r="D2538" s="4" t="s">
        <v>6033</v>
      </c>
      <c r="E2538" s="4" t="s">
        <v>6034</v>
      </c>
    </row>
    <row r="2539" spans="1:5">
      <c r="A2539" s="4" t="s">
        <v>6248</v>
      </c>
      <c r="B2539" s="4" t="s">
        <v>6272</v>
      </c>
      <c r="C2539" s="4" t="s">
        <v>6254</v>
      </c>
      <c r="D2539" s="4" t="s">
        <v>6033</v>
      </c>
      <c r="E2539" s="4" t="s">
        <v>6034</v>
      </c>
    </row>
    <row r="2540" spans="1:5">
      <c r="A2540" s="4" t="s">
        <v>6248</v>
      </c>
      <c r="B2540" s="4" t="s">
        <v>6272</v>
      </c>
      <c r="C2540" s="4" t="s">
        <v>6255</v>
      </c>
      <c r="D2540" s="4" t="s">
        <v>6033</v>
      </c>
      <c r="E2540" s="4" t="s">
        <v>6034</v>
      </c>
    </row>
    <row r="2541" spans="1:5">
      <c r="A2541" s="4" t="s">
        <v>6248</v>
      </c>
      <c r="B2541" s="4" t="s">
        <v>6272</v>
      </c>
      <c r="C2541" s="4" t="s">
        <v>6256</v>
      </c>
      <c r="D2541" s="4" t="s">
        <v>6033</v>
      </c>
      <c r="E2541" s="4" t="s">
        <v>6034</v>
      </c>
    </row>
    <row r="2542" spans="1:5">
      <c r="A2542" s="4" t="s">
        <v>6248</v>
      </c>
      <c r="B2542" s="4" t="s">
        <v>6272</v>
      </c>
      <c r="C2542" s="4" t="s">
        <v>6257</v>
      </c>
      <c r="D2542" s="4" t="s">
        <v>6033</v>
      </c>
      <c r="E2542" s="4" t="s">
        <v>6034</v>
      </c>
    </row>
    <row r="2543" spans="1:5">
      <c r="A2543" s="4" t="s">
        <v>6248</v>
      </c>
      <c r="B2543" s="4" t="s">
        <v>6272</v>
      </c>
      <c r="C2543" s="4" t="s">
        <v>6258</v>
      </c>
      <c r="D2543" s="4" t="s">
        <v>6033</v>
      </c>
      <c r="E2543" s="4" t="s">
        <v>6034</v>
      </c>
    </row>
    <row r="2544" spans="1:5">
      <c r="A2544" s="4" t="s">
        <v>6248</v>
      </c>
      <c r="B2544" s="4" t="s">
        <v>6272</v>
      </c>
      <c r="C2544" s="4" t="s">
        <v>6259</v>
      </c>
      <c r="D2544" s="4" t="s">
        <v>6033</v>
      </c>
      <c r="E2544" s="4" t="s">
        <v>6034</v>
      </c>
    </row>
    <row r="2545" spans="1:5">
      <c r="A2545" s="4" t="s">
        <v>6248</v>
      </c>
      <c r="B2545" s="4" t="s">
        <v>6272</v>
      </c>
      <c r="C2545" s="4" t="s">
        <v>6260</v>
      </c>
      <c r="D2545" s="4" t="s">
        <v>6033</v>
      </c>
      <c r="E2545" s="4" t="s">
        <v>6034</v>
      </c>
    </row>
    <row r="2546" spans="1:5">
      <c r="A2546" s="4" t="s">
        <v>6248</v>
      </c>
      <c r="B2546" s="4" t="s">
        <v>6272</v>
      </c>
      <c r="C2546" s="4" t="s">
        <v>6261</v>
      </c>
      <c r="D2546" s="4" t="s">
        <v>6033</v>
      </c>
      <c r="E2546" s="4" t="s">
        <v>6034</v>
      </c>
    </row>
    <row r="2547" spans="1:5">
      <c r="A2547" s="4" t="s">
        <v>6248</v>
      </c>
      <c r="B2547" s="4" t="s">
        <v>6272</v>
      </c>
      <c r="C2547" s="4" t="s">
        <v>6262</v>
      </c>
      <c r="D2547" s="4" t="s">
        <v>6033</v>
      </c>
      <c r="E2547" s="4" t="s">
        <v>6034</v>
      </c>
    </row>
    <row r="2548" spans="1:5">
      <c r="A2548" s="4" t="s">
        <v>6248</v>
      </c>
      <c r="B2548" s="4" t="s">
        <v>6272</v>
      </c>
      <c r="C2548" s="4" t="s">
        <v>6263</v>
      </c>
      <c r="D2548" s="4" t="s">
        <v>6033</v>
      </c>
      <c r="E2548" s="4" t="s">
        <v>6034</v>
      </c>
    </row>
    <row r="2549" spans="1:5">
      <c r="A2549" s="4" t="s">
        <v>6248</v>
      </c>
      <c r="B2549" s="4" t="s">
        <v>6272</v>
      </c>
      <c r="C2549" s="4" t="s">
        <v>6264</v>
      </c>
      <c r="D2549" s="4" t="s">
        <v>6033</v>
      </c>
      <c r="E2549" s="4" t="s">
        <v>6034</v>
      </c>
    </row>
    <row r="2550" spans="1:5">
      <c r="A2550" s="4" t="s">
        <v>6248</v>
      </c>
      <c r="B2550" s="4" t="s">
        <v>6272</v>
      </c>
      <c r="C2550" s="4" t="s">
        <v>6265</v>
      </c>
      <c r="D2550" s="4" t="s">
        <v>6033</v>
      </c>
      <c r="E2550" s="4" t="s">
        <v>6034</v>
      </c>
    </row>
    <row r="2551" spans="1:5">
      <c r="A2551" s="4" t="s">
        <v>6248</v>
      </c>
      <c r="B2551" s="4" t="s">
        <v>6272</v>
      </c>
      <c r="C2551" s="4" t="s">
        <v>6266</v>
      </c>
      <c r="D2551" s="4" t="s">
        <v>6033</v>
      </c>
      <c r="E2551" s="4" t="s">
        <v>6034</v>
      </c>
    </row>
    <row r="2552" spans="1:5">
      <c r="A2552" s="4" t="s">
        <v>6248</v>
      </c>
      <c r="B2552" s="4" t="s">
        <v>6272</v>
      </c>
      <c r="C2552" s="4" t="s">
        <v>6267</v>
      </c>
      <c r="D2552" s="4" t="s">
        <v>6033</v>
      </c>
      <c r="E2552" s="4" t="s">
        <v>6034</v>
      </c>
    </row>
    <row r="2553" spans="1:5">
      <c r="A2553" s="4" t="s">
        <v>6248</v>
      </c>
      <c r="B2553" s="4" t="s">
        <v>6272</v>
      </c>
      <c r="C2553" s="4" t="s">
        <v>6268</v>
      </c>
      <c r="D2553" s="4" t="s">
        <v>6033</v>
      </c>
      <c r="E2553" s="4" t="s">
        <v>6034</v>
      </c>
    </row>
    <row r="2554" spans="1:5">
      <c r="A2554" s="4" t="s">
        <v>6248</v>
      </c>
      <c r="B2554" s="4" t="s">
        <v>6272</v>
      </c>
      <c r="C2554" s="4" t="s">
        <v>6269</v>
      </c>
      <c r="D2554" s="4" t="s">
        <v>6033</v>
      </c>
      <c r="E2554" s="4" t="s">
        <v>6034</v>
      </c>
    </row>
    <row r="2555" spans="1:5">
      <c r="A2555" s="4" t="s">
        <v>6248</v>
      </c>
      <c r="B2555" s="4" t="s">
        <v>6272</v>
      </c>
      <c r="C2555" s="4" t="s">
        <v>6270</v>
      </c>
      <c r="D2555" s="4" t="s">
        <v>6033</v>
      </c>
      <c r="E2555" s="4" t="s">
        <v>6034</v>
      </c>
    </row>
    <row r="2556" spans="1:5">
      <c r="A2556" s="4" t="s">
        <v>6248</v>
      </c>
      <c r="B2556" s="4" t="s">
        <v>6272</v>
      </c>
      <c r="C2556" s="4" t="s">
        <v>6271</v>
      </c>
      <c r="D2556" s="4" t="s">
        <v>6033</v>
      </c>
      <c r="E2556" s="4" t="s">
        <v>6034</v>
      </c>
    </row>
    <row r="2557" spans="1:5">
      <c r="A2557" s="4" t="s">
        <v>6248</v>
      </c>
      <c r="B2557" s="4" t="s">
        <v>6273</v>
      </c>
      <c r="C2557" s="4" t="s">
        <v>6250</v>
      </c>
      <c r="D2557" s="4" t="s">
        <v>6033</v>
      </c>
      <c r="E2557" s="4" t="s">
        <v>6034</v>
      </c>
    </row>
    <row r="2558" spans="1:5">
      <c r="A2558" s="4" t="s">
        <v>6248</v>
      </c>
      <c r="B2558" s="4" t="s">
        <v>6273</v>
      </c>
      <c r="C2558" s="4" t="s">
        <v>6249</v>
      </c>
      <c r="D2558" s="4" t="s">
        <v>6033</v>
      </c>
      <c r="E2558" s="4" t="s">
        <v>6034</v>
      </c>
    </row>
    <row r="2559" spans="1:5">
      <c r="A2559" s="4" t="s">
        <v>6248</v>
      </c>
      <c r="B2559" s="4" t="s">
        <v>6273</v>
      </c>
      <c r="C2559" s="4" t="s">
        <v>6251</v>
      </c>
      <c r="D2559" s="4" t="s">
        <v>6033</v>
      </c>
      <c r="E2559" s="4" t="s">
        <v>6034</v>
      </c>
    </row>
    <row r="2560" spans="1:5">
      <c r="A2560" s="4" t="s">
        <v>6248</v>
      </c>
      <c r="B2560" s="4" t="s">
        <v>6273</v>
      </c>
      <c r="C2560" s="4" t="s">
        <v>6252</v>
      </c>
      <c r="D2560" s="4" t="s">
        <v>6033</v>
      </c>
      <c r="E2560" s="4" t="s">
        <v>6034</v>
      </c>
    </row>
    <row r="2561" spans="1:5">
      <c r="A2561" s="4" t="s">
        <v>6248</v>
      </c>
      <c r="B2561" s="4" t="s">
        <v>6273</v>
      </c>
      <c r="C2561" s="4" t="s">
        <v>6253</v>
      </c>
      <c r="D2561" s="4" t="s">
        <v>6033</v>
      </c>
      <c r="E2561" s="4" t="s">
        <v>6034</v>
      </c>
    </row>
    <row r="2562" spans="1:5">
      <c r="A2562" s="4" t="s">
        <v>6248</v>
      </c>
      <c r="B2562" s="4" t="s">
        <v>6273</v>
      </c>
      <c r="C2562" s="4" t="s">
        <v>6254</v>
      </c>
      <c r="D2562" s="4" t="s">
        <v>6033</v>
      </c>
      <c r="E2562" s="4" t="s">
        <v>6034</v>
      </c>
    </row>
    <row r="2563" spans="1:5">
      <c r="A2563" s="4" t="s">
        <v>6248</v>
      </c>
      <c r="B2563" s="4" t="s">
        <v>6273</v>
      </c>
      <c r="C2563" s="4" t="s">
        <v>6255</v>
      </c>
      <c r="D2563" s="4" t="s">
        <v>6033</v>
      </c>
      <c r="E2563" s="4" t="s">
        <v>6034</v>
      </c>
    </row>
    <row r="2564" spans="1:5">
      <c r="A2564" s="4" t="s">
        <v>6248</v>
      </c>
      <c r="B2564" s="4" t="s">
        <v>6273</v>
      </c>
      <c r="C2564" s="4" t="s">
        <v>6256</v>
      </c>
      <c r="D2564" s="4" t="s">
        <v>6033</v>
      </c>
      <c r="E2564" s="4" t="s">
        <v>6034</v>
      </c>
    </row>
    <row r="2565" spans="1:5">
      <c r="A2565" s="4" t="s">
        <v>6248</v>
      </c>
      <c r="B2565" s="4" t="s">
        <v>6273</v>
      </c>
      <c r="C2565" s="4" t="s">
        <v>6257</v>
      </c>
      <c r="D2565" s="4" t="s">
        <v>6033</v>
      </c>
      <c r="E2565" s="4" t="s">
        <v>6034</v>
      </c>
    </row>
    <row r="2566" spans="1:5">
      <c r="A2566" s="4" t="s">
        <v>6248</v>
      </c>
      <c r="B2566" s="4" t="s">
        <v>6273</v>
      </c>
      <c r="C2566" s="4" t="s">
        <v>6258</v>
      </c>
      <c r="D2566" s="4" t="s">
        <v>6033</v>
      </c>
      <c r="E2566" s="4" t="s">
        <v>6034</v>
      </c>
    </row>
    <row r="2567" spans="1:5">
      <c r="A2567" s="4" t="s">
        <v>6248</v>
      </c>
      <c r="B2567" s="4" t="s">
        <v>6273</v>
      </c>
      <c r="C2567" s="4" t="s">
        <v>6259</v>
      </c>
      <c r="D2567" s="4" t="s">
        <v>6033</v>
      </c>
      <c r="E2567" s="4" t="s">
        <v>6034</v>
      </c>
    </row>
    <row r="2568" spans="1:5">
      <c r="A2568" s="4" t="s">
        <v>6248</v>
      </c>
      <c r="B2568" s="4" t="s">
        <v>6273</v>
      </c>
      <c r="C2568" s="4" t="s">
        <v>6260</v>
      </c>
      <c r="D2568" s="4" t="s">
        <v>6033</v>
      </c>
      <c r="E2568" s="4" t="s">
        <v>6034</v>
      </c>
    </row>
    <row r="2569" spans="1:5">
      <c r="A2569" s="4" t="s">
        <v>6248</v>
      </c>
      <c r="B2569" s="4" t="s">
        <v>6273</v>
      </c>
      <c r="C2569" s="4" t="s">
        <v>6261</v>
      </c>
      <c r="D2569" s="4" t="s">
        <v>6033</v>
      </c>
      <c r="E2569" s="4" t="s">
        <v>6034</v>
      </c>
    </row>
    <row r="2570" spans="1:5">
      <c r="A2570" s="4" t="s">
        <v>6248</v>
      </c>
      <c r="B2570" s="4" t="s">
        <v>6273</v>
      </c>
      <c r="C2570" s="4" t="s">
        <v>6262</v>
      </c>
      <c r="D2570" s="4" t="s">
        <v>6033</v>
      </c>
      <c r="E2570" s="4" t="s">
        <v>6034</v>
      </c>
    </row>
    <row r="2571" spans="1:5">
      <c r="A2571" s="4" t="s">
        <v>6248</v>
      </c>
      <c r="B2571" s="4" t="s">
        <v>6273</v>
      </c>
      <c r="C2571" s="4" t="s">
        <v>6263</v>
      </c>
      <c r="D2571" s="4" t="s">
        <v>6033</v>
      </c>
      <c r="E2571" s="4" t="s">
        <v>6034</v>
      </c>
    </row>
    <row r="2572" spans="1:5">
      <c r="A2572" s="4" t="s">
        <v>6248</v>
      </c>
      <c r="B2572" s="4" t="s">
        <v>6273</v>
      </c>
      <c r="C2572" s="4" t="s">
        <v>6264</v>
      </c>
      <c r="D2572" s="4" t="s">
        <v>6033</v>
      </c>
      <c r="E2572" s="4" t="s">
        <v>6034</v>
      </c>
    </row>
    <row r="2573" spans="1:5">
      <c r="A2573" s="4" t="s">
        <v>6248</v>
      </c>
      <c r="B2573" s="4" t="s">
        <v>6273</v>
      </c>
      <c r="C2573" s="4" t="s">
        <v>6265</v>
      </c>
      <c r="D2573" s="4" t="s">
        <v>6033</v>
      </c>
      <c r="E2573" s="4" t="s">
        <v>6034</v>
      </c>
    </row>
    <row r="2574" spans="1:5">
      <c r="A2574" s="4" t="s">
        <v>6248</v>
      </c>
      <c r="B2574" s="4" t="s">
        <v>6273</v>
      </c>
      <c r="C2574" s="4" t="s">
        <v>6266</v>
      </c>
      <c r="D2574" s="4" t="s">
        <v>6033</v>
      </c>
      <c r="E2574" s="4" t="s">
        <v>6034</v>
      </c>
    </row>
    <row r="2575" spans="1:5">
      <c r="A2575" s="4" t="s">
        <v>6248</v>
      </c>
      <c r="B2575" s="4" t="s">
        <v>6273</v>
      </c>
      <c r="C2575" s="4" t="s">
        <v>6267</v>
      </c>
      <c r="D2575" s="4" t="s">
        <v>6033</v>
      </c>
      <c r="E2575" s="4" t="s">
        <v>6034</v>
      </c>
    </row>
    <row r="2576" spans="1:5">
      <c r="A2576" s="4" t="s">
        <v>6248</v>
      </c>
      <c r="B2576" s="4" t="s">
        <v>6273</v>
      </c>
      <c r="C2576" s="4" t="s">
        <v>6268</v>
      </c>
      <c r="D2576" s="4" t="s">
        <v>6033</v>
      </c>
      <c r="E2576" s="4" t="s">
        <v>6034</v>
      </c>
    </row>
    <row r="2577" spans="1:5">
      <c r="A2577" s="4" t="s">
        <v>6248</v>
      </c>
      <c r="B2577" s="4" t="s">
        <v>6273</v>
      </c>
      <c r="C2577" s="4" t="s">
        <v>6269</v>
      </c>
      <c r="D2577" s="4" t="s">
        <v>6033</v>
      </c>
      <c r="E2577" s="4" t="s">
        <v>6034</v>
      </c>
    </row>
    <row r="2578" spans="1:5">
      <c r="A2578" s="4" t="s">
        <v>6248</v>
      </c>
      <c r="B2578" s="4" t="s">
        <v>6273</v>
      </c>
      <c r="C2578" s="4" t="s">
        <v>6270</v>
      </c>
      <c r="D2578" s="4" t="s">
        <v>6033</v>
      </c>
      <c r="E2578" s="4" t="s">
        <v>6034</v>
      </c>
    </row>
    <row r="2579" spans="1:5">
      <c r="A2579" s="4" t="s">
        <v>6248</v>
      </c>
      <c r="B2579" s="4" t="s">
        <v>6273</v>
      </c>
      <c r="C2579" s="4" t="s">
        <v>6271</v>
      </c>
      <c r="D2579" s="4" t="s">
        <v>6033</v>
      </c>
      <c r="E2579" s="4" t="s">
        <v>6034</v>
      </c>
    </row>
    <row r="2580" spans="1:5">
      <c r="A2580" s="4" t="s">
        <v>6248</v>
      </c>
      <c r="B2580" s="4" t="s">
        <v>6273</v>
      </c>
      <c r="C2580" s="4" t="s">
        <v>6272</v>
      </c>
      <c r="D2580" s="4" t="s">
        <v>6033</v>
      </c>
      <c r="E2580" s="4" t="s">
        <v>6034</v>
      </c>
    </row>
    <row r="2581" spans="1:5">
      <c r="A2581" s="4" t="s">
        <v>6248</v>
      </c>
      <c r="B2581" s="4" t="s">
        <v>6274</v>
      </c>
      <c r="C2581" s="4" t="s">
        <v>6250</v>
      </c>
      <c r="D2581" s="4" t="s">
        <v>6033</v>
      </c>
      <c r="E2581" s="4" t="s">
        <v>6034</v>
      </c>
    </row>
    <row r="2582" spans="1:5">
      <c r="A2582" s="4" t="s">
        <v>6248</v>
      </c>
      <c r="B2582" s="4" t="s">
        <v>6274</v>
      </c>
      <c r="C2582" s="4" t="s">
        <v>6249</v>
      </c>
      <c r="D2582" s="4" t="s">
        <v>6033</v>
      </c>
      <c r="E2582" s="4" t="s">
        <v>6034</v>
      </c>
    </row>
    <row r="2583" spans="1:5">
      <c r="A2583" s="4" t="s">
        <v>6248</v>
      </c>
      <c r="B2583" s="4" t="s">
        <v>6274</v>
      </c>
      <c r="C2583" s="4" t="s">
        <v>6251</v>
      </c>
      <c r="D2583" s="4" t="s">
        <v>6033</v>
      </c>
      <c r="E2583" s="4" t="s">
        <v>6034</v>
      </c>
    </row>
    <row r="2584" spans="1:5">
      <c r="A2584" s="4" t="s">
        <v>6248</v>
      </c>
      <c r="B2584" s="4" t="s">
        <v>6274</v>
      </c>
      <c r="C2584" s="4" t="s">
        <v>6252</v>
      </c>
      <c r="D2584" s="4" t="s">
        <v>6033</v>
      </c>
      <c r="E2584" s="4" t="s">
        <v>6034</v>
      </c>
    </row>
    <row r="2585" spans="1:5">
      <c r="A2585" s="4" t="s">
        <v>6248</v>
      </c>
      <c r="B2585" s="4" t="s">
        <v>6274</v>
      </c>
      <c r="C2585" s="4" t="s">
        <v>6253</v>
      </c>
      <c r="D2585" s="4" t="s">
        <v>6033</v>
      </c>
      <c r="E2585" s="4" t="s">
        <v>6034</v>
      </c>
    </row>
    <row r="2586" spans="1:5">
      <c r="A2586" s="4" t="s">
        <v>6248</v>
      </c>
      <c r="B2586" s="4" t="s">
        <v>6274</v>
      </c>
      <c r="C2586" s="4" t="s">
        <v>6254</v>
      </c>
      <c r="D2586" s="4" t="s">
        <v>6033</v>
      </c>
      <c r="E2586" s="4" t="s">
        <v>6034</v>
      </c>
    </row>
    <row r="2587" spans="1:5">
      <c r="A2587" s="4" t="s">
        <v>6248</v>
      </c>
      <c r="B2587" s="4" t="s">
        <v>6274</v>
      </c>
      <c r="C2587" s="4" t="s">
        <v>6255</v>
      </c>
      <c r="D2587" s="4" t="s">
        <v>6033</v>
      </c>
      <c r="E2587" s="4" t="s">
        <v>6034</v>
      </c>
    </row>
    <row r="2588" spans="1:5">
      <c r="A2588" s="4" t="s">
        <v>6248</v>
      </c>
      <c r="B2588" s="4" t="s">
        <v>6274</v>
      </c>
      <c r="C2588" s="4" t="s">
        <v>6256</v>
      </c>
      <c r="D2588" s="4" t="s">
        <v>6033</v>
      </c>
      <c r="E2588" s="4" t="s">
        <v>6034</v>
      </c>
    </row>
    <row r="2589" spans="1:5">
      <c r="A2589" s="4" t="s">
        <v>6248</v>
      </c>
      <c r="B2589" s="4" t="s">
        <v>6274</v>
      </c>
      <c r="C2589" s="4" t="s">
        <v>6257</v>
      </c>
      <c r="D2589" s="4" t="s">
        <v>6033</v>
      </c>
      <c r="E2589" s="4" t="s">
        <v>6034</v>
      </c>
    </row>
    <row r="2590" spans="1:5">
      <c r="A2590" s="4" t="s">
        <v>6248</v>
      </c>
      <c r="B2590" s="4" t="s">
        <v>6274</v>
      </c>
      <c r="C2590" s="4" t="s">
        <v>6258</v>
      </c>
      <c r="D2590" s="4" t="s">
        <v>6033</v>
      </c>
      <c r="E2590" s="4" t="s">
        <v>6034</v>
      </c>
    </row>
    <row r="2591" spans="1:5">
      <c r="A2591" s="4" t="s">
        <v>6248</v>
      </c>
      <c r="B2591" s="4" t="s">
        <v>6274</v>
      </c>
      <c r="C2591" s="4" t="s">
        <v>6259</v>
      </c>
      <c r="D2591" s="4" t="s">
        <v>6033</v>
      </c>
      <c r="E2591" s="4" t="s">
        <v>6034</v>
      </c>
    </row>
    <row r="2592" spans="1:5">
      <c r="A2592" s="4" t="s">
        <v>6248</v>
      </c>
      <c r="B2592" s="4" t="s">
        <v>6274</v>
      </c>
      <c r="C2592" s="4" t="s">
        <v>6260</v>
      </c>
      <c r="D2592" s="4" t="s">
        <v>6033</v>
      </c>
      <c r="E2592" s="4" t="s">
        <v>6034</v>
      </c>
    </row>
    <row r="2593" spans="1:5">
      <c r="A2593" s="4" t="s">
        <v>6248</v>
      </c>
      <c r="B2593" s="4" t="s">
        <v>6274</v>
      </c>
      <c r="C2593" s="4" t="s">
        <v>6261</v>
      </c>
      <c r="D2593" s="4" t="s">
        <v>6033</v>
      </c>
      <c r="E2593" s="4" t="s">
        <v>6034</v>
      </c>
    </row>
    <row r="2594" spans="1:5">
      <c r="A2594" s="4" t="s">
        <v>6248</v>
      </c>
      <c r="B2594" s="4" t="s">
        <v>6274</v>
      </c>
      <c r="C2594" s="4" t="s">
        <v>6262</v>
      </c>
      <c r="D2594" s="4" t="s">
        <v>6033</v>
      </c>
      <c r="E2594" s="4" t="s">
        <v>6034</v>
      </c>
    </row>
    <row r="2595" spans="1:5">
      <c r="A2595" s="4" t="s">
        <v>6248</v>
      </c>
      <c r="B2595" s="4" t="s">
        <v>6274</v>
      </c>
      <c r="C2595" s="4" t="s">
        <v>6263</v>
      </c>
      <c r="D2595" s="4" t="s">
        <v>6033</v>
      </c>
      <c r="E2595" s="4" t="s">
        <v>6034</v>
      </c>
    </row>
    <row r="2596" spans="1:5">
      <c r="A2596" s="4" t="s">
        <v>6248</v>
      </c>
      <c r="B2596" s="4" t="s">
        <v>6274</v>
      </c>
      <c r="C2596" s="4" t="s">
        <v>6264</v>
      </c>
      <c r="D2596" s="4" t="s">
        <v>6033</v>
      </c>
      <c r="E2596" s="4" t="s">
        <v>6034</v>
      </c>
    </row>
    <row r="2597" spans="1:5">
      <c r="A2597" s="4" t="s">
        <v>6248</v>
      </c>
      <c r="B2597" s="4" t="s">
        <v>6274</v>
      </c>
      <c r="C2597" s="4" t="s">
        <v>6265</v>
      </c>
      <c r="D2597" s="4" t="s">
        <v>6033</v>
      </c>
      <c r="E2597" s="4" t="s">
        <v>6034</v>
      </c>
    </row>
    <row r="2598" spans="1:5">
      <c r="A2598" s="4" t="s">
        <v>6248</v>
      </c>
      <c r="B2598" s="4" t="s">
        <v>6274</v>
      </c>
      <c r="C2598" s="4" t="s">
        <v>6266</v>
      </c>
      <c r="D2598" s="4" t="s">
        <v>6033</v>
      </c>
      <c r="E2598" s="4" t="s">
        <v>6034</v>
      </c>
    </row>
    <row r="2599" spans="1:5">
      <c r="A2599" s="4" t="s">
        <v>6248</v>
      </c>
      <c r="B2599" s="4" t="s">
        <v>6274</v>
      </c>
      <c r="C2599" s="4" t="s">
        <v>6267</v>
      </c>
      <c r="D2599" s="4" t="s">
        <v>6033</v>
      </c>
      <c r="E2599" s="4" t="s">
        <v>6034</v>
      </c>
    </row>
    <row r="2600" spans="1:5">
      <c r="A2600" s="4" t="s">
        <v>6248</v>
      </c>
      <c r="B2600" s="4" t="s">
        <v>6274</v>
      </c>
      <c r="C2600" s="4" t="s">
        <v>6268</v>
      </c>
      <c r="D2600" s="4" t="s">
        <v>6033</v>
      </c>
      <c r="E2600" s="4" t="s">
        <v>6034</v>
      </c>
    </row>
    <row r="2601" spans="1:5">
      <c r="A2601" s="4" t="s">
        <v>6248</v>
      </c>
      <c r="B2601" s="4" t="s">
        <v>6274</v>
      </c>
      <c r="C2601" s="4" t="s">
        <v>6269</v>
      </c>
      <c r="D2601" s="4" t="s">
        <v>6033</v>
      </c>
      <c r="E2601" s="4" t="s">
        <v>6034</v>
      </c>
    </row>
    <row r="2602" spans="1:5">
      <c r="A2602" s="4" t="s">
        <v>6248</v>
      </c>
      <c r="B2602" s="4" t="s">
        <v>6274</v>
      </c>
      <c r="C2602" s="4" t="s">
        <v>6270</v>
      </c>
      <c r="D2602" s="4" t="s">
        <v>6033</v>
      </c>
      <c r="E2602" s="4" t="s">
        <v>6034</v>
      </c>
    </row>
    <row r="2603" spans="1:5">
      <c r="A2603" s="4" t="s">
        <v>6248</v>
      </c>
      <c r="B2603" s="4" t="s">
        <v>6274</v>
      </c>
      <c r="C2603" s="4" t="s">
        <v>6271</v>
      </c>
      <c r="D2603" s="4" t="s">
        <v>6033</v>
      </c>
      <c r="E2603" s="4" t="s">
        <v>6034</v>
      </c>
    </row>
    <row r="2604" spans="1:5">
      <c r="A2604" s="4" t="s">
        <v>6248</v>
      </c>
      <c r="B2604" s="4" t="s">
        <v>6274</v>
      </c>
      <c r="C2604" s="4" t="s">
        <v>6272</v>
      </c>
      <c r="D2604" s="4" t="s">
        <v>6033</v>
      </c>
      <c r="E2604" s="4" t="s">
        <v>6034</v>
      </c>
    </row>
    <row r="2605" spans="1:5">
      <c r="A2605" s="4" t="s">
        <v>6248</v>
      </c>
      <c r="B2605" s="4" t="s">
        <v>6274</v>
      </c>
      <c r="C2605" s="4" t="s">
        <v>6273</v>
      </c>
      <c r="D2605" s="4" t="s">
        <v>6033</v>
      </c>
      <c r="E2605" s="4" t="s">
        <v>6034</v>
      </c>
    </row>
    <row r="2606" spans="1:5">
      <c r="A2606" s="4" t="s">
        <v>6248</v>
      </c>
      <c r="B2606" s="4" t="s">
        <v>6275</v>
      </c>
      <c r="C2606" s="4" t="s">
        <v>6250</v>
      </c>
      <c r="D2606" s="4" t="s">
        <v>6033</v>
      </c>
      <c r="E2606" s="4" t="s">
        <v>6034</v>
      </c>
    </row>
    <row r="2607" spans="1:5">
      <c r="A2607" s="4" t="s">
        <v>6248</v>
      </c>
      <c r="B2607" s="4" t="s">
        <v>6275</v>
      </c>
      <c r="C2607" s="4" t="s">
        <v>6249</v>
      </c>
      <c r="D2607" s="4" t="s">
        <v>6033</v>
      </c>
      <c r="E2607" s="4" t="s">
        <v>6034</v>
      </c>
    </row>
    <row r="2608" spans="1:5">
      <c r="A2608" s="4" t="s">
        <v>6248</v>
      </c>
      <c r="B2608" s="4" t="s">
        <v>6275</v>
      </c>
      <c r="C2608" s="4" t="s">
        <v>6251</v>
      </c>
      <c r="D2608" s="4" t="s">
        <v>6033</v>
      </c>
      <c r="E2608" s="4" t="s">
        <v>6034</v>
      </c>
    </row>
    <row r="2609" spans="1:5">
      <c r="A2609" s="4" t="s">
        <v>6248</v>
      </c>
      <c r="B2609" s="4" t="s">
        <v>6275</v>
      </c>
      <c r="C2609" s="4" t="s">
        <v>6252</v>
      </c>
      <c r="D2609" s="4" t="s">
        <v>6033</v>
      </c>
      <c r="E2609" s="4" t="s">
        <v>6034</v>
      </c>
    </row>
    <row r="2610" spans="1:5">
      <c r="A2610" s="4" t="s">
        <v>6248</v>
      </c>
      <c r="B2610" s="4" t="s">
        <v>6275</v>
      </c>
      <c r="C2610" s="4" t="s">
        <v>6253</v>
      </c>
      <c r="D2610" s="4" t="s">
        <v>6033</v>
      </c>
      <c r="E2610" s="4" t="s">
        <v>6034</v>
      </c>
    </row>
    <row r="2611" spans="1:5">
      <c r="A2611" s="4" t="s">
        <v>6248</v>
      </c>
      <c r="B2611" s="4" t="s">
        <v>6275</v>
      </c>
      <c r="C2611" s="4" t="s">
        <v>6254</v>
      </c>
      <c r="D2611" s="4" t="s">
        <v>6033</v>
      </c>
      <c r="E2611" s="4" t="s">
        <v>6034</v>
      </c>
    </row>
    <row r="2612" spans="1:5">
      <c r="A2612" s="4" t="s">
        <v>6248</v>
      </c>
      <c r="B2612" s="4" t="s">
        <v>6275</v>
      </c>
      <c r="C2612" s="4" t="s">
        <v>6255</v>
      </c>
      <c r="D2612" s="4" t="s">
        <v>6033</v>
      </c>
      <c r="E2612" s="4" t="s">
        <v>6034</v>
      </c>
    </row>
    <row r="2613" spans="1:5">
      <c r="A2613" s="4" t="s">
        <v>6248</v>
      </c>
      <c r="B2613" s="4" t="s">
        <v>6275</v>
      </c>
      <c r="C2613" s="4" t="s">
        <v>6256</v>
      </c>
      <c r="D2613" s="4" t="s">
        <v>6033</v>
      </c>
      <c r="E2613" s="4" t="s">
        <v>6034</v>
      </c>
    </row>
    <row r="2614" spans="1:5">
      <c r="A2614" s="4" t="s">
        <v>6248</v>
      </c>
      <c r="B2614" s="4" t="s">
        <v>6275</v>
      </c>
      <c r="C2614" s="4" t="s">
        <v>6257</v>
      </c>
      <c r="D2614" s="4" t="s">
        <v>6033</v>
      </c>
      <c r="E2614" s="4" t="s">
        <v>6034</v>
      </c>
    </row>
    <row r="2615" spans="1:5">
      <c r="A2615" s="4" t="s">
        <v>6248</v>
      </c>
      <c r="B2615" s="4" t="s">
        <v>6275</v>
      </c>
      <c r="C2615" s="4" t="s">
        <v>6258</v>
      </c>
      <c r="D2615" s="4" t="s">
        <v>6033</v>
      </c>
      <c r="E2615" s="4" t="s">
        <v>6034</v>
      </c>
    </row>
    <row r="2616" spans="1:5">
      <c r="A2616" s="4" t="s">
        <v>6248</v>
      </c>
      <c r="B2616" s="4" t="s">
        <v>6275</v>
      </c>
      <c r="C2616" s="4" t="s">
        <v>6259</v>
      </c>
      <c r="D2616" s="4" t="s">
        <v>6033</v>
      </c>
      <c r="E2616" s="4" t="s">
        <v>6034</v>
      </c>
    </row>
    <row r="2617" spans="1:5">
      <c r="A2617" s="4" t="s">
        <v>6248</v>
      </c>
      <c r="B2617" s="4" t="s">
        <v>6275</v>
      </c>
      <c r="C2617" s="4" t="s">
        <v>6260</v>
      </c>
      <c r="D2617" s="4" t="s">
        <v>6033</v>
      </c>
      <c r="E2617" s="4" t="s">
        <v>6034</v>
      </c>
    </row>
    <row r="2618" spans="1:5">
      <c r="A2618" s="4" t="s">
        <v>6248</v>
      </c>
      <c r="B2618" s="4" t="s">
        <v>6275</v>
      </c>
      <c r="C2618" s="4" t="s">
        <v>6261</v>
      </c>
      <c r="D2618" s="4" t="s">
        <v>6033</v>
      </c>
      <c r="E2618" s="4" t="s">
        <v>6034</v>
      </c>
    </row>
    <row r="2619" spans="1:5">
      <c r="A2619" s="4" t="s">
        <v>6248</v>
      </c>
      <c r="B2619" s="4" t="s">
        <v>6275</v>
      </c>
      <c r="C2619" s="4" t="s">
        <v>6262</v>
      </c>
      <c r="D2619" s="4" t="s">
        <v>6033</v>
      </c>
      <c r="E2619" s="4" t="s">
        <v>6034</v>
      </c>
    </row>
    <row r="2620" spans="1:5">
      <c r="A2620" s="4" t="s">
        <v>6248</v>
      </c>
      <c r="B2620" s="4" t="s">
        <v>6275</v>
      </c>
      <c r="C2620" s="4" t="s">
        <v>6263</v>
      </c>
      <c r="D2620" s="4" t="s">
        <v>6033</v>
      </c>
      <c r="E2620" s="4" t="s">
        <v>6034</v>
      </c>
    </row>
    <row r="2621" spans="1:5">
      <c r="A2621" s="4" t="s">
        <v>6248</v>
      </c>
      <c r="B2621" s="4" t="s">
        <v>6275</v>
      </c>
      <c r="C2621" s="4" t="s">
        <v>6264</v>
      </c>
      <c r="D2621" s="4" t="s">
        <v>6033</v>
      </c>
      <c r="E2621" s="4" t="s">
        <v>6034</v>
      </c>
    </row>
    <row r="2622" spans="1:5">
      <c r="A2622" s="4" t="s">
        <v>6248</v>
      </c>
      <c r="B2622" s="4" t="s">
        <v>6275</v>
      </c>
      <c r="C2622" s="4" t="s">
        <v>6265</v>
      </c>
      <c r="D2622" s="4" t="s">
        <v>6033</v>
      </c>
      <c r="E2622" s="4" t="s">
        <v>6034</v>
      </c>
    </row>
    <row r="2623" spans="1:5">
      <c r="A2623" s="4" t="s">
        <v>6248</v>
      </c>
      <c r="B2623" s="4" t="s">
        <v>6275</v>
      </c>
      <c r="C2623" s="4" t="s">
        <v>6266</v>
      </c>
      <c r="D2623" s="4" t="s">
        <v>6033</v>
      </c>
      <c r="E2623" s="4" t="s">
        <v>6034</v>
      </c>
    </row>
    <row r="2624" spans="1:5">
      <c r="A2624" s="4" t="s">
        <v>6248</v>
      </c>
      <c r="B2624" s="4" t="s">
        <v>6275</v>
      </c>
      <c r="C2624" s="4" t="s">
        <v>6267</v>
      </c>
      <c r="D2624" s="4" t="s">
        <v>6033</v>
      </c>
      <c r="E2624" s="4" t="s">
        <v>6034</v>
      </c>
    </row>
    <row r="2625" spans="1:5">
      <c r="A2625" s="4" t="s">
        <v>6248</v>
      </c>
      <c r="B2625" s="4" t="s">
        <v>6275</v>
      </c>
      <c r="C2625" s="4" t="s">
        <v>6268</v>
      </c>
      <c r="D2625" s="4" t="s">
        <v>6033</v>
      </c>
      <c r="E2625" s="4" t="s">
        <v>6034</v>
      </c>
    </row>
    <row r="2626" spans="1:5">
      <c r="A2626" s="4" t="s">
        <v>6248</v>
      </c>
      <c r="B2626" s="4" t="s">
        <v>6275</v>
      </c>
      <c r="C2626" s="4" t="s">
        <v>6269</v>
      </c>
      <c r="D2626" s="4" t="s">
        <v>6033</v>
      </c>
      <c r="E2626" s="4" t="s">
        <v>6034</v>
      </c>
    </row>
    <row r="2627" spans="1:5">
      <c r="A2627" s="4" t="s">
        <v>6248</v>
      </c>
      <c r="B2627" s="4" t="s">
        <v>6275</v>
      </c>
      <c r="C2627" s="4" t="s">
        <v>6271</v>
      </c>
      <c r="D2627" s="4" t="s">
        <v>6039</v>
      </c>
      <c r="E2627" s="4" t="s">
        <v>6040</v>
      </c>
    </row>
    <row r="2628" spans="1:5">
      <c r="A2628" s="4" t="s">
        <v>6248</v>
      </c>
      <c r="B2628" s="4" t="s">
        <v>6275</v>
      </c>
      <c r="C2628" s="4" t="s">
        <v>6272</v>
      </c>
      <c r="D2628" s="4" t="s">
        <v>6039</v>
      </c>
      <c r="E2628" s="4" t="s">
        <v>6040</v>
      </c>
    </row>
    <row r="2629" spans="1:5">
      <c r="A2629" s="4" t="s">
        <v>6248</v>
      </c>
      <c r="B2629" s="4" t="s">
        <v>6275</v>
      </c>
      <c r="C2629" s="4" t="s">
        <v>6273</v>
      </c>
      <c r="D2629" s="4" t="s">
        <v>6039</v>
      </c>
      <c r="E2629" s="4" t="s">
        <v>6040</v>
      </c>
    </row>
    <row r="2630" spans="1:5">
      <c r="A2630" s="4" t="s">
        <v>6248</v>
      </c>
      <c r="B2630" s="4" t="s">
        <v>6275</v>
      </c>
      <c r="C2630" s="4" t="s">
        <v>6274</v>
      </c>
      <c r="D2630" s="4" t="s">
        <v>6039</v>
      </c>
      <c r="E2630" s="4" t="s">
        <v>6040</v>
      </c>
    </row>
    <row r="2631" spans="1:5">
      <c r="A2631" s="4" t="s">
        <v>6248</v>
      </c>
      <c r="B2631" s="4" t="s">
        <v>6276</v>
      </c>
      <c r="C2631" s="4" t="s">
        <v>6250</v>
      </c>
      <c r="D2631" s="4" t="s">
        <v>6033</v>
      </c>
      <c r="E2631" s="4" t="s">
        <v>6034</v>
      </c>
    </row>
    <row r="2632" spans="1:5">
      <c r="A2632" s="4" t="s">
        <v>6248</v>
      </c>
      <c r="B2632" s="4" t="s">
        <v>6276</v>
      </c>
      <c r="C2632" s="4" t="s">
        <v>6249</v>
      </c>
      <c r="D2632" s="4" t="s">
        <v>6033</v>
      </c>
      <c r="E2632" s="4" t="s">
        <v>6034</v>
      </c>
    </row>
    <row r="2633" spans="1:5">
      <c r="A2633" s="4" t="s">
        <v>6248</v>
      </c>
      <c r="B2633" s="4" t="s">
        <v>6276</v>
      </c>
      <c r="C2633" s="4" t="s">
        <v>6251</v>
      </c>
      <c r="D2633" s="4" t="s">
        <v>6033</v>
      </c>
      <c r="E2633" s="4" t="s">
        <v>6034</v>
      </c>
    </row>
    <row r="2634" spans="1:5">
      <c r="A2634" s="4" t="s">
        <v>6248</v>
      </c>
      <c r="B2634" s="4" t="s">
        <v>6276</v>
      </c>
      <c r="C2634" s="4" t="s">
        <v>6252</v>
      </c>
      <c r="D2634" s="4" t="s">
        <v>6033</v>
      </c>
      <c r="E2634" s="4" t="s">
        <v>6034</v>
      </c>
    </row>
    <row r="2635" spans="1:5">
      <c r="A2635" s="4" t="s">
        <v>6248</v>
      </c>
      <c r="B2635" s="4" t="s">
        <v>6276</v>
      </c>
      <c r="C2635" s="4" t="s">
        <v>6253</v>
      </c>
      <c r="D2635" s="4" t="s">
        <v>6033</v>
      </c>
      <c r="E2635" s="4" t="s">
        <v>6034</v>
      </c>
    </row>
    <row r="2636" spans="1:5">
      <c r="A2636" s="4" t="s">
        <v>6248</v>
      </c>
      <c r="B2636" s="4" t="s">
        <v>6276</v>
      </c>
      <c r="C2636" s="4" t="s">
        <v>6254</v>
      </c>
      <c r="D2636" s="4" t="s">
        <v>6033</v>
      </c>
      <c r="E2636" s="4" t="s">
        <v>6034</v>
      </c>
    </row>
    <row r="2637" spans="1:5">
      <c r="A2637" s="4" t="s">
        <v>6248</v>
      </c>
      <c r="B2637" s="4" t="s">
        <v>6276</v>
      </c>
      <c r="C2637" s="4" t="s">
        <v>6255</v>
      </c>
      <c r="D2637" s="4" t="s">
        <v>6033</v>
      </c>
      <c r="E2637" s="4" t="s">
        <v>6034</v>
      </c>
    </row>
    <row r="2638" spans="1:5">
      <c r="A2638" s="4" t="s">
        <v>6248</v>
      </c>
      <c r="B2638" s="4" t="s">
        <v>6276</v>
      </c>
      <c r="C2638" s="4" t="s">
        <v>6256</v>
      </c>
      <c r="D2638" s="4" t="s">
        <v>6033</v>
      </c>
      <c r="E2638" s="4" t="s">
        <v>6034</v>
      </c>
    </row>
    <row r="2639" spans="1:5">
      <c r="A2639" s="4" t="s">
        <v>6248</v>
      </c>
      <c r="B2639" s="4" t="s">
        <v>6276</v>
      </c>
      <c r="C2639" s="4" t="s">
        <v>6257</v>
      </c>
      <c r="D2639" s="4" t="s">
        <v>6033</v>
      </c>
      <c r="E2639" s="4" t="s">
        <v>6034</v>
      </c>
    </row>
    <row r="2640" spans="1:5">
      <c r="A2640" s="4" t="s">
        <v>6248</v>
      </c>
      <c r="B2640" s="4" t="s">
        <v>6276</v>
      </c>
      <c r="C2640" s="4" t="s">
        <v>6258</v>
      </c>
      <c r="D2640" s="4" t="s">
        <v>6033</v>
      </c>
      <c r="E2640" s="4" t="s">
        <v>6034</v>
      </c>
    </row>
    <row r="2641" spans="1:5">
      <c r="A2641" s="4" t="s">
        <v>6248</v>
      </c>
      <c r="B2641" s="4" t="s">
        <v>6276</v>
      </c>
      <c r="C2641" s="4" t="s">
        <v>6259</v>
      </c>
      <c r="D2641" s="4" t="s">
        <v>6033</v>
      </c>
      <c r="E2641" s="4" t="s">
        <v>6034</v>
      </c>
    </row>
    <row r="2642" spans="1:5">
      <c r="A2642" s="4" t="s">
        <v>6248</v>
      </c>
      <c r="B2642" s="4" t="s">
        <v>6276</v>
      </c>
      <c r="C2642" s="4" t="s">
        <v>6260</v>
      </c>
      <c r="D2642" s="4" t="s">
        <v>6033</v>
      </c>
      <c r="E2642" s="4" t="s">
        <v>6034</v>
      </c>
    </row>
    <row r="2643" spans="1:5">
      <c r="A2643" s="4" t="s">
        <v>6248</v>
      </c>
      <c r="B2643" s="4" t="s">
        <v>6276</v>
      </c>
      <c r="C2643" s="4" t="s">
        <v>6261</v>
      </c>
      <c r="D2643" s="4" t="s">
        <v>6033</v>
      </c>
      <c r="E2643" s="4" t="s">
        <v>6034</v>
      </c>
    </row>
    <row r="2644" spans="1:5">
      <c r="A2644" s="4" t="s">
        <v>6248</v>
      </c>
      <c r="B2644" s="4" t="s">
        <v>6276</v>
      </c>
      <c r="C2644" s="4" t="s">
        <v>6262</v>
      </c>
      <c r="D2644" s="4" t="s">
        <v>6033</v>
      </c>
      <c r="E2644" s="4" t="s">
        <v>6034</v>
      </c>
    </row>
    <row r="2645" spans="1:5">
      <c r="A2645" s="4" t="s">
        <v>6248</v>
      </c>
      <c r="B2645" s="4" t="s">
        <v>6276</v>
      </c>
      <c r="C2645" s="4" t="s">
        <v>6263</v>
      </c>
      <c r="D2645" s="4" t="s">
        <v>6033</v>
      </c>
      <c r="E2645" s="4" t="s">
        <v>6034</v>
      </c>
    </row>
    <row r="2646" spans="1:5">
      <c r="A2646" s="4" t="s">
        <v>6248</v>
      </c>
      <c r="B2646" s="4" t="s">
        <v>6276</v>
      </c>
      <c r="C2646" s="4" t="s">
        <v>6264</v>
      </c>
      <c r="D2646" s="4" t="s">
        <v>6033</v>
      </c>
      <c r="E2646" s="4" t="s">
        <v>6034</v>
      </c>
    </row>
    <row r="2647" spans="1:5">
      <c r="A2647" s="4" t="s">
        <v>6248</v>
      </c>
      <c r="B2647" s="4" t="s">
        <v>6276</v>
      </c>
      <c r="C2647" s="4" t="s">
        <v>6265</v>
      </c>
      <c r="D2647" s="4" t="s">
        <v>6033</v>
      </c>
      <c r="E2647" s="4" t="s">
        <v>6034</v>
      </c>
    </row>
    <row r="2648" spans="1:5">
      <c r="A2648" s="4" t="s">
        <v>6248</v>
      </c>
      <c r="B2648" s="4" t="s">
        <v>6276</v>
      </c>
      <c r="C2648" s="4" t="s">
        <v>6266</v>
      </c>
      <c r="D2648" s="4" t="s">
        <v>6033</v>
      </c>
      <c r="E2648" s="4" t="s">
        <v>6034</v>
      </c>
    </row>
    <row r="2649" spans="1:5">
      <c r="A2649" s="4" t="s">
        <v>6248</v>
      </c>
      <c r="B2649" s="4" t="s">
        <v>6276</v>
      </c>
      <c r="C2649" s="4" t="s">
        <v>6267</v>
      </c>
      <c r="D2649" s="4" t="s">
        <v>6033</v>
      </c>
      <c r="E2649" s="4" t="s">
        <v>6034</v>
      </c>
    </row>
    <row r="2650" spans="1:5">
      <c r="A2650" s="4" t="s">
        <v>6248</v>
      </c>
      <c r="B2650" s="4" t="s">
        <v>6276</v>
      </c>
      <c r="C2650" s="4" t="s">
        <v>6268</v>
      </c>
      <c r="D2650" s="4" t="s">
        <v>6033</v>
      </c>
      <c r="E2650" s="4" t="s">
        <v>6034</v>
      </c>
    </row>
    <row r="2651" spans="1:5">
      <c r="A2651" s="4" t="s">
        <v>6248</v>
      </c>
      <c r="B2651" s="4" t="s">
        <v>6276</v>
      </c>
      <c r="C2651" s="4" t="s">
        <v>6269</v>
      </c>
      <c r="D2651" s="4" t="s">
        <v>6033</v>
      </c>
      <c r="E2651" s="4" t="s">
        <v>6034</v>
      </c>
    </row>
    <row r="2652" spans="1:5">
      <c r="A2652" s="4" t="s">
        <v>6248</v>
      </c>
      <c r="B2652" s="4" t="s">
        <v>6276</v>
      </c>
      <c r="C2652" s="4" t="s">
        <v>6270</v>
      </c>
      <c r="D2652" s="4" t="s">
        <v>6033</v>
      </c>
      <c r="E2652" s="4" t="s">
        <v>6034</v>
      </c>
    </row>
    <row r="2653" spans="1:5">
      <c r="A2653" s="4" t="s">
        <v>6248</v>
      </c>
      <c r="B2653" s="4" t="s">
        <v>6276</v>
      </c>
      <c r="C2653" s="4" t="s">
        <v>6271</v>
      </c>
      <c r="D2653" s="4" t="s">
        <v>6033</v>
      </c>
      <c r="E2653" s="4" t="s">
        <v>6034</v>
      </c>
    </row>
    <row r="2654" spans="1:5">
      <c r="A2654" s="4" t="s">
        <v>6248</v>
      </c>
      <c r="B2654" s="4" t="s">
        <v>6276</v>
      </c>
      <c r="C2654" s="4" t="s">
        <v>6272</v>
      </c>
      <c r="D2654" s="4" t="s">
        <v>6033</v>
      </c>
      <c r="E2654" s="4" t="s">
        <v>6034</v>
      </c>
    </row>
    <row r="2655" spans="1:5">
      <c r="A2655" s="4" t="s">
        <v>6248</v>
      </c>
      <c r="B2655" s="4" t="s">
        <v>6276</v>
      </c>
      <c r="C2655" s="4" t="s">
        <v>6273</v>
      </c>
      <c r="D2655" s="4" t="s">
        <v>6033</v>
      </c>
      <c r="E2655" s="4" t="s">
        <v>6034</v>
      </c>
    </row>
    <row r="2656" spans="1:5">
      <c r="A2656" s="4" t="s">
        <v>6248</v>
      </c>
      <c r="B2656" s="4" t="s">
        <v>6276</v>
      </c>
      <c r="C2656" s="4" t="s">
        <v>6274</v>
      </c>
      <c r="D2656" s="4" t="s">
        <v>6033</v>
      </c>
      <c r="E2656" s="4" t="s">
        <v>6034</v>
      </c>
    </row>
    <row r="2657" spans="1:5">
      <c r="A2657" s="4" t="s">
        <v>6248</v>
      </c>
      <c r="B2657" s="4" t="s">
        <v>6276</v>
      </c>
      <c r="C2657" s="4" t="s">
        <v>6275</v>
      </c>
      <c r="D2657" s="4" t="s">
        <v>6033</v>
      </c>
      <c r="E2657" s="4" t="s">
        <v>6034</v>
      </c>
    </row>
    <row r="2658" spans="1:5">
      <c r="A2658" s="4" t="s">
        <v>6248</v>
      </c>
      <c r="B2658" s="4" t="s">
        <v>6277</v>
      </c>
      <c r="C2658" s="4" t="s">
        <v>6250</v>
      </c>
      <c r="D2658" s="4" t="s">
        <v>6033</v>
      </c>
      <c r="E2658" s="4" t="s">
        <v>6034</v>
      </c>
    </row>
    <row r="2659" spans="1:5">
      <c r="A2659" s="4" t="s">
        <v>6248</v>
      </c>
      <c r="B2659" s="4" t="s">
        <v>6277</v>
      </c>
      <c r="C2659" s="4" t="s">
        <v>6249</v>
      </c>
      <c r="D2659" s="4" t="s">
        <v>6033</v>
      </c>
      <c r="E2659" s="4" t="s">
        <v>6034</v>
      </c>
    </row>
    <row r="2660" spans="1:5">
      <c r="A2660" s="4" t="s">
        <v>6248</v>
      </c>
      <c r="B2660" s="4" t="s">
        <v>6277</v>
      </c>
      <c r="C2660" s="4" t="s">
        <v>6251</v>
      </c>
      <c r="D2660" s="4" t="s">
        <v>6033</v>
      </c>
      <c r="E2660" s="4" t="s">
        <v>6034</v>
      </c>
    </row>
    <row r="2661" spans="1:5">
      <c r="A2661" s="4" t="s">
        <v>6248</v>
      </c>
      <c r="B2661" s="4" t="s">
        <v>6277</v>
      </c>
      <c r="C2661" s="4" t="s">
        <v>6252</v>
      </c>
      <c r="D2661" s="4" t="s">
        <v>6033</v>
      </c>
      <c r="E2661" s="4" t="s">
        <v>6034</v>
      </c>
    </row>
    <row r="2662" spans="1:5">
      <c r="A2662" s="4" t="s">
        <v>6248</v>
      </c>
      <c r="B2662" s="4" t="s">
        <v>6277</v>
      </c>
      <c r="C2662" s="4" t="s">
        <v>6253</v>
      </c>
      <c r="D2662" s="4" t="s">
        <v>6033</v>
      </c>
      <c r="E2662" s="4" t="s">
        <v>6034</v>
      </c>
    </row>
    <row r="2663" spans="1:5">
      <c r="A2663" s="4" t="s">
        <v>6248</v>
      </c>
      <c r="B2663" s="4" t="s">
        <v>6277</v>
      </c>
      <c r="C2663" s="4" t="s">
        <v>6254</v>
      </c>
      <c r="D2663" s="4" t="s">
        <v>6033</v>
      </c>
      <c r="E2663" s="4" t="s">
        <v>6034</v>
      </c>
    </row>
    <row r="2664" spans="1:5">
      <c r="A2664" s="4" t="s">
        <v>6248</v>
      </c>
      <c r="B2664" s="4" t="s">
        <v>6277</v>
      </c>
      <c r="C2664" s="4" t="s">
        <v>6255</v>
      </c>
      <c r="D2664" s="4" t="s">
        <v>6033</v>
      </c>
      <c r="E2664" s="4" t="s">
        <v>6034</v>
      </c>
    </row>
    <row r="2665" spans="1:5">
      <c r="A2665" s="4" t="s">
        <v>6248</v>
      </c>
      <c r="B2665" s="4" t="s">
        <v>6277</v>
      </c>
      <c r="C2665" s="4" t="s">
        <v>6256</v>
      </c>
      <c r="D2665" s="4" t="s">
        <v>6033</v>
      </c>
      <c r="E2665" s="4" t="s">
        <v>6034</v>
      </c>
    </row>
    <row r="2666" spans="1:5">
      <c r="A2666" s="4" t="s">
        <v>6248</v>
      </c>
      <c r="B2666" s="4" t="s">
        <v>6277</v>
      </c>
      <c r="C2666" s="4" t="s">
        <v>6257</v>
      </c>
      <c r="D2666" s="4" t="s">
        <v>6033</v>
      </c>
      <c r="E2666" s="4" t="s">
        <v>6034</v>
      </c>
    </row>
    <row r="2667" spans="1:5">
      <c r="A2667" s="4" t="s">
        <v>6248</v>
      </c>
      <c r="B2667" s="4" t="s">
        <v>6277</v>
      </c>
      <c r="C2667" s="4" t="s">
        <v>6258</v>
      </c>
      <c r="D2667" s="4" t="s">
        <v>6033</v>
      </c>
      <c r="E2667" s="4" t="s">
        <v>6034</v>
      </c>
    </row>
    <row r="2668" spans="1:5">
      <c r="A2668" s="4" t="s">
        <v>6248</v>
      </c>
      <c r="B2668" s="4" t="s">
        <v>6277</v>
      </c>
      <c r="C2668" s="4" t="s">
        <v>6259</v>
      </c>
      <c r="D2668" s="4" t="s">
        <v>6033</v>
      </c>
      <c r="E2668" s="4" t="s">
        <v>6034</v>
      </c>
    </row>
    <row r="2669" spans="1:5">
      <c r="A2669" s="4" t="s">
        <v>6248</v>
      </c>
      <c r="B2669" s="4" t="s">
        <v>6277</v>
      </c>
      <c r="C2669" s="4" t="s">
        <v>6260</v>
      </c>
      <c r="D2669" s="4" t="s">
        <v>6033</v>
      </c>
      <c r="E2669" s="4" t="s">
        <v>6034</v>
      </c>
    </row>
    <row r="2670" spans="1:5">
      <c r="A2670" s="4" t="s">
        <v>6248</v>
      </c>
      <c r="B2670" s="4" t="s">
        <v>6277</v>
      </c>
      <c r="C2670" s="4" t="s">
        <v>6261</v>
      </c>
      <c r="D2670" s="4" t="s">
        <v>6033</v>
      </c>
      <c r="E2670" s="4" t="s">
        <v>6034</v>
      </c>
    </row>
    <row r="2671" spans="1:5">
      <c r="A2671" s="4" t="s">
        <v>6248</v>
      </c>
      <c r="B2671" s="4" t="s">
        <v>6277</v>
      </c>
      <c r="C2671" s="4" t="s">
        <v>6262</v>
      </c>
      <c r="D2671" s="4" t="s">
        <v>6033</v>
      </c>
      <c r="E2671" s="4" t="s">
        <v>6034</v>
      </c>
    </row>
    <row r="2672" spans="1:5">
      <c r="A2672" s="4" t="s">
        <v>6248</v>
      </c>
      <c r="B2672" s="4" t="s">
        <v>6277</v>
      </c>
      <c r="C2672" s="4" t="s">
        <v>6263</v>
      </c>
      <c r="D2672" s="4" t="s">
        <v>6033</v>
      </c>
      <c r="E2672" s="4" t="s">
        <v>6034</v>
      </c>
    </row>
    <row r="2673" spans="1:5">
      <c r="A2673" s="4" t="s">
        <v>6248</v>
      </c>
      <c r="B2673" s="4" t="s">
        <v>6277</v>
      </c>
      <c r="C2673" s="4" t="s">
        <v>6264</v>
      </c>
      <c r="D2673" s="4" t="s">
        <v>6033</v>
      </c>
      <c r="E2673" s="4" t="s">
        <v>6034</v>
      </c>
    </row>
    <row r="2674" spans="1:5">
      <c r="A2674" s="4" t="s">
        <v>6248</v>
      </c>
      <c r="B2674" s="4" t="s">
        <v>6277</v>
      </c>
      <c r="C2674" s="4" t="s">
        <v>6265</v>
      </c>
      <c r="D2674" s="4" t="s">
        <v>6033</v>
      </c>
      <c r="E2674" s="4" t="s">
        <v>6034</v>
      </c>
    </row>
    <row r="2675" spans="1:5">
      <c r="A2675" s="4" t="s">
        <v>6248</v>
      </c>
      <c r="B2675" s="4" t="s">
        <v>6277</v>
      </c>
      <c r="C2675" s="4" t="s">
        <v>6266</v>
      </c>
      <c r="D2675" s="4" t="s">
        <v>6033</v>
      </c>
      <c r="E2675" s="4" t="s">
        <v>6034</v>
      </c>
    </row>
    <row r="2676" spans="1:5">
      <c r="A2676" s="4" t="s">
        <v>6248</v>
      </c>
      <c r="B2676" s="4" t="s">
        <v>6277</v>
      </c>
      <c r="C2676" s="4" t="s">
        <v>6267</v>
      </c>
      <c r="D2676" s="4" t="s">
        <v>6033</v>
      </c>
      <c r="E2676" s="4" t="s">
        <v>6034</v>
      </c>
    </row>
    <row r="2677" spans="1:5">
      <c r="A2677" s="4" t="s">
        <v>6248</v>
      </c>
      <c r="B2677" s="4" t="s">
        <v>6277</v>
      </c>
      <c r="C2677" s="4" t="s">
        <v>6268</v>
      </c>
      <c r="D2677" s="4" t="s">
        <v>6033</v>
      </c>
      <c r="E2677" s="4" t="s">
        <v>6034</v>
      </c>
    </row>
    <row r="2678" spans="1:5">
      <c r="A2678" s="4" t="s">
        <v>6248</v>
      </c>
      <c r="B2678" s="4" t="s">
        <v>6277</v>
      </c>
      <c r="C2678" s="4" t="s">
        <v>6269</v>
      </c>
      <c r="D2678" s="4" t="s">
        <v>6033</v>
      </c>
      <c r="E2678" s="4" t="s">
        <v>6034</v>
      </c>
    </row>
    <row r="2679" spans="1:5">
      <c r="A2679" s="4" t="s">
        <v>6248</v>
      </c>
      <c r="B2679" s="4" t="s">
        <v>6277</v>
      </c>
      <c r="C2679" s="4" t="s">
        <v>6270</v>
      </c>
      <c r="D2679" s="4" t="s">
        <v>6033</v>
      </c>
      <c r="E2679" s="4" t="s">
        <v>6034</v>
      </c>
    </row>
    <row r="2680" spans="1:5">
      <c r="A2680" s="4" t="s">
        <v>6248</v>
      </c>
      <c r="B2680" s="4" t="s">
        <v>6277</v>
      </c>
      <c r="C2680" s="4" t="s">
        <v>6271</v>
      </c>
      <c r="D2680" s="4" t="s">
        <v>6033</v>
      </c>
      <c r="E2680" s="4" t="s">
        <v>6034</v>
      </c>
    </row>
    <row r="2681" spans="1:5">
      <c r="A2681" s="4" t="s">
        <v>6248</v>
      </c>
      <c r="B2681" s="4" t="s">
        <v>6277</v>
      </c>
      <c r="C2681" s="4" t="s">
        <v>6272</v>
      </c>
      <c r="D2681" s="4" t="s">
        <v>6033</v>
      </c>
      <c r="E2681" s="4" t="s">
        <v>6034</v>
      </c>
    </row>
    <row r="2682" spans="1:5">
      <c r="A2682" s="4" t="s">
        <v>6248</v>
      </c>
      <c r="B2682" s="4" t="s">
        <v>6277</v>
      </c>
      <c r="C2682" s="4" t="s">
        <v>6273</v>
      </c>
      <c r="D2682" s="4" t="s">
        <v>6033</v>
      </c>
      <c r="E2682" s="4" t="s">
        <v>6034</v>
      </c>
    </row>
    <row r="2683" spans="1:5">
      <c r="A2683" s="4" t="s">
        <v>6248</v>
      </c>
      <c r="B2683" s="4" t="s">
        <v>6277</v>
      </c>
      <c r="C2683" s="4" t="s">
        <v>6274</v>
      </c>
      <c r="D2683" s="4" t="s">
        <v>6033</v>
      </c>
      <c r="E2683" s="4" t="s">
        <v>6034</v>
      </c>
    </row>
    <row r="2684" spans="1:5">
      <c r="A2684" s="4" t="s">
        <v>6248</v>
      </c>
      <c r="B2684" s="4" t="s">
        <v>6277</v>
      </c>
      <c r="C2684" s="4" t="s">
        <v>6275</v>
      </c>
      <c r="D2684" s="4" t="s">
        <v>6033</v>
      </c>
      <c r="E2684" s="4" t="s">
        <v>6034</v>
      </c>
    </row>
    <row r="2685" spans="1:5">
      <c r="A2685" s="4" t="s">
        <v>6248</v>
      </c>
      <c r="B2685" s="4" t="s">
        <v>6277</v>
      </c>
      <c r="C2685" s="4" t="s">
        <v>6276</v>
      </c>
      <c r="D2685" s="4" t="s">
        <v>6033</v>
      </c>
      <c r="E2685" s="4" t="s">
        <v>6034</v>
      </c>
    </row>
    <row r="2686" spans="1:5">
      <c r="A2686" s="4" t="s">
        <v>6248</v>
      </c>
      <c r="B2686" s="4" t="s">
        <v>6278</v>
      </c>
      <c r="C2686" s="4" t="s">
        <v>6250</v>
      </c>
      <c r="D2686" s="4" t="s">
        <v>6033</v>
      </c>
      <c r="E2686" s="4" t="s">
        <v>6034</v>
      </c>
    </row>
    <row r="2687" spans="1:5">
      <c r="A2687" s="4" t="s">
        <v>6248</v>
      </c>
      <c r="B2687" s="4" t="s">
        <v>6278</v>
      </c>
      <c r="C2687" s="4" t="s">
        <v>6249</v>
      </c>
      <c r="D2687" s="4" t="s">
        <v>6033</v>
      </c>
      <c r="E2687" s="4" t="s">
        <v>6034</v>
      </c>
    </row>
    <row r="2688" spans="1:5">
      <c r="A2688" s="4" t="s">
        <v>6248</v>
      </c>
      <c r="B2688" s="4" t="s">
        <v>6278</v>
      </c>
      <c r="C2688" s="4" t="s">
        <v>6251</v>
      </c>
      <c r="D2688" s="4" t="s">
        <v>6033</v>
      </c>
      <c r="E2688" s="4" t="s">
        <v>6034</v>
      </c>
    </row>
    <row r="2689" spans="1:5">
      <c r="A2689" s="4" t="s">
        <v>6248</v>
      </c>
      <c r="B2689" s="4" t="s">
        <v>6278</v>
      </c>
      <c r="C2689" s="4" t="s">
        <v>6252</v>
      </c>
      <c r="D2689" s="4" t="s">
        <v>6033</v>
      </c>
      <c r="E2689" s="4" t="s">
        <v>6034</v>
      </c>
    </row>
    <row r="2690" spans="1:5">
      <c r="A2690" s="4" t="s">
        <v>6248</v>
      </c>
      <c r="B2690" s="4" t="s">
        <v>6278</v>
      </c>
      <c r="C2690" s="4" t="s">
        <v>6253</v>
      </c>
      <c r="D2690" s="4" t="s">
        <v>6033</v>
      </c>
      <c r="E2690" s="4" t="s">
        <v>6034</v>
      </c>
    </row>
    <row r="2691" spans="1:5">
      <c r="A2691" s="4" t="s">
        <v>6248</v>
      </c>
      <c r="B2691" s="4" t="s">
        <v>6278</v>
      </c>
      <c r="C2691" s="4" t="s">
        <v>6254</v>
      </c>
      <c r="D2691" s="4" t="s">
        <v>6033</v>
      </c>
      <c r="E2691" s="4" t="s">
        <v>6034</v>
      </c>
    </row>
    <row r="2692" spans="1:5">
      <c r="A2692" s="4" t="s">
        <v>6248</v>
      </c>
      <c r="B2692" s="4" t="s">
        <v>6278</v>
      </c>
      <c r="C2692" s="4" t="s">
        <v>6255</v>
      </c>
      <c r="D2692" s="4" t="s">
        <v>6033</v>
      </c>
      <c r="E2692" s="4" t="s">
        <v>6034</v>
      </c>
    </row>
    <row r="2693" spans="1:5">
      <c r="A2693" s="4" t="s">
        <v>6248</v>
      </c>
      <c r="B2693" s="4" t="s">
        <v>6278</v>
      </c>
      <c r="C2693" s="4" t="s">
        <v>6256</v>
      </c>
      <c r="D2693" s="4" t="s">
        <v>6033</v>
      </c>
      <c r="E2693" s="4" t="s">
        <v>6034</v>
      </c>
    </row>
    <row r="2694" spans="1:5">
      <c r="A2694" s="4" t="s">
        <v>6248</v>
      </c>
      <c r="B2694" s="4" t="s">
        <v>6278</v>
      </c>
      <c r="C2694" s="4" t="s">
        <v>6257</v>
      </c>
      <c r="D2694" s="4" t="s">
        <v>6033</v>
      </c>
      <c r="E2694" s="4" t="s">
        <v>6034</v>
      </c>
    </row>
    <row r="2695" spans="1:5">
      <c r="A2695" s="4" t="s">
        <v>6248</v>
      </c>
      <c r="B2695" s="4" t="s">
        <v>6278</v>
      </c>
      <c r="C2695" s="4" t="s">
        <v>6258</v>
      </c>
      <c r="D2695" s="4" t="s">
        <v>6033</v>
      </c>
      <c r="E2695" s="4" t="s">
        <v>6034</v>
      </c>
    </row>
    <row r="2696" spans="1:5">
      <c r="A2696" s="4" t="s">
        <v>6248</v>
      </c>
      <c r="B2696" s="4" t="s">
        <v>6278</v>
      </c>
      <c r="C2696" s="4" t="s">
        <v>6259</v>
      </c>
      <c r="D2696" s="4" t="s">
        <v>6033</v>
      </c>
      <c r="E2696" s="4" t="s">
        <v>6034</v>
      </c>
    </row>
    <row r="2697" spans="1:5">
      <c r="A2697" s="4" t="s">
        <v>6248</v>
      </c>
      <c r="B2697" s="4" t="s">
        <v>6278</v>
      </c>
      <c r="C2697" s="4" t="s">
        <v>6260</v>
      </c>
      <c r="D2697" s="4" t="s">
        <v>6033</v>
      </c>
      <c r="E2697" s="4" t="s">
        <v>6034</v>
      </c>
    </row>
    <row r="2698" spans="1:5">
      <c r="A2698" s="4" t="s">
        <v>6248</v>
      </c>
      <c r="B2698" s="4" t="s">
        <v>6278</v>
      </c>
      <c r="C2698" s="4" t="s">
        <v>6261</v>
      </c>
      <c r="D2698" s="4" t="s">
        <v>6033</v>
      </c>
      <c r="E2698" s="4" t="s">
        <v>6034</v>
      </c>
    </row>
    <row r="2699" spans="1:5">
      <c r="A2699" s="4" t="s">
        <v>6248</v>
      </c>
      <c r="B2699" s="4" t="s">
        <v>6278</v>
      </c>
      <c r="C2699" s="4" t="s">
        <v>6262</v>
      </c>
      <c r="D2699" s="4" t="s">
        <v>6033</v>
      </c>
      <c r="E2699" s="4" t="s">
        <v>6034</v>
      </c>
    </row>
    <row r="2700" spans="1:5">
      <c r="A2700" s="4" t="s">
        <v>6248</v>
      </c>
      <c r="B2700" s="4" t="s">
        <v>6278</v>
      </c>
      <c r="C2700" s="4" t="s">
        <v>6263</v>
      </c>
      <c r="D2700" s="4" t="s">
        <v>6033</v>
      </c>
      <c r="E2700" s="4" t="s">
        <v>6034</v>
      </c>
    </row>
    <row r="2701" spans="1:5">
      <c r="A2701" s="4" t="s">
        <v>6248</v>
      </c>
      <c r="B2701" s="4" t="s">
        <v>6278</v>
      </c>
      <c r="C2701" s="4" t="s">
        <v>6264</v>
      </c>
      <c r="D2701" s="4" t="s">
        <v>6033</v>
      </c>
      <c r="E2701" s="4" t="s">
        <v>6034</v>
      </c>
    </row>
    <row r="2702" spans="1:5">
      <c r="A2702" s="4" t="s">
        <v>6248</v>
      </c>
      <c r="B2702" s="4" t="s">
        <v>6278</v>
      </c>
      <c r="C2702" s="4" t="s">
        <v>6265</v>
      </c>
      <c r="D2702" s="4" t="s">
        <v>6033</v>
      </c>
      <c r="E2702" s="4" t="s">
        <v>6034</v>
      </c>
    </row>
    <row r="2703" spans="1:5">
      <c r="A2703" s="4" t="s">
        <v>6248</v>
      </c>
      <c r="B2703" s="4" t="s">
        <v>6278</v>
      </c>
      <c r="C2703" s="4" t="s">
        <v>6266</v>
      </c>
      <c r="D2703" s="4" t="s">
        <v>6033</v>
      </c>
      <c r="E2703" s="4" t="s">
        <v>6034</v>
      </c>
    </row>
    <row r="2704" spans="1:5">
      <c r="A2704" s="4" t="s">
        <v>6248</v>
      </c>
      <c r="B2704" s="4" t="s">
        <v>6278</v>
      </c>
      <c r="C2704" s="4" t="s">
        <v>6267</v>
      </c>
      <c r="D2704" s="4" t="s">
        <v>6033</v>
      </c>
      <c r="E2704" s="4" t="s">
        <v>6034</v>
      </c>
    </row>
    <row r="2705" spans="1:5">
      <c r="A2705" s="4" t="s">
        <v>6248</v>
      </c>
      <c r="B2705" s="4" t="s">
        <v>6278</v>
      </c>
      <c r="C2705" s="4" t="s">
        <v>6268</v>
      </c>
      <c r="D2705" s="4" t="s">
        <v>6033</v>
      </c>
      <c r="E2705" s="4" t="s">
        <v>6034</v>
      </c>
    </row>
    <row r="2706" spans="1:5">
      <c r="A2706" s="4" t="s">
        <v>6248</v>
      </c>
      <c r="B2706" s="4" t="s">
        <v>6278</v>
      </c>
      <c r="C2706" s="4" t="s">
        <v>6269</v>
      </c>
      <c r="D2706" s="4" t="s">
        <v>6033</v>
      </c>
      <c r="E2706" s="4" t="s">
        <v>6034</v>
      </c>
    </row>
    <row r="2707" spans="1:5">
      <c r="A2707" s="4" t="s">
        <v>6248</v>
      </c>
      <c r="B2707" s="4" t="s">
        <v>6278</v>
      </c>
      <c r="C2707" s="4" t="s">
        <v>6270</v>
      </c>
      <c r="D2707" s="4" t="s">
        <v>6033</v>
      </c>
      <c r="E2707" s="4" t="s">
        <v>6034</v>
      </c>
    </row>
    <row r="2708" spans="1:5">
      <c r="A2708" s="4" t="s">
        <v>6248</v>
      </c>
      <c r="B2708" s="4" t="s">
        <v>6278</v>
      </c>
      <c r="C2708" s="4" t="s">
        <v>6271</v>
      </c>
      <c r="D2708" s="4" t="s">
        <v>6033</v>
      </c>
      <c r="E2708" s="4" t="s">
        <v>6034</v>
      </c>
    </row>
    <row r="2709" spans="1:5">
      <c r="A2709" s="4" t="s">
        <v>6248</v>
      </c>
      <c r="B2709" s="4" t="s">
        <v>6278</v>
      </c>
      <c r="C2709" s="4" t="s">
        <v>6272</v>
      </c>
      <c r="D2709" s="4" t="s">
        <v>6033</v>
      </c>
      <c r="E2709" s="4" t="s">
        <v>6034</v>
      </c>
    </row>
    <row r="2710" spans="1:5">
      <c r="A2710" s="4" t="s">
        <v>6248</v>
      </c>
      <c r="B2710" s="4" t="s">
        <v>6278</v>
      </c>
      <c r="C2710" s="4" t="s">
        <v>6273</v>
      </c>
      <c r="D2710" s="4" t="s">
        <v>6033</v>
      </c>
      <c r="E2710" s="4" t="s">
        <v>6034</v>
      </c>
    </row>
    <row r="2711" spans="1:5">
      <c r="A2711" s="4" t="s">
        <v>6248</v>
      </c>
      <c r="B2711" s="4" t="s">
        <v>6278</v>
      </c>
      <c r="C2711" s="4" t="s">
        <v>6274</v>
      </c>
      <c r="D2711" s="4" t="s">
        <v>6033</v>
      </c>
      <c r="E2711" s="4" t="s">
        <v>6034</v>
      </c>
    </row>
    <row r="2712" spans="1:5">
      <c r="A2712" s="4" t="s">
        <v>6248</v>
      </c>
      <c r="B2712" s="4" t="s">
        <v>6278</v>
      </c>
      <c r="C2712" s="4" t="s">
        <v>6275</v>
      </c>
      <c r="D2712" s="4" t="s">
        <v>6033</v>
      </c>
      <c r="E2712" s="4" t="s">
        <v>6034</v>
      </c>
    </row>
    <row r="2713" spans="1:5">
      <c r="A2713" s="4" t="s">
        <v>6248</v>
      </c>
      <c r="B2713" s="4" t="s">
        <v>6278</v>
      </c>
      <c r="C2713" s="4" t="s">
        <v>6276</v>
      </c>
      <c r="D2713" s="4" t="s">
        <v>6033</v>
      </c>
      <c r="E2713" s="4" t="s">
        <v>6034</v>
      </c>
    </row>
    <row r="2714" spans="1:5">
      <c r="A2714" s="4" t="s">
        <v>6248</v>
      </c>
      <c r="B2714" s="4" t="s">
        <v>6278</v>
      </c>
      <c r="C2714" s="4" t="s">
        <v>6277</v>
      </c>
      <c r="D2714" s="4" t="s">
        <v>6033</v>
      </c>
      <c r="E2714" s="4" t="s">
        <v>6034</v>
      </c>
    </row>
    <row r="2715" spans="1:5">
      <c r="A2715" s="4" t="s">
        <v>6248</v>
      </c>
      <c r="B2715" s="4" t="s">
        <v>6279</v>
      </c>
      <c r="C2715" s="4" t="s">
        <v>6250</v>
      </c>
      <c r="D2715" s="4" t="s">
        <v>6033</v>
      </c>
      <c r="E2715" s="4" t="s">
        <v>6034</v>
      </c>
    </row>
    <row r="2716" spans="1:5">
      <c r="A2716" s="4" t="s">
        <v>6248</v>
      </c>
      <c r="B2716" s="4" t="s">
        <v>6279</v>
      </c>
      <c r="C2716" s="4" t="s">
        <v>6249</v>
      </c>
      <c r="D2716" s="4" t="s">
        <v>6033</v>
      </c>
      <c r="E2716" s="4" t="s">
        <v>6034</v>
      </c>
    </row>
    <row r="2717" spans="1:5">
      <c r="A2717" s="4" t="s">
        <v>6248</v>
      </c>
      <c r="B2717" s="4" t="s">
        <v>6279</v>
      </c>
      <c r="C2717" s="4" t="s">
        <v>6251</v>
      </c>
      <c r="D2717" s="4" t="s">
        <v>6033</v>
      </c>
      <c r="E2717" s="4" t="s">
        <v>6034</v>
      </c>
    </row>
    <row r="2718" spans="1:5">
      <c r="A2718" s="4" t="s">
        <v>6248</v>
      </c>
      <c r="B2718" s="4" t="s">
        <v>6279</v>
      </c>
      <c r="C2718" s="4" t="s">
        <v>6252</v>
      </c>
      <c r="D2718" s="4" t="s">
        <v>6033</v>
      </c>
      <c r="E2718" s="4" t="s">
        <v>6034</v>
      </c>
    </row>
    <row r="2719" spans="1:5">
      <c r="A2719" s="4" t="s">
        <v>6248</v>
      </c>
      <c r="B2719" s="4" t="s">
        <v>6279</v>
      </c>
      <c r="C2719" s="4" t="s">
        <v>6253</v>
      </c>
      <c r="D2719" s="4" t="s">
        <v>6033</v>
      </c>
      <c r="E2719" s="4" t="s">
        <v>6034</v>
      </c>
    </row>
    <row r="2720" spans="1:5">
      <c r="A2720" s="4" t="s">
        <v>6248</v>
      </c>
      <c r="B2720" s="4" t="s">
        <v>6279</v>
      </c>
      <c r="C2720" s="4" t="s">
        <v>6254</v>
      </c>
      <c r="D2720" s="4" t="s">
        <v>6033</v>
      </c>
      <c r="E2720" s="4" t="s">
        <v>6034</v>
      </c>
    </row>
    <row r="2721" spans="1:5">
      <c r="A2721" s="4" t="s">
        <v>6248</v>
      </c>
      <c r="B2721" s="4" t="s">
        <v>6279</v>
      </c>
      <c r="C2721" s="4" t="s">
        <v>6255</v>
      </c>
      <c r="D2721" s="4" t="s">
        <v>6033</v>
      </c>
      <c r="E2721" s="4" t="s">
        <v>6034</v>
      </c>
    </row>
    <row r="2722" spans="1:5">
      <c r="A2722" s="4" t="s">
        <v>6248</v>
      </c>
      <c r="B2722" s="4" t="s">
        <v>6279</v>
      </c>
      <c r="C2722" s="4" t="s">
        <v>6256</v>
      </c>
      <c r="D2722" s="4" t="s">
        <v>6033</v>
      </c>
      <c r="E2722" s="4" t="s">
        <v>6034</v>
      </c>
    </row>
    <row r="2723" spans="1:5">
      <c r="A2723" s="4" t="s">
        <v>6248</v>
      </c>
      <c r="B2723" s="4" t="s">
        <v>6279</v>
      </c>
      <c r="C2723" s="4" t="s">
        <v>6257</v>
      </c>
      <c r="D2723" s="4" t="s">
        <v>6033</v>
      </c>
      <c r="E2723" s="4" t="s">
        <v>6034</v>
      </c>
    </row>
    <row r="2724" spans="1:5">
      <c r="A2724" s="4" t="s">
        <v>6248</v>
      </c>
      <c r="B2724" s="4" t="s">
        <v>6279</v>
      </c>
      <c r="C2724" s="4" t="s">
        <v>6258</v>
      </c>
      <c r="D2724" s="4" t="s">
        <v>6033</v>
      </c>
      <c r="E2724" s="4" t="s">
        <v>6034</v>
      </c>
    </row>
    <row r="2725" spans="1:5">
      <c r="A2725" s="4" t="s">
        <v>6248</v>
      </c>
      <c r="B2725" s="4" t="s">
        <v>6279</v>
      </c>
      <c r="C2725" s="4" t="s">
        <v>6259</v>
      </c>
      <c r="D2725" s="4" t="s">
        <v>6033</v>
      </c>
      <c r="E2725" s="4" t="s">
        <v>6034</v>
      </c>
    </row>
    <row r="2726" spans="1:5">
      <c r="A2726" s="4" t="s">
        <v>6248</v>
      </c>
      <c r="B2726" s="4" t="s">
        <v>6279</v>
      </c>
      <c r="C2726" s="4" t="s">
        <v>6260</v>
      </c>
      <c r="D2726" s="4" t="s">
        <v>6033</v>
      </c>
      <c r="E2726" s="4" t="s">
        <v>6034</v>
      </c>
    </row>
    <row r="2727" spans="1:5">
      <c r="A2727" s="4" t="s">
        <v>6248</v>
      </c>
      <c r="B2727" s="4" t="s">
        <v>6279</v>
      </c>
      <c r="C2727" s="4" t="s">
        <v>6261</v>
      </c>
      <c r="D2727" s="4" t="s">
        <v>6033</v>
      </c>
      <c r="E2727" s="4" t="s">
        <v>6034</v>
      </c>
    </row>
    <row r="2728" spans="1:5">
      <c r="A2728" s="4" t="s">
        <v>6248</v>
      </c>
      <c r="B2728" s="4" t="s">
        <v>6279</v>
      </c>
      <c r="C2728" s="4" t="s">
        <v>6262</v>
      </c>
      <c r="D2728" s="4" t="s">
        <v>6033</v>
      </c>
      <c r="E2728" s="4" t="s">
        <v>6034</v>
      </c>
    </row>
    <row r="2729" spans="1:5">
      <c r="A2729" s="4" t="s">
        <v>6248</v>
      </c>
      <c r="B2729" s="4" t="s">
        <v>6279</v>
      </c>
      <c r="C2729" s="4" t="s">
        <v>6263</v>
      </c>
      <c r="D2729" s="4" t="s">
        <v>6033</v>
      </c>
      <c r="E2729" s="4" t="s">
        <v>6034</v>
      </c>
    </row>
    <row r="2730" spans="1:5">
      <c r="A2730" s="4" t="s">
        <v>6248</v>
      </c>
      <c r="B2730" s="4" t="s">
        <v>6279</v>
      </c>
      <c r="C2730" s="4" t="s">
        <v>6264</v>
      </c>
      <c r="D2730" s="4" t="s">
        <v>6033</v>
      </c>
      <c r="E2730" s="4" t="s">
        <v>6034</v>
      </c>
    </row>
    <row r="2731" spans="1:5">
      <c r="A2731" s="4" t="s">
        <v>6248</v>
      </c>
      <c r="B2731" s="4" t="s">
        <v>6279</v>
      </c>
      <c r="C2731" s="4" t="s">
        <v>6265</v>
      </c>
      <c r="D2731" s="4" t="s">
        <v>6033</v>
      </c>
      <c r="E2731" s="4" t="s">
        <v>6034</v>
      </c>
    </row>
    <row r="2732" spans="1:5">
      <c r="A2732" s="4" t="s">
        <v>6248</v>
      </c>
      <c r="B2732" s="4" t="s">
        <v>6279</v>
      </c>
      <c r="C2732" s="4" t="s">
        <v>6266</v>
      </c>
      <c r="D2732" s="4" t="s">
        <v>6033</v>
      </c>
      <c r="E2732" s="4" t="s">
        <v>6034</v>
      </c>
    </row>
    <row r="2733" spans="1:5">
      <c r="A2733" s="4" t="s">
        <v>6248</v>
      </c>
      <c r="B2733" s="4" t="s">
        <v>6279</v>
      </c>
      <c r="C2733" s="4" t="s">
        <v>6267</v>
      </c>
      <c r="D2733" s="4" t="s">
        <v>6033</v>
      </c>
      <c r="E2733" s="4" t="s">
        <v>6034</v>
      </c>
    </row>
    <row r="2734" spans="1:5">
      <c r="A2734" s="4" t="s">
        <v>6248</v>
      </c>
      <c r="B2734" s="4" t="s">
        <v>6279</v>
      </c>
      <c r="C2734" s="4" t="s">
        <v>6268</v>
      </c>
      <c r="D2734" s="4" t="s">
        <v>6033</v>
      </c>
      <c r="E2734" s="4" t="s">
        <v>6034</v>
      </c>
    </row>
    <row r="2735" spans="1:5">
      <c r="A2735" s="4" t="s">
        <v>6248</v>
      </c>
      <c r="B2735" s="4" t="s">
        <v>6279</v>
      </c>
      <c r="C2735" s="4" t="s">
        <v>6269</v>
      </c>
      <c r="D2735" s="4" t="s">
        <v>6033</v>
      </c>
      <c r="E2735" s="4" t="s">
        <v>6034</v>
      </c>
    </row>
    <row r="2736" spans="1:5">
      <c r="A2736" s="4" t="s">
        <v>6248</v>
      </c>
      <c r="B2736" s="4" t="s">
        <v>6279</v>
      </c>
      <c r="C2736" s="4" t="s">
        <v>6270</v>
      </c>
      <c r="D2736" s="4" t="s">
        <v>6033</v>
      </c>
      <c r="E2736" s="4" t="s">
        <v>6034</v>
      </c>
    </row>
    <row r="2737" spans="1:5">
      <c r="A2737" s="4" t="s">
        <v>6248</v>
      </c>
      <c r="B2737" s="4" t="s">
        <v>6279</v>
      </c>
      <c r="C2737" s="4" t="s">
        <v>6271</v>
      </c>
      <c r="D2737" s="4" t="s">
        <v>6033</v>
      </c>
      <c r="E2737" s="4" t="s">
        <v>6034</v>
      </c>
    </row>
    <row r="2738" spans="1:5">
      <c r="A2738" s="4" t="s">
        <v>6248</v>
      </c>
      <c r="B2738" s="4" t="s">
        <v>6279</v>
      </c>
      <c r="C2738" s="4" t="s">
        <v>6272</v>
      </c>
      <c r="D2738" s="4" t="s">
        <v>6033</v>
      </c>
      <c r="E2738" s="4" t="s">
        <v>6034</v>
      </c>
    </row>
    <row r="2739" spans="1:5">
      <c r="A2739" s="4" t="s">
        <v>6248</v>
      </c>
      <c r="B2739" s="4" t="s">
        <v>6279</v>
      </c>
      <c r="C2739" s="4" t="s">
        <v>6273</v>
      </c>
      <c r="D2739" s="4" t="s">
        <v>6033</v>
      </c>
      <c r="E2739" s="4" t="s">
        <v>6034</v>
      </c>
    </row>
    <row r="2740" spans="1:5">
      <c r="A2740" s="4" t="s">
        <v>6248</v>
      </c>
      <c r="B2740" s="4" t="s">
        <v>6279</v>
      </c>
      <c r="C2740" s="4" t="s">
        <v>6274</v>
      </c>
      <c r="D2740" s="4" t="s">
        <v>6033</v>
      </c>
      <c r="E2740" s="4" t="s">
        <v>6034</v>
      </c>
    </row>
    <row r="2741" spans="1:5">
      <c r="A2741" s="4" t="s">
        <v>6248</v>
      </c>
      <c r="B2741" s="4" t="s">
        <v>6279</v>
      </c>
      <c r="C2741" s="4" t="s">
        <v>6275</v>
      </c>
      <c r="D2741" s="4" t="s">
        <v>6033</v>
      </c>
      <c r="E2741" s="4" t="s">
        <v>6034</v>
      </c>
    </row>
    <row r="2742" spans="1:5">
      <c r="A2742" s="4" t="s">
        <v>6248</v>
      </c>
      <c r="B2742" s="4" t="s">
        <v>6279</v>
      </c>
      <c r="C2742" s="4" t="s">
        <v>6276</v>
      </c>
      <c r="D2742" s="4" t="s">
        <v>6033</v>
      </c>
      <c r="E2742" s="4" t="s">
        <v>6034</v>
      </c>
    </row>
    <row r="2743" spans="1:5">
      <c r="A2743" s="4" t="s">
        <v>6248</v>
      </c>
      <c r="B2743" s="4" t="s">
        <v>6279</v>
      </c>
      <c r="C2743" s="4" t="s">
        <v>6277</v>
      </c>
      <c r="D2743" s="4" t="s">
        <v>6033</v>
      </c>
      <c r="E2743" s="4" t="s">
        <v>6034</v>
      </c>
    </row>
    <row r="2744" spans="1:5">
      <c r="A2744" s="4" t="s">
        <v>6248</v>
      </c>
      <c r="B2744" s="4" t="s">
        <v>6279</v>
      </c>
      <c r="C2744" s="4" t="s">
        <v>6278</v>
      </c>
      <c r="D2744" s="4" t="s">
        <v>6033</v>
      </c>
      <c r="E2744" s="4" t="s">
        <v>6034</v>
      </c>
    </row>
    <row r="2745" spans="1:5">
      <c r="A2745" s="4" t="s">
        <v>6248</v>
      </c>
      <c r="B2745" s="4" t="s">
        <v>6280</v>
      </c>
      <c r="C2745" s="4" t="s">
        <v>6250</v>
      </c>
      <c r="D2745" s="4" t="s">
        <v>6033</v>
      </c>
      <c r="E2745" s="4" t="s">
        <v>6034</v>
      </c>
    </row>
    <row r="2746" spans="1:5">
      <c r="A2746" s="4" t="s">
        <v>6248</v>
      </c>
      <c r="B2746" s="4" t="s">
        <v>6280</v>
      </c>
      <c r="C2746" s="4" t="s">
        <v>6249</v>
      </c>
      <c r="D2746" s="4" t="s">
        <v>6033</v>
      </c>
      <c r="E2746" s="4" t="s">
        <v>6034</v>
      </c>
    </row>
    <row r="2747" spans="1:5">
      <c r="A2747" s="4" t="s">
        <v>6248</v>
      </c>
      <c r="B2747" s="4" t="s">
        <v>6280</v>
      </c>
      <c r="C2747" s="4" t="s">
        <v>6251</v>
      </c>
      <c r="D2747" s="4" t="s">
        <v>6033</v>
      </c>
      <c r="E2747" s="4" t="s">
        <v>6034</v>
      </c>
    </row>
    <row r="2748" spans="1:5">
      <c r="A2748" s="4" t="s">
        <v>6248</v>
      </c>
      <c r="B2748" s="4" t="s">
        <v>6280</v>
      </c>
      <c r="C2748" s="4" t="s">
        <v>6252</v>
      </c>
      <c r="D2748" s="4" t="s">
        <v>6033</v>
      </c>
      <c r="E2748" s="4" t="s">
        <v>6034</v>
      </c>
    </row>
    <row r="2749" spans="1:5">
      <c r="A2749" s="4" t="s">
        <v>6248</v>
      </c>
      <c r="B2749" s="4" t="s">
        <v>6280</v>
      </c>
      <c r="C2749" s="4" t="s">
        <v>6253</v>
      </c>
      <c r="D2749" s="4" t="s">
        <v>6033</v>
      </c>
      <c r="E2749" s="4" t="s">
        <v>6034</v>
      </c>
    </row>
    <row r="2750" spans="1:5">
      <c r="A2750" s="4" t="s">
        <v>6248</v>
      </c>
      <c r="B2750" s="4" t="s">
        <v>6280</v>
      </c>
      <c r="C2750" s="4" t="s">
        <v>6254</v>
      </c>
      <c r="D2750" s="4" t="s">
        <v>6033</v>
      </c>
      <c r="E2750" s="4" t="s">
        <v>6034</v>
      </c>
    </row>
    <row r="2751" spans="1:5">
      <c r="A2751" s="4" t="s">
        <v>6248</v>
      </c>
      <c r="B2751" s="4" t="s">
        <v>6280</v>
      </c>
      <c r="C2751" s="4" t="s">
        <v>6255</v>
      </c>
      <c r="D2751" s="4" t="s">
        <v>6033</v>
      </c>
      <c r="E2751" s="4" t="s">
        <v>6034</v>
      </c>
    </row>
    <row r="2752" spans="1:5">
      <c r="A2752" s="4" t="s">
        <v>6248</v>
      </c>
      <c r="B2752" s="4" t="s">
        <v>6280</v>
      </c>
      <c r="C2752" s="4" t="s">
        <v>6256</v>
      </c>
      <c r="D2752" s="4" t="s">
        <v>6033</v>
      </c>
      <c r="E2752" s="4" t="s">
        <v>6034</v>
      </c>
    </row>
    <row r="2753" spans="1:5">
      <c r="A2753" s="4" t="s">
        <v>6248</v>
      </c>
      <c r="B2753" s="4" t="s">
        <v>6280</v>
      </c>
      <c r="C2753" s="4" t="s">
        <v>6257</v>
      </c>
      <c r="D2753" s="4" t="s">
        <v>6033</v>
      </c>
      <c r="E2753" s="4" t="s">
        <v>6034</v>
      </c>
    </row>
    <row r="2754" spans="1:5">
      <c r="A2754" s="4" t="s">
        <v>6248</v>
      </c>
      <c r="B2754" s="4" t="s">
        <v>6280</v>
      </c>
      <c r="C2754" s="4" t="s">
        <v>6258</v>
      </c>
      <c r="D2754" s="4" t="s">
        <v>6033</v>
      </c>
      <c r="E2754" s="4" t="s">
        <v>6034</v>
      </c>
    </row>
    <row r="2755" spans="1:5">
      <c r="A2755" s="4" t="s">
        <v>6248</v>
      </c>
      <c r="B2755" s="4" t="s">
        <v>6280</v>
      </c>
      <c r="C2755" s="4" t="s">
        <v>6259</v>
      </c>
      <c r="D2755" s="4" t="s">
        <v>6033</v>
      </c>
      <c r="E2755" s="4" t="s">
        <v>6034</v>
      </c>
    </row>
    <row r="2756" spans="1:5">
      <c r="A2756" s="4" t="s">
        <v>6248</v>
      </c>
      <c r="B2756" s="4" t="s">
        <v>6280</v>
      </c>
      <c r="C2756" s="4" t="s">
        <v>6260</v>
      </c>
      <c r="D2756" s="4" t="s">
        <v>6033</v>
      </c>
      <c r="E2756" s="4" t="s">
        <v>6034</v>
      </c>
    </row>
    <row r="2757" spans="1:5">
      <c r="A2757" s="4" t="s">
        <v>6248</v>
      </c>
      <c r="B2757" s="4" t="s">
        <v>6280</v>
      </c>
      <c r="C2757" s="4" t="s">
        <v>6261</v>
      </c>
      <c r="D2757" s="4" t="s">
        <v>6033</v>
      </c>
      <c r="E2757" s="4" t="s">
        <v>6034</v>
      </c>
    </row>
    <row r="2758" spans="1:5">
      <c r="A2758" s="4" t="s">
        <v>6248</v>
      </c>
      <c r="B2758" s="4" t="s">
        <v>6280</v>
      </c>
      <c r="C2758" s="4" t="s">
        <v>6262</v>
      </c>
      <c r="D2758" s="4" t="s">
        <v>6033</v>
      </c>
      <c r="E2758" s="4" t="s">
        <v>6034</v>
      </c>
    </row>
    <row r="2759" spans="1:5">
      <c r="A2759" s="4" t="s">
        <v>6248</v>
      </c>
      <c r="B2759" s="4" t="s">
        <v>6280</v>
      </c>
      <c r="C2759" s="4" t="s">
        <v>6263</v>
      </c>
      <c r="D2759" s="4" t="s">
        <v>6033</v>
      </c>
      <c r="E2759" s="4" t="s">
        <v>6034</v>
      </c>
    </row>
    <row r="2760" spans="1:5">
      <c r="A2760" s="4" t="s">
        <v>6248</v>
      </c>
      <c r="B2760" s="4" t="s">
        <v>6280</v>
      </c>
      <c r="C2760" s="4" t="s">
        <v>6264</v>
      </c>
      <c r="D2760" s="4" t="s">
        <v>6033</v>
      </c>
      <c r="E2760" s="4" t="s">
        <v>6034</v>
      </c>
    </row>
    <row r="2761" spans="1:5">
      <c r="A2761" s="4" t="s">
        <v>6248</v>
      </c>
      <c r="B2761" s="4" t="s">
        <v>6280</v>
      </c>
      <c r="C2761" s="4" t="s">
        <v>6265</v>
      </c>
      <c r="D2761" s="4" t="s">
        <v>6033</v>
      </c>
      <c r="E2761" s="4" t="s">
        <v>6034</v>
      </c>
    </row>
    <row r="2762" spans="1:5">
      <c r="A2762" s="4" t="s">
        <v>6248</v>
      </c>
      <c r="B2762" s="4" t="s">
        <v>6280</v>
      </c>
      <c r="C2762" s="4" t="s">
        <v>6266</v>
      </c>
      <c r="D2762" s="4" t="s">
        <v>6033</v>
      </c>
      <c r="E2762" s="4" t="s">
        <v>6034</v>
      </c>
    </row>
    <row r="2763" spans="1:5">
      <c r="A2763" s="4" t="s">
        <v>6248</v>
      </c>
      <c r="B2763" s="4" t="s">
        <v>6280</v>
      </c>
      <c r="C2763" s="4" t="s">
        <v>6267</v>
      </c>
      <c r="D2763" s="4" t="s">
        <v>6033</v>
      </c>
      <c r="E2763" s="4" t="s">
        <v>6034</v>
      </c>
    </row>
    <row r="2764" spans="1:5">
      <c r="A2764" s="4" t="s">
        <v>6248</v>
      </c>
      <c r="B2764" s="4" t="s">
        <v>6280</v>
      </c>
      <c r="C2764" s="4" t="s">
        <v>6268</v>
      </c>
      <c r="D2764" s="4" t="s">
        <v>6033</v>
      </c>
      <c r="E2764" s="4" t="s">
        <v>6034</v>
      </c>
    </row>
    <row r="2765" spans="1:5">
      <c r="A2765" s="4" t="s">
        <v>6248</v>
      </c>
      <c r="B2765" s="4" t="s">
        <v>6280</v>
      </c>
      <c r="C2765" s="4" t="s">
        <v>6269</v>
      </c>
      <c r="D2765" s="4" t="s">
        <v>6033</v>
      </c>
      <c r="E2765" s="4" t="s">
        <v>6034</v>
      </c>
    </row>
    <row r="2766" spans="1:5">
      <c r="A2766" s="4" t="s">
        <v>6248</v>
      </c>
      <c r="B2766" s="4" t="s">
        <v>6280</v>
      </c>
      <c r="C2766" s="4" t="s">
        <v>6270</v>
      </c>
      <c r="D2766" s="4" t="s">
        <v>6033</v>
      </c>
      <c r="E2766" s="4" t="s">
        <v>6034</v>
      </c>
    </row>
    <row r="2767" spans="1:5">
      <c r="A2767" s="4" t="s">
        <v>6248</v>
      </c>
      <c r="B2767" s="4" t="s">
        <v>6280</v>
      </c>
      <c r="C2767" s="4" t="s">
        <v>6271</v>
      </c>
      <c r="D2767" s="4" t="s">
        <v>6033</v>
      </c>
      <c r="E2767" s="4" t="s">
        <v>6034</v>
      </c>
    </row>
    <row r="2768" spans="1:5">
      <c r="A2768" s="4" t="s">
        <v>6248</v>
      </c>
      <c r="B2768" s="4" t="s">
        <v>6280</v>
      </c>
      <c r="C2768" s="4" t="s">
        <v>6272</v>
      </c>
      <c r="D2768" s="4" t="s">
        <v>6033</v>
      </c>
      <c r="E2768" s="4" t="s">
        <v>6034</v>
      </c>
    </row>
    <row r="2769" spans="1:5">
      <c r="A2769" s="4" t="s">
        <v>6248</v>
      </c>
      <c r="B2769" s="4" t="s">
        <v>6280</v>
      </c>
      <c r="C2769" s="4" t="s">
        <v>6273</v>
      </c>
      <c r="D2769" s="4" t="s">
        <v>6033</v>
      </c>
      <c r="E2769" s="4" t="s">
        <v>6034</v>
      </c>
    </row>
    <row r="2770" spans="1:5">
      <c r="A2770" s="4" t="s">
        <v>6248</v>
      </c>
      <c r="B2770" s="4" t="s">
        <v>6280</v>
      </c>
      <c r="C2770" s="4" t="s">
        <v>6274</v>
      </c>
      <c r="D2770" s="4" t="s">
        <v>6033</v>
      </c>
      <c r="E2770" s="4" t="s">
        <v>6034</v>
      </c>
    </row>
    <row r="2771" spans="1:5">
      <c r="A2771" s="4" t="s">
        <v>6248</v>
      </c>
      <c r="B2771" s="4" t="s">
        <v>6280</v>
      </c>
      <c r="C2771" s="4" t="s">
        <v>6275</v>
      </c>
      <c r="D2771" s="4" t="s">
        <v>6033</v>
      </c>
      <c r="E2771" s="4" t="s">
        <v>6034</v>
      </c>
    </row>
    <row r="2772" spans="1:5">
      <c r="A2772" s="4" t="s">
        <v>6248</v>
      </c>
      <c r="B2772" s="4" t="s">
        <v>6280</v>
      </c>
      <c r="C2772" s="4" t="s">
        <v>6276</v>
      </c>
      <c r="D2772" s="4" t="s">
        <v>6033</v>
      </c>
      <c r="E2772" s="4" t="s">
        <v>6034</v>
      </c>
    </row>
    <row r="2773" spans="1:5">
      <c r="A2773" s="4" t="s">
        <v>6248</v>
      </c>
      <c r="B2773" s="4" t="s">
        <v>6280</v>
      </c>
      <c r="C2773" s="4" t="s">
        <v>6277</v>
      </c>
      <c r="D2773" s="4" t="s">
        <v>6033</v>
      </c>
      <c r="E2773" s="4" t="s">
        <v>6034</v>
      </c>
    </row>
    <row r="2774" spans="1:5">
      <c r="A2774" s="4" t="s">
        <v>6248</v>
      </c>
      <c r="B2774" s="4" t="s">
        <v>6280</v>
      </c>
      <c r="C2774" s="4" t="s">
        <v>6278</v>
      </c>
      <c r="D2774" s="4" t="s">
        <v>6033</v>
      </c>
      <c r="E2774" s="4" t="s">
        <v>6034</v>
      </c>
    </row>
    <row r="2775" spans="1:5">
      <c r="A2775" s="4" t="s">
        <v>6248</v>
      </c>
      <c r="B2775" s="4" t="s">
        <v>6280</v>
      </c>
      <c r="C2775" s="4" t="s">
        <v>6279</v>
      </c>
      <c r="D2775" s="4" t="s">
        <v>6033</v>
      </c>
      <c r="E2775" s="4" t="s">
        <v>6034</v>
      </c>
    </row>
    <row r="2776" spans="1:5">
      <c r="A2776" s="4" t="s">
        <v>6248</v>
      </c>
      <c r="B2776" s="4" t="s">
        <v>6281</v>
      </c>
      <c r="C2776" s="4" t="s">
        <v>6250</v>
      </c>
      <c r="D2776" s="4" t="s">
        <v>6033</v>
      </c>
      <c r="E2776" s="4" t="s">
        <v>6034</v>
      </c>
    </row>
    <row r="2777" spans="1:5">
      <c r="A2777" s="4" t="s">
        <v>6248</v>
      </c>
      <c r="B2777" s="4" t="s">
        <v>6281</v>
      </c>
      <c r="C2777" s="4" t="s">
        <v>6249</v>
      </c>
      <c r="D2777" s="4" t="s">
        <v>6033</v>
      </c>
      <c r="E2777" s="4" t="s">
        <v>6034</v>
      </c>
    </row>
    <row r="2778" spans="1:5">
      <c r="A2778" s="4" t="s">
        <v>6248</v>
      </c>
      <c r="B2778" s="4" t="s">
        <v>6281</v>
      </c>
      <c r="C2778" s="4" t="s">
        <v>6251</v>
      </c>
      <c r="D2778" s="4" t="s">
        <v>6033</v>
      </c>
      <c r="E2778" s="4" t="s">
        <v>6034</v>
      </c>
    </row>
    <row r="2779" spans="1:5">
      <c r="A2779" s="4" t="s">
        <v>6248</v>
      </c>
      <c r="B2779" s="4" t="s">
        <v>6281</v>
      </c>
      <c r="C2779" s="4" t="s">
        <v>6252</v>
      </c>
      <c r="D2779" s="4" t="s">
        <v>6033</v>
      </c>
      <c r="E2779" s="4" t="s">
        <v>6034</v>
      </c>
    </row>
    <row r="2780" spans="1:5">
      <c r="A2780" s="4" t="s">
        <v>6248</v>
      </c>
      <c r="B2780" s="4" t="s">
        <v>6281</v>
      </c>
      <c r="C2780" s="4" t="s">
        <v>6253</v>
      </c>
      <c r="D2780" s="4" t="s">
        <v>6033</v>
      </c>
      <c r="E2780" s="4" t="s">
        <v>6034</v>
      </c>
    </row>
    <row r="2781" spans="1:5">
      <c r="A2781" s="4" t="s">
        <v>6248</v>
      </c>
      <c r="B2781" s="4" t="s">
        <v>6281</v>
      </c>
      <c r="C2781" s="4" t="s">
        <v>6254</v>
      </c>
      <c r="D2781" s="4" t="s">
        <v>6033</v>
      </c>
      <c r="E2781" s="4" t="s">
        <v>6034</v>
      </c>
    </row>
    <row r="2782" spans="1:5">
      <c r="A2782" s="4" t="s">
        <v>6248</v>
      </c>
      <c r="B2782" s="4" t="s">
        <v>6281</v>
      </c>
      <c r="C2782" s="4" t="s">
        <v>6255</v>
      </c>
      <c r="D2782" s="4" t="s">
        <v>6033</v>
      </c>
      <c r="E2782" s="4" t="s">
        <v>6034</v>
      </c>
    </row>
    <row r="2783" spans="1:5">
      <c r="A2783" s="4" t="s">
        <v>6248</v>
      </c>
      <c r="B2783" s="4" t="s">
        <v>6281</v>
      </c>
      <c r="C2783" s="4" t="s">
        <v>6256</v>
      </c>
      <c r="D2783" s="4" t="s">
        <v>6033</v>
      </c>
      <c r="E2783" s="4" t="s">
        <v>6034</v>
      </c>
    </row>
    <row r="2784" spans="1:5">
      <c r="A2784" s="4" t="s">
        <v>6248</v>
      </c>
      <c r="B2784" s="4" t="s">
        <v>6281</v>
      </c>
      <c r="C2784" s="4" t="s">
        <v>6257</v>
      </c>
      <c r="D2784" s="4" t="s">
        <v>6033</v>
      </c>
      <c r="E2784" s="4" t="s">
        <v>6034</v>
      </c>
    </row>
    <row r="2785" spans="1:5">
      <c r="A2785" s="4" t="s">
        <v>6248</v>
      </c>
      <c r="B2785" s="4" t="s">
        <v>6281</v>
      </c>
      <c r="C2785" s="4" t="s">
        <v>6258</v>
      </c>
      <c r="D2785" s="4" t="s">
        <v>6033</v>
      </c>
      <c r="E2785" s="4" t="s">
        <v>6034</v>
      </c>
    </row>
    <row r="2786" spans="1:5">
      <c r="A2786" s="4" t="s">
        <v>6248</v>
      </c>
      <c r="B2786" s="4" t="s">
        <v>6281</v>
      </c>
      <c r="C2786" s="4" t="s">
        <v>6259</v>
      </c>
      <c r="D2786" s="4" t="s">
        <v>6033</v>
      </c>
      <c r="E2786" s="4" t="s">
        <v>6034</v>
      </c>
    </row>
    <row r="2787" spans="1:5">
      <c r="A2787" s="4" t="s">
        <v>6248</v>
      </c>
      <c r="B2787" s="4" t="s">
        <v>6281</v>
      </c>
      <c r="C2787" s="4" t="s">
        <v>6260</v>
      </c>
      <c r="D2787" s="4" t="s">
        <v>6033</v>
      </c>
      <c r="E2787" s="4" t="s">
        <v>6034</v>
      </c>
    </row>
    <row r="2788" spans="1:5">
      <c r="A2788" s="4" t="s">
        <v>6248</v>
      </c>
      <c r="B2788" s="4" t="s">
        <v>6281</v>
      </c>
      <c r="C2788" s="4" t="s">
        <v>6261</v>
      </c>
      <c r="D2788" s="4" t="s">
        <v>6033</v>
      </c>
      <c r="E2788" s="4" t="s">
        <v>6034</v>
      </c>
    </row>
    <row r="2789" spans="1:5">
      <c r="A2789" s="4" t="s">
        <v>6248</v>
      </c>
      <c r="B2789" s="4" t="s">
        <v>6281</v>
      </c>
      <c r="C2789" s="4" t="s">
        <v>6262</v>
      </c>
      <c r="D2789" s="4" t="s">
        <v>6033</v>
      </c>
      <c r="E2789" s="4" t="s">
        <v>6034</v>
      </c>
    </row>
    <row r="2790" spans="1:5">
      <c r="A2790" s="4" t="s">
        <v>6248</v>
      </c>
      <c r="B2790" s="4" t="s">
        <v>6281</v>
      </c>
      <c r="C2790" s="4" t="s">
        <v>6263</v>
      </c>
      <c r="D2790" s="4" t="s">
        <v>6033</v>
      </c>
      <c r="E2790" s="4" t="s">
        <v>6034</v>
      </c>
    </row>
    <row r="2791" spans="1:5">
      <c r="A2791" s="4" t="s">
        <v>6248</v>
      </c>
      <c r="B2791" s="4" t="s">
        <v>6281</v>
      </c>
      <c r="C2791" s="4" t="s">
        <v>6264</v>
      </c>
      <c r="D2791" s="4" t="s">
        <v>6033</v>
      </c>
      <c r="E2791" s="4" t="s">
        <v>6034</v>
      </c>
    </row>
    <row r="2792" spans="1:5">
      <c r="A2792" s="4" t="s">
        <v>6248</v>
      </c>
      <c r="B2792" s="4" t="s">
        <v>6281</v>
      </c>
      <c r="C2792" s="4" t="s">
        <v>6265</v>
      </c>
      <c r="D2792" s="4" t="s">
        <v>6033</v>
      </c>
      <c r="E2792" s="4" t="s">
        <v>6034</v>
      </c>
    </row>
    <row r="2793" spans="1:5">
      <c r="A2793" s="4" t="s">
        <v>6248</v>
      </c>
      <c r="B2793" s="4" t="s">
        <v>6281</v>
      </c>
      <c r="C2793" s="4" t="s">
        <v>6266</v>
      </c>
      <c r="D2793" s="4" t="s">
        <v>6033</v>
      </c>
      <c r="E2793" s="4" t="s">
        <v>6034</v>
      </c>
    </row>
    <row r="2794" spans="1:5">
      <c r="A2794" s="4" t="s">
        <v>6248</v>
      </c>
      <c r="B2794" s="4" t="s">
        <v>6281</v>
      </c>
      <c r="C2794" s="4" t="s">
        <v>6267</v>
      </c>
      <c r="D2794" s="4" t="s">
        <v>6033</v>
      </c>
      <c r="E2794" s="4" t="s">
        <v>6034</v>
      </c>
    </row>
    <row r="2795" spans="1:5">
      <c r="A2795" s="4" t="s">
        <v>6248</v>
      </c>
      <c r="B2795" s="4" t="s">
        <v>6281</v>
      </c>
      <c r="C2795" s="4" t="s">
        <v>6268</v>
      </c>
      <c r="D2795" s="4" t="s">
        <v>6033</v>
      </c>
      <c r="E2795" s="4" t="s">
        <v>6034</v>
      </c>
    </row>
    <row r="2796" spans="1:5">
      <c r="A2796" s="4" t="s">
        <v>6248</v>
      </c>
      <c r="B2796" s="4" t="s">
        <v>6281</v>
      </c>
      <c r="C2796" s="4" t="s">
        <v>6269</v>
      </c>
      <c r="D2796" s="4" t="s">
        <v>6033</v>
      </c>
      <c r="E2796" s="4" t="s">
        <v>6034</v>
      </c>
    </row>
    <row r="2797" spans="1:5">
      <c r="A2797" s="4" t="s">
        <v>6248</v>
      </c>
      <c r="B2797" s="4" t="s">
        <v>6281</v>
      </c>
      <c r="C2797" s="4" t="s">
        <v>6270</v>
      </c>
      <c r="D2797" s="4" t="s">
        <v>6033</v>
      </c>
      <c r="E2797" s="4" t="s">
        <v>6034</v>
      </c>
    </row>
    <row r="2798" spans="1:5">
      <c r="A2798" s="4" t="s">
        <v>6248</v>
      </c>
      <c r="B2798" s="4" t="s">
        <v>6281</v>
      </c>
      <c r="C2798" s="4" t="s">
        <v>6271</v>
      </c>
      <c r="D2798" s="4" t="s">
        <v>6033</v>
      </c>
      <c r="E2798" s="4" t="s">
        <v>6034</v>
      </c>
    </row>
    <row r="2799" spans="1:5">
      <c r="A2799" s="4" t="s">
        <v>6248</v>
      </c>
      <c r="B2799" s="4" t="s">
        <v>6281</v>
      </c>
      <c r="C2799" s="4" t="s">
        <v>6272</v>
      </c>
      <c r="D2799" s="4" t="s">
        <v>6033</v>
      </c>
      <c r="E2799" s="4" t="s">
        <v>6034</v>
      </c>
    </row>
    <row r="2800" spans="1:5">
      <c r="A2800" s="4" t="s">
        <v>6248</v>
      </c>
      <c r="B2800" s="4" t="s">
        <v>6281</v>
      </c>
      <c r="C2800" s="4" t="s">
        <v>6273</v>
      </c>
      <c r="D2800" s="4" t="s">
        <v>6033</v>
      </c>
      <c r="E2800" s="4" t="s">
        <v>6034</v>
      </c>
    </row>
    <row r="2801" spans="1:5">
      <c r="A2801" s="4" t="s">
        <v>6248</v>
      </c>
      <c r="B2801" s="4" t="s">
        <v>6281</v>
      </c>
      <c r="C2801" s="4" t="s">
        <v>6274</v>
      </c>
      <c r="D2801" s="4" t="s">
        <v>6033</v>
      </c>
      <c r="E2801" s="4" t="s">
        <v>6034</v>
      </c>
    </row>
    <row r="2802" spans="1:5">
      <c r="A2802" s="4" t="s">
        <v>6248</v>
      </c>
      <c r="B2802" s="4" t="s">
        <v>6281</v>
      </c>
      <c r="C2802" s="4" t="s">
        <v>6275</v>
      </c>
      <c r="D2802" s="4" t="s">
        <v>6033</v>
      </c>
      <c r="E2802" s="4" t="s">
        <v>6034</v>
      </c>
    </row>
    <row r="2803" spans="1:5">
      <c r="A2803" s="4" t="s">
        <v>6248</v>
      </c>
      <c r="B2803" s="4" t="s">
        <v>6281</v>
      </c>
      <c r="C2803" s="4" t="s">
        <v>6276</v>
      </c>
      <c r="D2803" s="4" t="s">
        <v>6033</v>
      </c>
      <c r="E2803" s="4" t="s">
        <v>6034</v>
      </c>
    </row>
    <row r="2804" spans="1:5">
      <c r="A2804" s="4" t="s">
        <v>6248</v>
      </c>
      <c r="B2804" s="4" t="s">
        <v>6281</v>
      </c>
      <c r="C2804" s="4" t="s">
        <v>6277</v>
      </c>
      <c r="D2804" s="4" t="s">
        <v>6033</v>
      </c>
      <c r="E2804" s="4" t="s">
        <v>6034</v>
      </c>
    </row>
    <row r="2805" spans="1:5">
      <c r="A2805" s="4" t="s">
        <v>6248</v>
      </c>
      <c r="B2805" s="4" t="s">
        <v>6281</v>
      </c>
      <c r="C2805" s="4" t="s">
        <v>6278</v>
      </c>
      <c r="D2805" s="4" t="s">
        <v>6033</v>
      </c>
      <c r="E2805" s="4" t="s">
        <v>6034</v>
      </c>
    </row>
    <row r="2806" spans="1:5">
      <c r="A2806" s="4" t="s">
        <v>6248</v>
      </c>
      <c r="B2806" s="4" t="s">
        <v>6281</v>
      </c>
      <c r="C2806" s="4" t="s">
        <v>6279</v>
      </c>
      <c r="D2806" s="4" t="s">
        <v>6033</v>
      </c>
      <c r="E2806" s="4" t="s">
        <v>6034</v>
      </c>
    </row>
    <row r="2807" spans="1:5">
      <c r="A2807" s="4" t="s">
        <v>6248</v>
      </c>
      <c r="B2807" s="4" t="s">
        <v>6281</v>
      </c>
      <c r="C2807" s="4" t="s">
        <v>6280</v>
      </c>
      <c r="D2807" s="4" t="s">
        <v>6033</v>
      </c>
      <c r="E2807" s="4" t="s">
        <v>6034</v>
      </c>
    </row>
    <row r="2808" spans="1:5">
      <c r="A2808" s="4" t="s">
        <v>6248</v>
      </c>
      <c r="B2808" s="4" t="s">
        <v>6282</v>
      </c>
      <c r="C2808" s="4" t="s">
        <v>6250</v>
      </c>
      <c r="D2808" s="4" t="s">
        <v>6033</v>
      </c>
      <c r="E2808" s="4" t="s">
        <v>6034</v>
      </c>
    </row>
    <row r="2809" spans="1:5">
      <c r="A2809" s="4" t="s">
        <v>6248</v>
      </c>
      <c r="B2809" s="4" t="s">
        <v>6282</v>
      </c>
      <c r="C2809" s="4" t="s">
        <v>6249</v>
      </c>
      <c r="D2809" s="4" t="s">
        <v>6033</v>
      </c>
      <c r="E2809" s="4" t="s">
        <v>6034</v>
      </c>
    </row>
    <row r="2810" spans="1:5">
      <c r="A2810" s="4" t="s">
        <v>6248</v>
      </c>
      <c r="B2810" s="4" t="s">
        <v>6282</v>
      </c>
      <c r="C2810" s="4" t="s">
        <v>6251</v>
      </c>
      <c r="D2810" s="4" t="s">
        <v>6033</v>
      </c>
      <c r="E2810" s="4" t="s">
        <v>6034</v>
      </c>
    </row>
    <row r="2811" spans="1:5">
      <c r="A2811" s="4" t="s">
        <v>6248</v>
      </c>
      <c r="B2811" s="4" t="s">
        <v>6282</v>
      </c>
      <c r="C2811" s="4" t="s">
        <v>6252</v>
      </c>
      <c r="D2811" s="4" t="s">
        <v>6033</v>
      </c>
      <c r="E2811" s="4" t="s">
        <v>6034</v>
      </c>
    </row>
    <row r="2812" spans="1:5">
      <c r="A2812" s="4" t="s">
        <v>6248</v>
      </c>
      <c r="B2812" s="4" t="s">
        <v>6282</v>
      </c>
      <c r="C2812" s="4" t="s">
        <v>6253</v>
      </c>
      <c r="D2812" s="4" t="s">
        <v>6033</v>
      </c>
      <c r="E2812" s="4" t="s">
        <v>6034</v>
      </c>
    </row>
    <row r="2813" spans="1:5">
      <c r="A2813" s="4" t="s">
        <v>6248</v>
      </c>
      <c r="B2813" s="4" t="s">
        <v>6282</v>
      </c>
      <c r="C2813" s="4" t="s">
        <v>6254</v>
      </c>
      <c r="D2813" s="4" t="s">
        <v>6033</v>
      </c>
      <c r="E2813" s="4" t="s">
        <v>6034</v>
      </c>
    </row>
    <row r="2814" spans="1:5">
      <c r="A2814" s="4" t="s">
        <v>6248</v>
      </c>
      <c r="B2814" s="4" t="s">
        <v>6282</v>
      </c>
      <c r="C2814" s="4" t="s">
        <v>6255</v>
      </c>
      <c r="D2814" s="4" t="s">
        <v>6033</v>
      </c>
      <c r="E2814" s="4" t="s">
        <v>6034</v>
      </c>
    </row>
    <row r="2815" spans="1:5">
      <c r="A2815" s="4" t="s">
        <v>6248</v>
      </c>
      <c r="B2815" s="4" t="s">
        <v>6282</v>
      </c>
      <c r="C2815" s="4" t="s">
        <v>6256</v>
      </c>
      <c r="D2815" s="4" t="s">
        <v>6033</v>
      </c>
      <c r="E2815" s="4" t="s">
        <v>6034</v>
      </c>
    </row>
    <row r="2816" spans="1:5">
      <c r="A2816" s="4" t="s">
        <v>6248</v>
      </c>
      <c r="B2816" s="4" t="s">
        <v>6282</v>
      </c>
      <c r="C2816" s="4" t="s">
        <v>6257</v>
      </c>
      <c r="D2816" s="4" t="s">
        <v>6033</v>
      </c>
      <c r="E2816" s="4" t="s">
        <v>6034</v>
      </c>
    </row>
    <row r="2817" spans="1:5">
      <c r="A2817" s="4" t="s">
        <v>6248</v>
      </c>
      <c r="B2817" s="4" t="s">
        <v>6282</v>
      </c>
      <c r="C2817" s="4" t="s">
        <v>6258</v>
      </c>
      <c r="D2817" s="4" t="s">
        <v>6033</v>
      </c>
      <c r="E2817" s="4" t="s">
        <v>6034</v>
      </c>
    </row>
    <row r="2818" spans="1:5">
      <c r="A2818" s="4" t="s">
        <v>6248</v>
      </c>
      <c r="B2818" s="4" t="s">
        <v>6282</v>
      </c>
      <c r="C2818" s="4" t="s">
        <v>6259</v>
      </c>
      <c r="D2818" s="4" t="s">
        <v>6033</v>
      </c>
      <c r="E2818" s="4" t="s">
        <v>6034</v>
      </c>
    </row>
    <row r="2819" spans="1:5">
      <c r="A2819" s="4" t="s">
        <v>6248</v>
      </c>
      <c r="B2819" s="4" t="s">
        <v>6282</v>
      </c>
      <c r="C2819" s="4" t="s">
        <v>6260</v>
      </c>
      <c r="D2819" s="4" t="s">
        <v>6033</v>
      </c>
      <c r="E2819" s="4" t="s">
        <v>6034</v>
      </c>
    </row>
    <row r="2820" spans="1:5">
      <c r="A2820" s="4" t="s">
        <v>6248</v>
      </c>
      <c r="B2820" s="4" t="s">
        <v>6282</v>
      </c>
      <c r="C2820" s="4" t="s">
        <v>6261</v>
      </c>
      <c r="D2820" s="4" t="s">
        <v>6033</v>
      </c>
      <c r="E2820" s="4" t="s">
        <v>6034</v>
      </c>
    </row>
    <row r="2821" spans="1:5">
      <c r="A2821" s="4" t="s">
        <v>6248</v>
      </c>
      <c r="B2821" s="4" t="s">
        <v>6282</v>
      </c>
      <c r="C2821" s="4" t="s">
        <v>6262</v>
      </c>
      <c r="D2821" s="4" t="s">
        <v>6033</v>
      </c>
      <c r="E2821" s="4" t="s">
        <v>6034</v>
      </c>
    </row>
    <row r="2822" spans="1:5">
      <c r="A2822" s="4" t="s">
        <v>6248</v>
      </c>
      <c r="B2822" s="4" t="s">
        <v>6282</v>
      </c>
      <c r="C2822" s="4" t="s">
        <v>6263</v>
      </c>
      <c r="D2822" s="4" t="s">
        <v>6033</v>
      </c>
      <c r="E2822" s="4" t="s">
        <v>6034</v>
      </c>
    </row>
    <row r="2823" spans="1:5">
      <c r="A2823" s="4" t="s">
        <v>6248</v>
      </c>
      <c r="B2823" s="4" t="s">
        <v>6282</v>
      </c>
      <c r="C2823" s="4" t="s">
        <v>6264</v>
      </c>
      <c r="D2823" s="4" t="s">
        <v>6033</v>
      </c>
      <c r="E2823" s="4" t="s">
        <v>6034</v>
      </c>
    </row>
    <row r="2824" spans="1:5">
      <c r="A2824" s="4" t="s">
        <v>6248</v>
      </c>
      <c r="B2824" s="4" t="s">
        <v>6282</v>
      </c>
      <c r="C2824" s="4" t="s">
        <v>6265</v>
      </c>
      <c r="D2824" s="4" t="s">
        <v>6033</v>
      </c>
      <c r="E2824" s="4" t="s">
        <v>6034</v>
      </c>
    </row>
    <row r="2825" spans="1:5">
      <c r="A2825" s="4" t="s">
        <v>6248</v>
      </c>
      <c r="B2825" s="4" t="s">
        <v>6282</v>
      </c>
      <c r="C2825" s="4" t="s">
        <v>6266</v>
      </c>
      <c r="D2825" s="4" t="s">
        <v>6033</v>
      </c>
      <c r="E2825" s="4" t="s">
        <v>6034</v>
      </c>
    </row>
    <row r="2826" spans="1:5">
      <c r="A2826" s="4" t="s">
        <v>6248</v>
      </c>
      <c r="B2826" s="4" t="s">
        <v>6282</v>
      </c>
      <c r="C2826" s="4" t="s">
        <v>6267</v>
      </c>
      <c r="D2826" s="4" t="s">
        <v>6033</v>
      </c>
      <c r="E2826" s="4" t="s">
        <v>6034</v>
      </c>
    </row>
    <row r="2827" spans="1:5">
      <c r="A2827" s="4" t="s">
        <v>6248</v>
      </c>
      <c r="B2827" s="4" t="s">
        <v>6282</v>
      </c>
      <c r="C2827" s="4" t="s">
        <v>6268</v>
      </c>
      <c r="D2827" s="4" t="s">
        <v>6033</v>
      </c>
      <c r="E2827" s="4" t="s">
        <v>6034</v>
      </c>
    </row>
    <row r="2828" spans="1:5">
      <c r="A2828" s="4" t="s">
        <v>6248</v>
      </c>
      <c r="B2828" s="4" t="s">
        <v>6282</v>
      </c>
      <c r="C2828" s="4" t="s">
        <v>6269</v>
      </c>
      <c r="D2828" s="4" t="s">
        <v>6033</v>
      </c>
      <c r="E2828" s="4" t="s">
        <v>6034</v>
      </c>
    </row>
    <row r="2829" spans="1:5">
      <c r="A2829" s="4" t="s">
        <v>6248</v>
      </c>
      <c r="B2829" s="4" t="s">
        <v>6282</v>
      </c>
      <c r="C2829" s="4" t="s">
        <v>6270</v>
      </c>
      <c r="D2829" s="4" t="s">
        <v>6033</v>
      </c>
      <c r="E2829" s="4" t="s">
        <v>6034</v>
      </c>
    </row>
    <row r="2830" spans="1:5">
      <c r="A2830" s="4" t="s">
        <v>6248</v>
      </c>
      <c r="B2830" s="4" t="s">
        <v>6282</v>
      </c>
      <c r="C2830" s="4" t="s">
        <v>6271</v>
      </c>
      <c r="D2830" s="4" t="s">
        <v>6033</v>
      </c>
      <c r="E2830" s="4" t="s">
        <v>6034</v>
      </c>
    </row>
    <row r="2831" spans="1:5">
      <c r="A2831" s="4" t="s">
        <v>6248</v>
      </c>
      <c r="B2831" s="4" t="s">
        <v>6282</v>
      </c>
      <c r="C2831" s="4" t="s">
        <v>6272</v>
      </c>
      <c r="D2831" s="4" t="s">
        <v>6033</v>
      </c>
      <c r="E2831" s="4" t="s">
        <v>6034</v>
      </c>
    </row>
    <row r="2832" spans="1:5">
      <c r="A2832" s="4" t="s">
        <v>6248</v>
      </c>
      <c r="B2832" s="4" t="s">
        <v>6282</v>
      </c>
      <c r="C2832" s="4" t="s">
        <v>6273</v>
      </c>
      <c r="D2832" s="4" t="s">
        <v>6033</v>
      </c>
      <c r="E2832" s="4" t="s">
        <v>6034</v>
      </c>
    </row>
    <row r="2833" spans="1:5">
      <c r="A2833" s="4" t="s">
        <v>6248</v>
      </c>
      <c r="B2833" s="4" t="s">
        <v>6282</v>
      </c>
      <c r="C2833" s="4" t="s">
        <v>6274</v>
      </c>
      <c r="D2833" s="4" t="s">
        <v>6033</v>
      </c>
      <c r="E2833" s="4" t="s">
        <v>6034</v>
      </c>
    </row>
    <row r="2834" spans="1:5">
      <c r="A2834" s="4" t="s">
        <v>6248</v>
      </c>
      <c r="B2834" s="4" t="s">
        <v>6282</v>
      </c>
      <c r="C2834" s="4" t="s">
        <v>6275</v>
      </c>
      <c r="D2834" s="4" t="s">
        <v>6033</v>
      </c>
      <c r="E2834" s="4" t="s">
        <v>6034</v>
      </c>
    </row>
    <row r="2835" spans="1:5">
      <c r="A2835" s="4" t="s">
        <v>6248</v>
      </c>
      <c r="B2835" s="4" t="s">
        <v>6282</v>
      </c>
      <c r="C2835" s="4" t="s">
        <v>6276</v>
      </c>
      <c r="D2835" s="4" t="s">
        <v>6033</v>
      </c>
      <c r="E2835" s="4" t="s">
        <v>6034</v>
      </c>
    </row>
    <row r="2836" spans="1:5">
      <c r="A2836" s="4" t="s">
        <v>6248</v>
      </c>
      <c r="B2836" s="4" t="s">
        <v>6282</v>
      </c>
      <c r="C2836" s="4" t="s">
        <v>6277</v>
      </c>
      <c r="D2836" s="4" t="s">
        <v>6033</v>
      </c>
      <c r="E2836" s="4" t="s">
        <v>6034</v>
      </c>
    </row>
    <row r="2837" spans="1:5">
      <c r="A2837" s="4" t="s">
        <v>6248</v>
      </c>
      <c r="B2837" s="4" t="s">
        <v>6282</v>
      </c>
      <c r="C2837" s="4" t="s">
        <v>6278</v>
      </c>
      <c r="D2837" s="4" t="s">
        <v>6033</v>
      </c>
      <c r="E2837" s="4" t="s">
        <v>6034</v>
      </c>
    </row>
    <row r="2838" spans="1:5">
      <c r="A2838" s="4" t="s">
        <v>6248</v>
      </c>
      <c r="B2838" s="4" t="s">
        <v>6282</v>
      </c>
      <c r="C2838" s="4" t="s">
        <v>6279</v>
      </c>
      <c r="D2838" s="4" t="s">
        <v>6033</v>
      </c>
      <c r="E2838" s="4" t="s">
        <v>6034</v>
      </c>
    </row>
    <row r="2839" spans="1:5">
      <c r="A2839" s="4" t="s">
        <v>6248</v>
      </c>
      <c r="B2839" s="4" t="s">
        <v>6282</v>
      </c>
      <c r="C2839" s="4" t="s">
        <v>6280</v>
      </c>
      <c r="D2839" s="4" t="s">
        <v>6033</v>
      </c>
      <c r="E2839" s="4" t="s">
        <v>6034</v>
      </c>
    </row>
    <row r="2840" spans="1:5">
      <c r="A2840" s="4" t="s">
        <v>6248</v>
      </c>
      <c r="B2840" s="4" t="s">
        <v>6282</v>
      </c>
      <c r="C2840" s="4" t="s">
        <v>6281</v>
      </c>
      <c r="D2840" s="4" t="s">
        <v>6033</v>
      </c>
      <c r="E2840" s="4" t="s">
        <v>6034</v>
      </c>
    </row>
    <row r="2841" spans="1:5">
      <c r="A2841" s="4" t="s">
        <v>6248</v>
      </c>
      <c r="B2841" s="4" t="s">
        <v>6283</v>
      </c>
      <c r="C2841" s="4" t="s">
        <v>6250</v>
      </c>
      <c r="D2841" s="4" t="s">
        <v>6033</v>
      </c>
      <c r="E2841" s="4" t="s">
        <v>6034</v>
      </c>
    </row>
    <row r="2842" spans="1:5">
      <c r="A2842" s="4" t="s">
        <v>6248</v>
      </c>
      <c r="B2842" s="4" t="s">
        <v>6283</v>
      </c>
      <c r="C2842" s="4" t="s">
        <v>6249</v>
      </c>
      <c r="D2842" s="4" t="s">
        <v>6033</v>
      </c>
      <c r="E2842" s="4" t="s">
        <v>6034</v>
      </c>
    </row>
    <row r="2843" spans="1:5">
      <c r="A2843" s="4" t="s">
        <v>6248</v>
      </c>
      <c r="B2843" s="4" t="s">
        <v>6283</v>
      </c>
      <c r="C2843" s="4" t="s">
        <v>6251</v>
      </c>
      <c r="D2843" s="4" t="s">
        <v>6033</v>
      </c>
      <c r="E2843" s="4" t="s">
        <v>6034</v>
      </c>
    </row>
    <row r="2844" spans="1:5">
      <c r="A2844" s="4" t="s">
        <v>6248</v>
      </c>
      <c r="B2844" s="4" t="s">
        <v>6283</v>
      </c>
      <c r="C2844" s="4" t="s">
        <v>6252</v>
      </c>
      <c r="D2844" s="4" t="s">
        <v>6033</v>
      </c>
      <c r="E2844" s="4" t="s">
        <v>6034</v>
      </c>
    </row>
    <row r="2845" spans="1:5">
      <c r="A2845" s="4" t="s">
        <v>6248</v>
      </c>
      <c r="B2845" s="4" t="s">
        <v>6283</v>
      </c>
      <c r="C2845" s="4" t="s">
        <v>6253</v>
      </c>
      <c r="D2845" s="4" t="s">
        <v>6033</v>
      </c>
      <c r="E2845" s="4" t="s">
        <v>6034</v>
      </c>
    </row>
    <row r="2846" spans="1:5">
      <c r="A2846" s="4" t="s">
        <v>6248</v>
      </c>
      <c r="B2846" s="4" t="s">
        <v>6283</v>
      </c>
      <c r="C2846" s="4" t="s">
        <v>6254</v>
      </c>
      <c r="D2846" s="4" t="s">
        <v>6033</v>
      </c>
      <c r="E2846" s="4" t="s">
        <v>6034</v>
      </c>
    </row>
    <row r="2847" spans="1:5">
      <c r="A2847" s="4" t="s">
        <v>6248</v>
      </c>
      <c r="B2847" s="4" t="s">
        <v>6283</v>
      </c>
      <c r="C2847" s="4" t="s">
        <v>6255</v>
      </c>
      <c r="D2847" s="4" t="s">
        <v>6033</v>
      </c>
      <c r="E2847" s="4" t="s">
        <v>6034</v>
      </c>
    </row>
    <row r="2848" spans="1:5">
      <c r="A2848" s="4" t="s">
        <v>6248</v>
      </c>
      <c r="B2848" s="4" t="s">
        <v>6283</v>
      </c>
      <c r="C2848" s="4" t="s">
        <v>6256</v>
      </c>
      <c r="D2848" s="4" t="s">
        <v>6033</v>
      </c>
      <c r="E2848" s="4" t="s">
        <v>6034</v>
      </c>
    </row>
    <row r="2849" spans="1:5">
      <c r="A2849" s="4" t="s">
        <v>6248</v>
      </c>
      <c r="B2849" s="4" t="s">
        <v>6283</v>
      </c>
      <c r="C2849" s="4" t="s">
        <v>6257</v>
      </c>
      <c r="D2849" s="4" t="s">
        <v>6033</v>
      </c>
      <c r="E2849" s="4" t="s">
        <v>6034</v>
      </c>
    </row>
    <row r="2850" spans="1:5">
      <c r="A2850" s="4" t="s">
        <v>6248</v>
      </c>
      <c r="B2850" s="4" t="s">
        <v>6283</v>
      </c>
      <c r="C2850" s="4" t="s">
        <v>6258</v>
      </c>
      <c r="D2850" s="4" t="s">
        <v>6033</v>
      </c>
      <c r="E2850" s="4" t="s">
        <v>6034</v>
      </c>
    </row>
    <row r="2851" spans="1:5">
      <c r="A2851" s="4" t="s">
        <v>6248</v>
      </c>
      <c r="B2851" s="4" t="s">
        <v>6283</v>
      </c>
      <c r="C2851" s="4" t="s">
        <v>6259</v>
      </c>
      <c r="D2851" s="4" t="s">
        <v>6033</v>
      </c>
      <c r="E2851" s="4" t="s">
        <v>6034</v>
      </c>
    </row>
    <row r="2852" spans="1:5">
      <c r="A2852" s="4" t="s">
        <v>6248</v>
      </c>
      <c r="B2852" s="4" t="s">
        <v>6283</v>
      </c>
      <c r="C2852" s="4" t="s">
        <v>6260</v>
      </c>
      <c r="D2852" s="4" t="s">
        <v>6033</v>
      </c>
      <c r="E2852" s="4" t="s">
        <v>6034</v>
      </c>
    </row>
    <row r="2853" spans="1:5">
      <c r="A2853" s="4" t="s">
        <v>6248</v>
      </c>
      <c r="B2853" s="4" t="s">
        <v>6283</v>
      </c>
      <c r="C2853" s="4" t="s">
        <v>6261</v>
      </c>
      <c r="D2853" s="4" t="s">
        <v>6033</v>
      </c>
      <c r="E2853" s="4" t="s">
        <v>6034</v>
      </c>
    </row>
    <row r="2854" spans="1:5">
      <c r="A2854" s="4" t="s">
        <v>6248</v>
      </c>
      <c r="B2854" s="4" t="s">
        <v>6283</v>
      </c>
      <c r="C2854" s="4" t="s">
        <v>6262</v>
      </c>
      <c r="D2854" s="4" t="s">
        <v>6033</v>
      </c>
      <c r="E2854" s="4" t="s">
        <v>6034</v>
      </c>
    </row>
    <row r="2855" spans="1:5">
      <c r="A2855" s="4" t="s">
        <v>6248</v>
      </c>
      <c r="B2855" s="4" t="s">
        <v>6283</v>
      </c>
      <c r="C2855" s="4" t="s">
        <v>6263</v>
      </c>
      <c r="D2855" s="4" t="s">
        <v>6033</v>
      </c>
      <c r="E2855" s="4" t="s">
        <v>6034</v>
      </c>
    </row>
    <row r="2856" spans="1:5">
      <c r="A2856" s="4" t="s">
        <v>6248</v>
      </c>
      <c r="B2856" s="4" t="s">
        <v>6283</v>
      </c>
      <c r="C2856" s="4" t="s">
        <v>6264</v>
      </c>
      <c r="D2856" s="4" t="s">
        <v>6033</v>
      </c>
      <c r="E2856" s="4" t="s">
        <v>6034</v>
      </c>
    </row>
    <row r="2857" spans="1:5">
      <c r="A2857" s="4" t="s">
        <v>6248</v>
      </c>
      <c r="B2857" s="4" t="s">
        <v>6283</v>
      </c>
      <c r="C2857" s="4" t="s">
        <v>6265</v>
      </c>
      <c r="D2857" s="4" t="s">
        <v>6033</v>
      </c>
      <c r="E2857" s="4" t="s">
        <v>6034</v>
      </c>
    </row>
    <row r="2858" spans="1:5">
      <c r="A2858" s="4" t="s">
        <v>6248</v>
      </c>
      <c r="B2858" s="4" t="s">
        <v>6283</v>
      </c>
      <c r="C2858" s="4" t="s">
        <v>6266</v>
      </c>
      <c r="D2858" s="4" t="s">
        <v>6033</v>
      </c>
      <c r="E2858" s="4" t="s">
        <v>6034</v>
      </c>
    </row>
    <row r="2859" spans="1:5">
      <c r="A2859" s="4" t="s">
        <v>6248</v>
      </c>
      <c r="B2859" s="4" t="s">
        <v>6283</v>
      </c>
      <c r="C2859" s="4" t="s">
        <v>6267</v>
      </c>
      <c r="D2859" s="4" t="s">
        <v>6033</v>
      </c>
      <c r="E2859" s="4" t="s">
        <v>6034</v>
      </c>
    </row>
    <row r="2860" spans="1:5">
      <c r="A2860" s="4" t="s">
        <v>6248</v>
      </c>
      <c r="B2860" s="4" t="s">
        <v>6283</v>
      </c>
      <c r="C2860" s="4" t="s">
        <v>6268</v>
      </c>
      <c r="D2860" s="4" t="s">
        <v>6033</v>
      </c>
      <c r="E2860" s="4" t="s">
        <v>6034</v>
      </c>
    </row>
    <row r="2861" spans="1:5">
      <c r="A2861" s="4" t="s">
        <v>6248</v>
      </c>
      <c r="B2861" s="4" t="s">
        <v>6283</v>
      </c>
      <c r="C2861" s="4" t="s">
        <v>6269</v>
      </c>
      <c r="D2861" s="4" t="s">
        <v>6033</v>
      </c>
      <c r="E2861" s="4" t="s">
        <v>6034</v>
      </c>
    </row>
    <row r="2862" spans="1:5">
      <c r="A2862" s="4" t="s">
        <v>6248</v>
      </c>
      <c r="B2862" s="4" t="s">
        <v>6283</v>
      </c>
      <c r="C2862" s="4" t="s">
        <v>6270</v>
      </c>
      <c r="D2862" s="4" t="s">
        <v>6033</v>
      </c>
      <c r="E2862" s="4" t="s">
        <v>6034</v>
      </c>
    </row>
    <row r="2863" spans="1:5">
      <c r="A2863" s="4" t="s">
        <v>6248</v>
      </c>
      <c r="B2863" s="4" t="s">
        <v>6283</v>
      </c>
      <c r="C2863" s="4" t="s">
        <v>6271</v>
      </c>
      <c r="D2863" s="4" t="s">
        <v>6033</v>
      </c>
      <c r="E2863" s="4" t="s">
        <v>6034</v>
      </c>
    </row>
    <row r="2864" spans="1:5">
      <c r="A2864" s="4" t="s">
        <v>6248</v>
      </c>
      <c r="B2864" s="4" t="s">
        <v>6283</v>
      </c>
      <c r="C2864" s="4" t="s">
        <v>6272</v>
      </c>
      <c r="D2864" s="4" t="s">
        <v>6033</v>
      </c>
      <c r="E2864" s="4" t="s">
        <v>6034</v>
      </c>
    </row>
    <row r="2865" spans="1:5">
      <c r="A2865" s="4" t="s">
        <v>6248</v>
      </c>
      <c r="B2865" s="4" t="s">
        <v>6283</v>
      </c>
      <c r="C2865" s="4" t="s">
        <v>6273</v>
      </c>
      <c r="D2865" s="4" t="s">
        <v>6033</v>
      </c>
      <c r="E2865" s="4" t="s">
        <v>6034</v>
      </c>
    </row>
    <row r="2866" spans="1:5">
      <c r="A2866" s="4" t="s">
        <v>6248</v>
      </c>
      <c r="B2866" s="4" t="s">
        <v>6283</v>
      </c>
      <c r="C2866" s="4" t="s">
        <v>6274</v>
      </c>
      <c r="D2866" s="4" t="s">
        <v>6033</v>
      </c>
      <c r="E2866" s="4" t="s">
        <v>6034</v>
      </c>
    </row>
    <row r="2867" spans="1:5">
      <c r="A2867" s="4" t="s">
        <v>6248</v>
      </c>
      <c r="B2867" s="4" t="s">
        <v>6283</v>
      </c>
      <c r="C2867" s="4" t="s">
        <v>6275</v>
      </c>
      <c r="D2867" s="4" t="s">
        <v>6033</v>
      </c>
      <c r="E2867" s="4" t="s">
        <v>6034</v>
      </c>
    </row>
    <row r="2868" spans="1:5">
      <c r="A2868" s="4" t="s">
        <v>6248</v>
      </c>
      <c r="B2868" s="4" t="s">
        <v>6283</v>
      </c>
      <c r="C2868" s="4" t="s">
        <v>6276</v>
      </c>
      <c r="D2868" s="4" t="s">
        <v>6033</v>
      </c>
      <c r="E2868" s="4" t="s">
        <v>6034</v>
      </c>
    </row>
    <row r="2869" spans="1:5">
      <c r="A2869" s="4" t="s">
        <v>6248</v>
      </c>
      <c r="B2869" s="4" t="s">
        <v>6283</v>
      </c>
      <c r="C2869" s="4" t="s">
        <v>6277</v>
      </c>
      <c r="D2869" s="4" t="s">
        <v>6033</v>
      </c>
      <c r="E2869" s="4" t="s">
        <v>6034</v>
      </c>
    </row>
    <row r="2870" spans="1:5">
      <c r="A2870" s="4" t="s">
        <v>6248</v>
      </c>
      <c r="B2870" s="4" t="s">
        <v>6283</v>
      </c>
      <c r="C2870" s="4" t="s">
        <v>6278</v>
      </c>
      <c r="D2870" s="4" t="s">
        <v>6033</v>
      </c>
      <c r="E2870" s="4" t="s">
        <v>6034</v>
      </c>
    </row>
    <row r="2871" spans="1:5">
      <c r="A2871" s="4" t="s">
        <v>6248</v>
      </c>
      <c r="B2871" s="4" t="s">
        <v>6283</v>
      </c>
      <c r="C2871" s="4" t="s">
        <v>6279</v>
      </c>
      <c r="D2871" s="4" t="s">
        <v>6033</v>
      </c>
      <c r="E2871" s="4" t="s">
        <v>6034</v>
      </c>
    </row>
    <row r="2872" spans="1:5">
      <c r="A2872" s="4" t="s">
        <v>6248</v>
      </c>
      <c r="B2872" s="4" t="s">
        <v>6283</v>
      </c>
      <c r="C2872" s="4" t="s">
        <v>6280</v>
      </c>
      <c r="D2872" s="4" t="s">
        <v>6033</v>
      </c>
      <c r="E2872" s="4" t="s">
        <v>6034</v>
      </c>
    </row>
    <row r="2873" spans="1:5">
      <c r="A2873" s="4" t="s">
        <v>6248</v>
      </c>
      <c r="B2873" s="4" t="s">
        <v>6283</v>
      </c>
      <c r="C2873" s="4" t="s">
        <v>6281</v>
      </c>
      <c r="D2873" s="4" t="s">
        <v>6033</v>
      </c>
      <c r="E2873" s="4" t="s">
        <v>6034</v>
      </c>
    </row>
    <row r="2874" spans="1:5">
      <c r="A2874" s="4" t="s">
        <v>6248</v>
      </c>
      <c r="B2874" s="4" t="s">
        <v>6283</v>
      </c>
      <c r="C2874" s="4" t="s">
        <v>6282</v>
      </c>
      <c r="D2874" s="4" t="s">
        <v>6033</v>
      </c>
      <c r="E2874" s="4" t="s">
        <v>6034</v>
      </c>
    </row>
    <row r="2875" spans="1:5">
      <c r="A2875" s="4" t="s">
        <v>6248</v>
      </c>
      <c r="B2875" s="4" t="s">
        <v>6284</v>
      </c>
      <c r="C2875" s="4" t="s">
        <v>6250</v>
      </c>
      <c r="D2875" s="4" t="s">
        <v>6033</v>
      </c>
      <c r="E2875" s="4" t="s">
        <v>6034</v>
      </c>
    </row>
    <row r="2876" spans="1:5">
      <c r="A2876" s="4" t="s">
        <v>6248</v>
      </c>
      <c r="B2876" s="4" t="s">
        <v>6284</v>
      </c>
      <c r="C2876" s="4" t="s">
        <v>6249</v>
      </c>
      <c r="D2876" s="4" t="s">
        <v>6033</v>
      </c>
      <c r="E2876" s="4" t="s">
        <v>6034</v>
      </c>
    </row>
    <row r="2877" spans="1:5">
      <c r="A2877" s="4" t="s">
        <v>6248</v>
      </c>
      <c r="B2877" s="4" t="s">
        <v>6284</v>
      </c>
      <c r="C2877" s="4" t="s">
        <v>6251</v>
      </c>
      <c r="D2877" s="4" t="s">
        <v>6033</v>
      </c>
      <c r="E2877" s="4" t="s">
        <v>6034</v>
      </c>
    </row>
    <row r="2878" spans="1:5">
      <c r="A2878" s="4" t="s">
        <v>6248</v>
      </c>
      <c r="B2878" s="4" t="s">
        <v>6284</v>
      </c>
      <c r="C2878" s="4" t="s">
        <v>6252</v>
      </c>
      <c r="D2878" s="4" t="s">
        <v>6033</v>
      </c>
      <c r="E2878" s="4" t="s">
        <v>6034</v>
      </c>
    </row>
    <row r="2879" spans="1:5">
      <c r="A2879" s="4" t="s">
        <v>6248</v>
      </c>
      <c r="B2879" s="4" t="s">
        <v>6284</v>
      </c>
      <c r="C2879" s="4" t="s">
        <v>6253</v>
      </c>
      <c r="D2879" s="4" t="s">
        <v>6033</v>
      </c>
      <c r="E2879" s="4" t="s">
        <v>6034</v>
      </c>
    </row>
    <row r="2880" spans="1:5">
      <c r="A2880" s="4" t="s">
        <v>6248</v>
      </c>
      <c r="B2880" s="4" t="s">
        <v>6284</v>
      </c>
      <c r="C2880" s="4" t="s">
        <v>6254</v>
      </c>
      <c r="D2880" s="4" t="s">
        <v>6033</v>
      </c>
      <c r="E2880" s="4" t="s">
        <v>6034</v>
      </c>
    </row>
    <row r="2881" spans="1:5">
      <c r="A2881" s="4" t="s">
        <v>6248</v>
      </c>
      <c r="B2881" s="4" t="s">
        <v>6284</v>
      </c>
      <c r="C2881" s="4" t="s">
        <v>6255</v>
      </c>
      <c r="D2881" s="4" t="s">
        <v>6033</v>
      </c>
      <c r="E2881" s="4" t="s">
        <v>6034</v>
      </c>
    </row>
    <row r="2882" spans="1:5">
      <c r="A2882" s="4" t="s">
        <v>6248</v>
      </c>
      <c r="B2882" s="4" t="s">
        <v>6284</v>
      </c>
      <c r="C2882" s="4" t="s">
        <v>6256</v>
      </c>
      <c r="D2882" s="4" t="s">
        <v>6033</v>
      </c>
      <c r="E2882" s="4" t="s">
        <v>6034</v>
      </c>
    </row>
    <row r="2883" spans="1:5">
      <c r="A2883" s="4" t="s">
        <v>6248</v>
      </c>
      <c r="B2883" s="4" t="s">
        <v>6284</v>
      </c>
      <c r="C2883" s="4" t="s">
        <v>6257</v>
      </c>
      <c r="D2883" s="4" t="s">
        <v>6033</v>
      </c>
      <c r="E2883" s="4" t="s">
        <v>6034</v>
      </c>
    </row>
    <row r="2884" spans="1:5">
      <c r="A2884" s="4" t="s">
        <v>6248</v>
      </c>
      <c r="B2884" s="4" t="s">
        <v>6284</v>
      </c>
      <c r="C2884" s="4" t="s">
        <v>6258</v>
      </c>
      <c r="D2884" s="4" t="s">
        <v>6033</v>
      </c>
      <c r="E2884" s="4" t="s">
        <v>6034</v>
      </c>
    </row>
    <row r="2885" spans="1:5">
      <c r="A2885" s="4" t="s">
        <v>6248</v>
      </c>
      <c r="B2885" s="4" t="s">
        <v>6284</v>
      </c>
      <c r="C2885" s="4" t="s">
        <v>6259</v>
      </c>
      <c r="D2885" s="4" t="s">
        <v>6033</v>
      </c>
      <c r="E2885" s="4" t="s">
        <v>6034</v>
      </c>
    </row>
    <row r="2886" spans="1:5">
      <c r="A2886" s="4" t="s">
        <v>6248</v>
      </c>
      <c r="B2886" s="4" t="s">
        <v>6284</v>
      </c>
      <c r="C2886" s="4" t="s">
        <v>6260</v>
      </c>
      <c r="D2886" s="4" t="s">
        <v>6033</v>
      </c>
      <c r="E2886" s="4" t="s">
        <v>6034</v>
      </c>
    </row>
    <row r="2887" spans="1:5">
      <c r="A2887" s="4" t="s">
        <v>6248</v>
      </c>
      <c r="B2887" s="4" t="s">
        <v>6284</v>
      </c>
      <c r="C2887" s="4" t="s">
        <v>6261</v>
      </c>
      <c r="D2887" s="4" t="s">
        <v>6033</v>
      </c>
      <c r="E2887" s="4" t="s">
        <v>6034</v>
      </c>
    </row>
    <row r="2888" spans="1:5">
      <c r="A2888" s="4" t="s">
        <v>6248</v>
      </c>
      <c r="B2888" s="4" t="s">
        <v>6284</v>
      </c>
      <c r="C2888" s="4" t="s">
        <v>6262</v>
      </c>
      <c r="D2888" s="4" t="s">
        <v>6033</v>
      </c>
      <c r="E2888" s="4" t="s">
        <v>6034</v>
      </c>
    </row>
    <row r="2889" spans="1:5">
      <c r="A2889" s="4" t="s">
        <v>6248</v>
      </c>
      <c r="B2889" s="4" t="s">
        <v>6284</v>
      </c>
      <c r="C2889" s="4" t="s">
        <v>6263</v>
      </c>
      <c r="D2889" s="4" t="s">
        <v>6033</v>
      </c>
      <c r="E2889" s="4" t="s">
        <v>6034</v>
      </c>
    </row>
    <row r="2890" spans="1:5">
      <c r="A2890" s="4" t="s">
        <v>6248</v>
      </c>
      <c r="B2890" s="4" t="s">
        <v>6284</v>
      </c>
      <c r="C2890" s="4" t="s">
        <v>6264</v>
      </c>
      <c r="D2890" s="4" t="s">
        <v>6033</v>
      </c>
      <c r="E2890" s="4" t="s">
        <v>6034</v>
      </c>
    </row>
    <row r="2891" spans="1:5">
      <c r="A2891" s="4" t="s">
        <v>6248</v>
      </c>
      <c r="B2891" s="4" t="s">
        <v>6284</v>
      </c>
      <c r="C2891" s="4" t="s">
        <v>6265</v>
      </c>
      <c r="D2891" s="4" t="s">
        <v>6033</v>
      </c>
      <c r="E2891" s="4" t="s">
        <v>6034</v>
      </c>
    </row>
    <row r="2892" spans="1:5">
      <c r="A2892" s="4" t="s">
        <v>6248</v>
      </c>
      <c r="B2892" s="4" t="s">
        <v>6284</v>
      </c>
      <c r="C2892" s="4" t="s">
        <v>6266</v>
      </c>
      <c r="D2892" s="4" t="s">
        <v>6033</v>
      </c>
      <c r="E2892" s="4" t="s">
        <v>6034</v>
      </c>
    </row>
    <row r="2893" spans="1:5">
      <c r="A2893" s="4" t="s">
        <v>6248</v>
      </c>
      <c r="B2893" s="4" t="s">
        <v>6284</v>
      </c>
      <c r="C2893" s="4" t="s">
        <v>6267</v>
      </c>
      <c r="D2893" s="4" t="s">
        <v>6033</v>
      </c>
      <c r="E2893" s="4" t="s">
        <v>6034</v>
      </c>
    </row>
    <row r="2894" spans="1:5">
      <c r="A2894" s="4" t="s">
        <v>6248</v>
      </c>
      <c r="B2894" s="4" t="s">
        <v>6284</v>
      </c>
      <c r="C2894" s="4" t="s">
        <v>6268</v>
      </c>
      <c r="D2894" s="4" t="s">
        <v>6033</v>
      </c>
      <c r="E2894" s="4" t="s">
        <v>6034</v>
      </c>
    </row>
    <row r="2895" spans="1:5">
      <c r="A2895" s="4" t="s">
        <v>6248</v>
      </c>
      <c r="B2895" s="4" t="s">
        <v>6284</v>
      </c>
      <c r="C2895" s="4" t="s">
        <v>6269</v>
      </c>
      <c r="D2895" s="4" t="s">
        <v>6033</v>
      </c>
      <c r="E2895" s="4" t="s">
        <v>6034</v>
      </c>
    </row>
    <row r="2896" spans="1:5">
      <c r="A2896" s="4" t="s">
        <v>6248</v>
      </c>
      <c r="B2896" s="4" t="s">
        <v>6284</v>
      </c>
      <c r="C2896" s="4" t="s">
        <v>6270</v>
      </c>
      <c r="D2896" s="4" t="s">
        <v>6033</v>
      </c>
      <c r="E2896" s="4" t="s">
        <v>6034</v>
      </c>
    </row>
    <row r="2897" spans="1:5">
      <c r="A2897" s="4" t="s">
        <v>6248</v>
      </c>
      <c r="B2897" s="4" t="s">
        <v>6284</v>
      </c>
      <c r="C2897" s="4" t="s">
        <v>6271</v>
      </c>
      <c r="D2897" s="4" t="s">
        <v>6033</v>
      </c>
      <c r="E2897" s="4" t="s">
        <v>6034</v>
      </c>
    </row>
    <row r="2898" spans="1:5">
      <c r="A2898" s="4" t="s">
        <v>6248</v>
      </c>
      <c r="B2898" s="4" t="s">
        <v>6284</v>
      </c>
      <c r="C2898" s="4" t="s">
        <v>6272</v>
      </c>
      <c r="D2898" s="4" t="s">
        <v>6033</v>
      </c>
      <c r="E2898" s="4" t="s">
        <v>6034</v>
      </c>
    </row>
    <row r="2899" spans="1:5">
      <c r="A2899" s="4" t="s">
        <v>6248</v>
      </c>
      <c r="B2899" s="4" t="s">
        <v>6284</v>
      </c>
      <c r="C2899" s="4" t="s">
        <v>6273</v>
      </c>
      <c r="D2899" s="4" t="s">
        <v>6033</v>
      </c>
      <c r="E2899" s="4" t="s">
        <v>6034</v>
      </c>
    </row>
    <row r="2900" spans="1:5">
      <c r="A2900" s="4" t="s">
        <v>6248</v>
      </c>
      <c r="B2900" s="4" t="s">
        <v>6284</v>
      </c>
      <c r="C2900" s="4" t="s">
        <v>6274</v>
      </c>
      <c r="D2900" s="4" t="s">
        <v>6033</v>
      </c>
      <c r="E2900" s="4" t="s">
        <v>6034</v>
      </c>
    </row>
    <row r="2901" spans="1:5">
      <c r="A2901" s="4" t="s">
        <v>6248</v>
      </c>
      <c r="B2901" s="4" t="s">
        <v>6284</v>
      </c>
      <c r="C2901" s="4" t="s">
        <v>6275</v>
      </c>
      <c r="D2901" s="4" t="s">
        <v>6033</v>
      </c>
      <c r="E2901" s="4" t="s">
        <v>6034</v>
      </c>
    </row>
    <row r="2902" spans="1:5">
      <c r="A2902" s="4" t="s">
        <v>6248</v>
      </c>
      <c r="B2902" s="4" t="s">
        <v>6284</v>
      </c>
      <c r="C2902" s="4" t="s">
        <v>6276</v>
      </c>
      <c r="D2902" s="4" t="s">
        <v>6033</v>
      </c>
      <c r="E2902" s="4" t="s">
        <v>6034</v>
      </c>
    </row>
    <row r="2903" spans="1:5">
      <c r="A2903" s="4" t="s">
        <v>6248</v>
      </c>
      <c r="B2903" s="4" t="s">
        <v>6284</v>
      </c>
      <c r="C2903" s="4" t="s">
        <v>6277</v>
      </c>
      <c r="D2903" s="4" t="s">
        <v>6033</v>
      </c>
      <c r="E2903" s="4" t="s">
        <v>6034</v>
      </c>
    </row>
    <row r="2904" spans="1:5">
      <c r="A2904" s="4" t="s">
        <v>6248</v>
      </c>
      <c r="B2904" s="4" t="s">
        <v>6284</v>
      </c>
      <c r="C2904" s="4" t="s">
        <v>6278</v>
      </c>
      <c r="D2904" s="4" t="s">
        <v>6033</v>
      </c>
      <c r="E2904" s="4" t="s">
        <v>6034</v>
      </c>
    </row>
    <row r="2905" spans="1:5">
      <c r="A2905" s="4" t="s">
        <v>6248</v>
      </c>
      <c r="B2905" s="4" t="s">
        <v>6284</v>
      </c>
      <c r="C2905" s="4" t="s">
        <v>6279</v>
      </c>
      <c r="D2905" s="4" t="s">
        <v>6033</v>
      </c>
      <c r="E2905" s="4" t="s">
        <v>6034</v>
      </c>
    </row>
    <row r="2906" spans="1:5">
      <c r="A2906" s="4" t="s">
        <v>6248</v>
      </c>
      <c r="B2906" s="4" t="s">
        <v>6284</v>
      </c>
      <c r="C2906" s="4" t="s">
        <v>6280</v>
      </c>
      <c r="D2906" s="4" t="s">
        <v>6033</v>
      </c>
      <c r="E2906" s="4" t="s">
        <v>6034</v>
      </c>
    </row>
    <row r="2907" spans="1:5">
      <c r="A2907" s="4" t="s">
        <v>6248</v>
      </c>
      <c r="B2907" s="4" t="s">
        <v>6284</v>
      </c>
      <c r="C2907" s="4" t="s">
        <v>6281</v>
      </c>
      <c r="D2907" s="4" t="s">
        <v>6033</v>
      </c>
      <c r="E2907" s="4" t="s">
        <v>6034</v>
      </c>
    </row>
    <row r="2908" spans="1:5">
      <c r="A2908" s="4" t="s">
        <v>6248</v>
      </c>
      <c r="B2908" s="4" t="s">
        <v>6284</v>
      </c>
      <c r="C2908" s="4" t="s">
        <v>6282</v>
      </c>
      <c r="D2908" s="4" t="s">
        <v>6033</v>
      </c>
      <c r="E2908" s="4" t="s">
        <v>6034</v>
      </c>
    </row>
    <row r="2909" spans="1:5">
      <c r="A2909" s="4" t="s">
        <v>6248</v>
      </c>
      <c r="B2909" s="4" t="s">
        <v>6284</v>
      </c>
      <c r="C2909" s="4" t="s">
        <v>6283</v>
      </c>
      <c r="D2909" s="4" t="s">
        <v>6033</v>
      </c>
      <c r="E2909" s="4" t="s">
        <v>6034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546A"/>
  </sheetPr>
  <dimension ref="A1:Z1000"/>
  <sheetViews>
    <sheetView showGridLines="0" workbookViewId="0"/>
  </sheetViews>
  <sheetFormatPr baseColWidth="10" defaultColWidth="12.6640625" defaultRowHeight="13"/>
  <cols>
    <col min="1" max="1" width="3.1640625" customWidth="1"/>
    <col min="2" max="2" width="57.33203125" customWidth="1"/>
    <col min="3" max="3" width="38.6640625" customWidth="1"/>
    <col min="4" max="4" width="27.1640625" customWidth="1"/>
    <col min="5" max="5" width="32.33203125" customWidth="1"/>
    <col min="6" max="6" width="26.33203125" customWidth="1"/>
    <col min="7" max="7" width="33.1640625" customWidth="1"/>
    <col min="8" max="8" width="49.83203125" customWidth="1"/>
    <col min="9" max="9" width="44.6640625" customWidth="1"/>
    <col min="10" max="10" width="25.83203125" customWidth="1"/>
    <col min="11" max="11" width="29.33203125" customWidth="1"/>
    <col min="12" max="21" width="25.6640625" customWidth="1"/>
    <col min="22" max="26" width="12.1640625" customWidth="1"/>
  </cols>
  <sheetData>
    <row r="1" spans="1:26" ht="15.75" customHeight="1">
      <c r="A1" s="7" t="s">
        <v>6285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54" customHeight="1">
      <c r="A2" s="7"/>
      <c r="B2" s="176" t="s">
        <v>6286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8"/>
      <c r="V2" s="7"/>
      <c r="W2" s="7"/>
      <c r="X2" s="7"/>
      <c r="Y2" s="7"/>
      <c r="Z2" s="7"/>
    </row>
    <row r="3" spans="1:26" ht="19.5" customHeight="1">
      <c r="A3" s="7"/>
      <c r="B3" s="179" t="s">
        <v>6287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8"/>
      <c r="V3" s="7"/>
      <c r="W3" s="7"/>
      <c r="X3" s="7"/>
      <c r="Y3" s="7"/>
      <c r="Z3" s="7"/>
    </row>
    <row r="4" spans="1:26" ht="16">
      <c r="A4" s="7"/>
      <c r="B4" s="7"/>
      <c r="C4" s="7"/>
      <c r="D4" s="8"/>
      <c r="E4" s="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6">
      <c r="A5" s="7"/>
      <c r="B5" s="7"/>
      <c r="C5" s="7"/>
      <c r="D5" s="8"/>
      <c r="E5" s="9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.75" customHeight="1">
      <c r="A6" s="10"/>
      <c r="B6" s="180" t="s">
        <v>6288</v>
      </c>
      <c r="C6" s="181"/>
      <c r="D6" s="8"/>
      <c r="E6" s="11" t="s">
        <v>6289</v>
      </c>
      <c r="F6" s="7"/>
      <c r="G6" s="10"/>
      <c r="H6" s="10"/>
      <c r="I6" s="10"/>
      <c r="J6" s="10"/>
      <c r="K6" s="10"/>
      <c r="L6" s="182"/>
      <c r="M6" s="183"/>
      <c r="N6" s="183"/>
      <c r="O6" s="183"/>
      <c r="P6" s="181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9.5" customHeight="1">
      <c r="A7" s="7"/>
      <c r="B7" s="12" t="s">
        <v>6290</v>
      </c>
      <c r="C7" s="12" t="s">
        <v>6291</v>
      </c>
      <c r="D7" s="8"/>
      <c r="E7" s="13" t="s">
        <v>6292</v>
      </c>
      <c r="F7" s="7" t="s">
        <v>6292</v>
      </c>
      <c r="G7" s="7"/>
      <c r="H7" s="7"/>
      <c r="I7" s="7"/>
      <c r="J7" s="7"/>
      <c r="K7" s="7"/>
      <c r="L7" s="184"/>
      <c r="M7" s="187"/>
      <c r="N7" s="188"/>
      <c r="O7" s="188"/>
      <c r="P7" s="189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9.5" customHeight="1">
      <c r="A8" s="7"/>
      <c r="B8" s="14" t="s">
        <v>6293</v>
      </c>
      <c r="C8" s="14" t="s">
        <v>6294</v>
      </c>
      <c r="D8" s="8"/>
      <c r="E8" s="13" t="s">
        <v>6295</v>
      </c>
      <c r="F8" s="7" t="s">
        <v>6296</v>
      </c>
      <c r="G8" s="7"/>
      <c r="H8" s="7"/>
      <c r="I8" s="7"/>
      <c r="J8" s="7"/>
      <c r="K8" s="7"/>
      <c r="L8" s="185"/>
      <c r="M8" s="190"/>
      <c r="N8" s="175"/>
      <c r="O8" s="175"/>
      <c r="P8" s="191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7">
      <c r="A9" s="7"/>
      <c r="B9" s="14" t="s">
        <v>6293</v>
      </c>
      <c r="C9" s="14" t="s">
        <v>6000</v>
      </c>
      <c r="D9" s="8"/>
      <c r="E9" s="9"/>
      <c r="F9" s="7"/>
      <c r="G9" s="7"/>
      <c r="H9" s="7"/>
      <c r="I9" s="7"/>
      <c r="J9" s="7"/>
      <c r="K9" s="7"/>
      <c r="L9" s="185"/>
      <c r="M9" s="190"/>
      <c r="N9" s="175"/>
      <c r="O9" s="175"/>
      <c r="P9" s="191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7">
      <c r="A10" s="7"/>
      <c r="B10" s="14" t="s">
        <v>6293</v>
      </c>
      <c r="C10" s="14" t="s">
        <v>5995</v>
      </c>
      <c r="D10" s="8"/>
      <c r="E10" s="11" t="s">
        <v>6297</v>
      </c>
      <c r="F10" s="11" t="s">
        <v>6298</v>
      </c>
      <c r="G10" s="11" t="s">
        <v>6299</v>
      </c>
      <c r="H10" s="11" t="s">
        <v>6300</v>
      </c>
      <c r="I10" s="11" t="s">
        <v>6301</v>
      </c>
      <c r="J10" s="7"/>
      <c r="K10" s="7"/>
      <c r="L10" s="185"/>
      <c r="M10" s="190"/>
      <c r="N10" s="175"/>
      <c r="O10" s="175"/>
      <c r="P10" s="191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7">
      <c r="A11" s="7"/>
      <c r="B11" s="14" t="s">
        <v>6293</v>
      </c>
      <c r="C11" s="14" t="s">
        <v>5997</v>
      </c>
      <c r="D11" s="8"/>
      <c r="E11" s="14" t="s">
        <v>5986</v>
      </c>
      <c r="F11" s="14" t="s">
        <v>6299</v>
      </c>
      <c r="G11" s="14" t="s">
        <v>6302</v>
      </c>
      <c r="H11" s="15" t="s">
        <v>6303</v>
      </c>
      <c r="I11" s="15" t="s">
        <v>6304</v>
      </c>
      <c r="J11" s="7"/>
      <c r="K11" s="7"/>
      <c r="L11" s="185"/>
      <c r="M11" s="190"/>
      <c r="N11" s="175"/>
      <c r="O11" s="175"/>
      <c r="P11" s="191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7">
      <c r="A12" s="7"/>
      <c r="B12" s="14" t="s">
        <v>6293</v>
      </c>
      <c r="C12" s="14" t="s">
        <v>6305</v>
      </c>
      <c r="D12" s="8"/>
      <c r="E12" s="14" t="s">
        <v>5993</v>
      </c>
      <c r="F12" s="14" t="s">
        <v>6300</v>
      </c>
      <c r="G12" s="14" t="s">
        <v>6306</v>
      </c>
      <c r="H12" s="15" t="s">
        <v>6306</v>
      </c>
      <c r="I12" s="7"/>
      <c r="J12" s="7"/>
      <c r="K12" s="7"/>
      <c r="L12" s="185"/>
      <c r="M12" s="190"/>
      <c r="N12" s="175"/>
      <c r="O12" s="175"/>
      <c r="P12" s="191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7">
      <c r="A13" s="7"/>
      <c r="B13" s="14" t="s">
        <v>6307</v>
      </c>
      <c r="C13" s="14" t="s">
        <v>6308</v>
      </c>
      <c r="D13" s="8"/>
      <c r="E13" s="9"/>
      <c r="F13" s="7"/>
      <c r="G13" s="14" t="s">
        <v>6309</v>
      </c>
      <c r="H13" s="15" t="s">
        <v>6309</v>
      </c>
      <c r="I13" s="7"/>
      <c r="J13" s="7"/>
      <c r="K13" s="7"/>
      <c r="L13" s="185"/>
      <c r="M13" s="190"/>
      <c r="N13" s="175"/>
      <c r="O13" s="175"/>
      <c r="P13" s="191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7">
      <c r="A14" s="7"/>
      <c r="B14" s="14" t="s">
        <v>6307</v>
      </c>
      <c r="C14" s="14" t="s">
        <v>5997</v>
      </c>
      <c r="D14" s="8"/>
      <c r="E14" s="16" t="s">
        <v>6310</v>
      </c>
      <c r="F14" s="7"/>
      <c r="G14" s="14" t="s">
        <v>6311</v>
      </c>
      <c r="H14" s="15" t="s">
        <v>6311</v>
      </c>
      <c r="I14" s="7"/>
      <c r="J14" s="7"/>
      <c r="K14" s="7"/>
      <c r="L14" s="185"/>
      <c r="M14" s="190"/>
      <c r="N14" s="175"/>
      <c r="O14" s="175"/>
      <c r="P14" s="191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7">
      <c r="A15" s="7"/>
      <c r="B15" s="14" t="s">
        <v>6307</v>
      </c>
      <c r="C15" s="14" t="s">
        <v>6305</v>
      </c>
      <c r="D15" s="8"/>
      <c r="E15" s="14" t="s">
        <v>6312</v>
      </c>
      <c r="F15" s="7"/>
      <c r="G15" s="7"/>
      <c r="H15" s="7"/>
      <c r="I15" s="7"/>
      <c r="J15" s="7"/>
      <c r="K15" s="7"/>
      <c r="L15" s="185"/>
      <c r="M15" s="190"/>
      <c r="N15" s="175"/>
      <c r="O15" s="175"/>
      <c r="P15" s="191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7">
      <c r="A16" s="7"/>
      <c r="B16" s="14" t="s">
        <v>6313</v>
      </c>
      <c r="C16" s="14" t="s">
        <v>6314</v>
      </c>
      <c r="D16" s="8"/>
      <c r="E16" s="14" t="s">
        <v>6315</v>
      </c>
      <c r="F16" s="7"/>
      <c r="G16" s="7"/>
      <c r="H16" s="7"/>
      <c r="I16" s="7"/>
      <c r="J16" s="7"/>
      <c r="K16" s="7"/>
      <c r="L16" s="185"/>
      <c r="M16" s="190"/>
      <c r="N16" s="175"/>
      <c r="O16" s="175"/>
      <c r="P16" s="191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7">
      <c r="A17" s="7"/>
      <c r="B17" s="14" t="s">
        <v>6313</v>
      </c>
      <c r="C17" s="14" t="s">
        <v>6000</v>
      </c>
      <c r="D17" s="8"/>
      <c r="E17" s="14" t="s">
        <v>6316</v>
      </c>
      <c r="F17" s="7"/>
      <c r="G17" s="7"/>
      <c r="H17" s="7"/>
      <c r="I17" s="7"/>
      <c r="J17" s="7"/>
      <c r="K17" s="7"/>
      <c r="L17" s="185"/>
      <c r="M17" s="190"/>
      <c r="N17" s="175"/>
      <c r="O17" s="175"/>
      <c r="P17" s="191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7">
      <c r="A18" s="7"/>
      <c r="B18" s="14" t="s">
        <v>6313</v>
      </c>
      <c r="C18" s="14" t="s">
        <v>5995</v>
      </c>
      <c r="D18" s="8"/>
      <c r="E18" s="14" t="s">
        <v>6317</v>
      </c>
      <c r="F18" s="7"/>
      <c r="G18" s="7"/>
      <c r="H18" s="7"/>
      <c r="I18" s="7"/>
      <c r="J18" s="7"/>
      <c r="K18" s="7"/>
      <c r="L18" s="185"/>
      <c r="M18" s="190"/>
      <c r="N18" s="175"/>
      <c r="O18" s="175"/>
      <c r="P18" s="191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7">
      <c r="A19" s="7"/>
      <c r="B19" s="14" t="s">
        <v>6313</v>
      </c>
      <c r="C19" s="14" t="s">
        <v>5997</v>
      </c>
      <c r="D19" s="8"/>
      <c r="E19" s="14" t="s">
        <v>6318</v>
      </c>
      <c r="F19" s="7"/>
      <c r="G19" s="7"/>
      <c r="H19" s="7"/>
      <c r="I19" s="7"/>
      <c r="J19" s="7"/>
      <c r="K19" s="7"/>
      <c r="L19" s="185"/>
      <c r="M19" s="190"/>
      <c r="N19" s="175"/>
      <c r="O19" s="175"/>
      <c r="P19" s="191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7">
      <c r="A20" s="7"/>
      <c r="B20" s="14" t="s">
        <v>6313</v>
      </c>
      <c r="C20" s="14" t="s">
        <v>6305</v>
      </c>
      <c r="D20" s="8"/>
      <c r="E20" s="9"/>
      <c r="F20" s="7"/>
      <c r="G20" s="7"/>
      <c r="H20" s="7"/>
      <c r="I20" s="7"/>
      <c r="J20" s="7"/>
      <c r="K20" s="7"/>
      <c r="L20" s="185"/>
      <c r="M20" s="190"/>
      <c r="N20" s="175"/>
      <c r="O20" s="175"/>
      <c r="P20" s="191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7">
      <c r="A21" s="7"/>
      <c r="B21" s="14" t="s">
        <v>6319</v>
      </c>
      <c r="C21" s="14" t="s">
        <v>6296</v>
      </c>
      <c r="D21" s="8"/>
      <c r="E21" s="11" t="s">
        <v>6310</v>
      </c>
      <c r="F21" s="7"/>
      <c r="G21" s="7"/>
      <c r="H21" s="7"/>
      <c r="I21" s="7"/>
      <c r="J21" s="7"/>
      <c r="K21" s="7"/>
      <c r="L21" s="185"/>
      <c r="M21" s="190"/>
      <c r="N21" s="175"/>
      <c r="O21" s="175"/>
      <c r="P21" s="191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7">
      <c r="A22" s="7"/>
      <c r="B22" s="14" t="s">
        <v>6319</v>
      </c>
      <c r="C22" s="14" t="s">
        <v>6320</v>
      </c>
      <c r="D22" s="8"/>
      <c r="E22" s="14" t="s">
        <v>6315</v>
      </c>
      <c r="F22" s="7"/>
      <c r="G22" s="7"/>
      <c r="H22" s="7"/>
      <c r="I22" s="7"/>
      <c r="J22" s="7"/>
      <c r="K22" s="7"/>
      <c r="L22" s="185"/>
      <c r="M22" s="190"/>
      <c r="N22" s="175"/>
      <c r="O22" s="175"/>
      <c r="P22" s="191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7">
      <c r="A23" s="7"/>
      <c r="B23" s="14" t="s">
        <v>6319</v>
      </c>
      <c r="C23" s="14" t="s">
        <v>6321</v>
      </c>
      <c r="D23" s="8"/>
      <c r="E23" s="14" t="s">
        <v>6312</v>
      </c>
      <c r="F23" s="7"/>
      <c r="G23" s="7"/>
      <c r="H23" s="7"/>
      <c r="I23" s="7"/>
      <c r="J23" s="7"/>
      <c r="K23" s="7"/>
      <c r="L23" s="185"/>
      <c r="M23" s="190"/>
      <c r="N23" s="175"/>
      <c r="O23" s="175"/>
      <c r="P23" s="191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7">
      <c r="A24" s="7"/>
      <c r="B24" s="14" t="s">
        <v>6319</v>
      </c>
      <c r="C24" s="14" t="s">
        <v>6322</v>
      </c>
      <c r="D24" s="8"/>
      <c r="E24" s="14" t="s">
        <v>6317</v>
      </c>
      <c r="F24" s="7"/>
      <c r="G24" s="7"/>
      <c r="H24" s="7"/>
      <c r="I24" s="7"/>
      <c r="J24" s="7"/>
      <c r="K24" s="7"/>
      <c r="L24" s="185"/>
      <c r="M24" s="190"/>
      <c r="N24" s="175"/>
      <c r="O24" s="175"/>
      <c r="P24" s="191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9.5" customHeight="1">
      <c r="A25" s="7"/>
      <c r="B25" s="14" t="s">
        <v>6319</v>
      </c>
      <c r="C25" s="14" t="s">
        <v>6323</v>
      </c>
      <c r="D25" s="8"/>
      <c r="E25" s="9"/>
      <c r="F25" s="195"/>
      <c r="G25" s="196"/>
      <c r="H25" s="7"/>
      <c r="I25" s="7"/>
      <c r="J25" s="7"/>
      <c r="K25" s="7"/>
      <c r="L25" s="185"/>
      <c r="M25" s="190"/>
      <c r="N25" s="175"/>
      <c r="O25" s="175"/>
      <c r="P25" s="191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5" customHeight="1">
      <c r="A26" s="7"/>
      <c r="B26" s="14" t="s">
        <v>6319</v>
      </c>
      <c r="C26" s="14" t="s">
        <v>6324</v>
      </c>
      <c r="D26" s="8"/>
      <c r="E26" s="9"/>
      <c r="F26" s="17"/>
      <c r="G26" s="17"/>
      <c r="H26" s="7"/>
      <c r="I26" s="7"/>
      <c r="J26" s="7"/>
      <c r="K26" s="7"/>
      <c r="L26" s="185"/>
      <c r="M26" s="190"/>
      <c r="N26" s="175"/>
      <c r="O26" s="175"/>
      <c r="P26" s="191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5" customHeight="1">
      <c r="A27" s="7"/>
      <c r="B27" s="14" t="s">
        <v>6319</v>
      </c>
      <c r="C27" s="14" t="s">
        <v>6325</v>
      </c>
      <c r="D27" s="8"/>
      <c r="E27" s="9"/>
      <c r="F27" s="17"/>
      <c r="G27" s="17"/>
      <c r="H27" s="7"/>
      <c r="I27" s="7"/>
      <c r="J27" s="7"/>
      <c r="K27" s="7"/>
      <c r="L27" s="185"/>
      <c r="M27" s="190"/>
      <c r="N27" s="175"/>
      <c r="O27" s="175"/>
      <c r="P27" s="191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9.5" customHeight="1">
      <c r="A28" s="7"/>
      <c r="B28" s="14" t="s">
        <v>6319</v>
      </c>
      <c r="C28" s="14" t="s">
        <v>6326</v>
      </c>
      <c r="D28" s="8"/>
      <c r="E28" s="9"/>
      <c r="F28" s="17"/>
      <c r="G28" s="17"/>
      <c r="H28" s="7"/>
      <c r="I28" s="7"/>
      <c r="J28" s="7"/>
      <c r="K28" s="7"/>
      <c r="L28" s="185"/>
      <c r="M28" s="190"/>
      <c r="N28" s="175"/>
      <c r="O28" s="175"/>
      <c r="P28" s="191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9.5" customHeight="1">
      <c r="A29" s="7"/>
      <c r="B29" s="14" t="s">
        <v>6319</v>
      </c>
      <c r="C29" s="14" t="s">
        <v>6327</v>
      </c>
      <c r="D29" s="8"/>
      <c r="E29" s="9"/>
      <c r="F29" s="17"/>
      <c r="G29" s="17"/>
      <c r="H29" s="7"/>
      <c r="I29" s="7"/>
      <c r="J29" s="7"/>
      <c r="K29" s="7"/>
      <c r="L29" s="185"/>
      <c r="M29" s="190"/>
      <c r="N29" s="175"/>
      <c r="O29" s="175"/>
      <c r="P29" s="191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6">
      <c r="A30" s="7"/>
      <c r="B30" s="9"/>
      <c r="C30" s="9"/>
      <c r="D30" s="9"/>
      <c r="E30" s="9"/>
      <c r="F30" s="7"/>
      <c r="G30" s="7"/>
      <c r="H30" s="7"/>
      <c r="I30" s="7"/>
      <c r="J30" s="7"/>
      <c r="K30" s="7"/>
      <c r="L30" s="185"/>
      <c r="M30" s="190"/>
      <c r="N30" s="175"/>
      <c r="O30" s="175"/>
      <c r="P30" s="191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8">
      <c r="A31" s="7"/>
      <c r="B31" s="180" t="s">
        <v>6328</v>
      </c>
      <c r="C31" s="181"/>
      <c r="D31" s="9"/>
      <c r="E31" s="9"/>
      <c r="F31" s="7"/>
      <c r="G31" s="7"/>
      <c r="H31" s="7"/>
      <c r="I31" s="7"/>
      <c r="J31" s="7"/>
      <c r="K31" s="7"/>
      <c r="L31" s="185"/>
      <c r="M31" s="190"/>
      <c r="N31" s="175"/>
      <c r="O31" s="175"/>
      <c r="P31" s="191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7">
      <c r="A32" s="7"/>
      <c r="B32" s="11" t="s">
        <v>5983</v>
      </c>
      <c r="C32" s="12" t="s">
        <v>6291</v>
      </c>
      <c r="D32" s="9"/>
      <c r="E32" s="9"/>
      <c r="F32" s="7"/>
      <c r="G32" s="7"/>
      <c r="H32" s="7"/>
      <c r="I32" s="7"/>
      <c r="J32" s="7"/>
      <c r="K32" s="7"/>
      <c r="L32" s="185"/>
      <c r="M32" s="190"/>
      <c r="N32" s="175"/>
      <c r="O32" s="175"/>
      <c r="P32" s="191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7">
      <c r="A33" s="7"/>
      <c r="B33" s="14" t="s">
        <v>6329</v>
      </c>
      <c r="C33" s="13">
        <v>4</v>
      </c>
      <c r="D33" s="9"/>
      <c r="E33" s="9"/>
      <c r="F33" s="7"/>
      <c r="G33" s="7"/>
      <c r="H33" s="7"/>
      <c r="I33" s="7"/>
      <c r="J33" s="7"/>
      <c r="K33" s="7"/>
      <c r="L33" s="185"/>
      <c r="M33" s="190"/>
      <c r="N33" s="175"/>
      <c r="O33" s="175"/>
      <c r="P33" s="191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7">
      <c r="A34" s="7"/>
      <c r="B34" s="14" t="s">
        <v>6330</v>
      </c>
      <c r="C34" s="13">
        <v>16</v>
      </c>
      <c r="D34" s="9"/>
      <c r="E34" s="9"/>
      <c r="F34" s="7"/>
      <c r="G34" s="7"/>
      <c r="H34" s="7"/>
      <c r="I34" s="7"/>
      <c r="J34" s="7"/>
      <c r="K34" s="7"/>
      <c r="L34" s="185"/>
      <c r="M34" s="190"/>
      <c r="N34" s="175"/>
      <c r="O34" s="175"/>
      <c r="P34" s="191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7">
      <c r="A35" s="7"/>
      <c r="B35" s="14" t="s">
        <v>6331</v>
      </c>
      <c r="C35" s="13">
        <v>914</v>
      </c>
      <c r="D35" s="9"/>
      <c r="E35" s="9"/>
      <c r="F35" s="7"/>
      <c r="G35" s="7"/>
      <c r="H35" s="7"/>
      <c r="I35" s="7"/>
      <c r="J35" s="7"/>
      <c r="K35" s="7"/>
      <c r="L35" s="185"/>
      <c r="M35" s="190"/>
      <c r="N35" s="175"/>
      <c r="O35" s="175"/>
      <c r="P35" s="191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7">
      <c r="A36" s="7"/>
      <c r="B36" s="12" t="s">
        <v>6332</v>
      </c>
      <c r="C36" s="12" t="s">
        <v>6291</v>
      </c>
      <c r="D36" s="9"/>
      <c r="E36" s="9"/>
      <c r="F36" s="7"/>
      <c r="G36" s="7"/>
      <c r="H36" s="7"/>
      <c r="I36" s="7"/>
      <c r="J36" s="7"/>
      <c r="K36" s="7"/>
      <c r="L36" s="185"/>
      <c r="M36" s="190"/>
      <c r="N36" s="175"/>
      <c r="O36" s="175"/>
      <c r="P36" s="191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7">
      <c r="A37" s="7"/>
      <c r="B37" s="14" t="s">
        <v>6294</v>
      </c>
      <c r="C37" s="14">
        <v>2</v>
      </c>
      <c r="D37" s="9"/>
      <c r="E37" s="9"/>
      <c r="F37" s="7"/>
      <c r="G37" s="7"/>
      <c r="H37" s="7"/>
      <c r="I37" s="7"/>
      <c r="J37" s="7"/>
      <c r="K37" s="7"/>
      <c r="L37" s="185"/>
      <c r="M37" s="190"/>
      <c r="N37" s="175"/>
      <c r="O37" s="175"/>
      <c r="P37" s="191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7">
      <c r="A38" s="7"/>
      <c r="B38" s="14" t="s">
        <v>6000</v>
      </c>
      <c r="C38" s="14">
        <v>4</v>
      </c>
      <c r="D38" s="9"/>
      <c r="E38" s="9"/>
      <c r="F38" s="7"/>
      <c r="G38" s="7"/>
      <c r="H38" s="7"/>
      <c r="I38" s="7"/>
      <c r="J38" s="7"/>
      <c r="K38" s="7"/>
      <c r="L38" s="185"/>
      <c r="M38" s="190"/>
      <c r="N38" s="175"/>
      <c r="O38" s="175"/>
      <c r="P38" s="191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7">
      <c r="A39" s="7"/>
      <c r="B39" s="14" t="s">
        <v>5995</v>
      </c>
      <c r="C39" s="14">
        <v>8</v>
      </c>
      <c r="D39" s="9"/>
      <c r="E39" s="9"/>
      <c r="F39" s="7"/>
      <c r="G39" s="7"/>
      <c r="H39" s="7"/>
      <c r="I39" s="7"/>
      <c r="J39" s="7"/>
      <c r="K39" s="7"/>
      <c r="L39" s="185"/>
      <c r="M39" s="190"/>
      <c r="N39" s="175"/>
      <c r="O39" s="175"/>
      <c r="P39" s="191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7">
      <c r="A40" s="7"/>
      <c r="B40" s="14" t="s">
        <v>5997</v>
      </c>
      <c r="C40" s="14">
        <v>16</v>
      </c>
      <c r="D40" s="9"/>
      <c r="E40" s="9"/>
      <c r="F40" s="7"/>
      <c r="G40" s="7"/>
      <c r="H40" s="7"/>
      <c r="I40" s="7"/>
      <c r="J40" s="7"/>
      <c r="K40" s="7"/>
      <c r="L40" s="185"/>
      <c r="M40" s="190"/>
      <c r="N40" s="175"/>
      <c r="O40" s="175"/>
      <c r="P40" s="191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7">
      <c r="A41" s="7"/>
      <c r="B41" s="14" t="s">
        <v>6305</v>
      </c>
      <c r="C41" s="14">
        <v>24</v>
      </c>
      <c r="D41" s="9"/>
      <c r="E41" s="9"/>
      <c r="F41" s="7"/>
      <c r="G41" s="7"/>
      <c r="H41" s="7"/>
      <c r="I41" s="7"/>
      <c r="J41" s="7"/>
      <c r="K41" s="7"/>
      <c r="L41" s="185"/>
      <c r="M41" s="190"/>
      <c r="N41" s="175"/>
      <c r="O41" s="175"/>
      <c r="P41" s="191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7">
      <c r="A42" s="7"/>
      <c r="B42" s="12" t="s">
        <v>6333</v>
      </c>
      <c r="C42" s="12" t="s">
        <v>6291</v>
      </c>
      <c r="D42" s="8"/>
      <c r="E42" s="9"/>
      <c r="F42" s="7"/>
      <c r="G42" s="7"/>
      <c r="H42" s="7"/>
      <c r="I42" s="7"/>
      <c r="J42" s="7"/>
      <c r="K42" s="7"/>
      <c r="L42" s="185"/>
      <c r="M42" s="190"/>
      <c r="N42" s="175"/>
      <c r="O42" s="175"/>
      <c r="P42" s="191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7">
      <c r="A43" s="7"/>
      <c r="B43" s="14" t="s">
        <v>6294</v>
      </c>
      <c r="C43" s="14">
        <v>14</v>
      </c>
      <c r="D43" s="8"/>
      <c r="E43" s="9"/>
      <c r="F43" s="7"/>
      <c r="G43" s="7"/>
      <c r="H43" s="7"/>
      <c r="I43" s="7"/>
      <c r="J43" s="7"/>
      <c r="K43" s="7"/>
      <c r="L43" s="185"/>
      <c r="M43" s="190"/>
      <c r="N43" s="175"/>
      <c r="O43" s="175"/>
      <c r="P43" s="191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7">
      <c r="A44" s="7"/>
      <c r="B44" s="14" t="s">
        <v>6000</v>
      </c>
      <c r="C44" s="14">
        <v>21</v>
      </c>
      <c r="D44" s="8"/>
      <c r="E44" s="9"/>
      <c r="F44" s="7"/>
      <c r="G44" s="7"/>
      <c r="H44" s="7"/>
      <c r="I44" s="7"/>
      <c r="J44" s="7"/>
      <c r="K44" s="7"/>
      <c r="L44" s="185"/>
      <c r="M44" s="190"/>
      <c r="N44" s="175"/>
      <c r="O44" s="175"/>
      <c r="P44" s="191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7">
      <c r="A45" s="7"/>
      <c r="B45" s="14" t="s">
        <v>5995</v>
      </c>
      <c r="C45" s="14">
        <v>30</v>
      </c>
      <c r="D45" s="8"/>
      <c r="E45" s="9"/>
      <c r="F45" s="7"/>
      <c r="G45" s="7"/>
      <c r="H45" s="7"/>
      <c r="I45" s="7"/>
      <c r="J45" s="7"/>
      <c r="K45" s="7"/>
      <c r="L45" s="185"/>
      <c r="M45" s="190"/>
      <c r="N45" s="175"/>
      <c r="O45" s="175"/>
      <c r="P45" s="191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7">
      <c r="A46" s="7"/>
      <c r="B46" s="14" t="s">
        <v>5997</v>
      </c>
      <c r="C46" s="14">
        <v>39</v>
      </c>
      <c r="D46" s="8"/>
      <c r="E46" s="9"/>
      <c r="F46" s="7"/>
      <c r="G46" s="7"/>
      <c r="H46" s="7"/>
      <c r="I46" s="7"/>
      <c r="J46" s="7"/>
      <c r="K46" s="7"/>
      <c r="L46" s="185"/>
      <c r="M46" s="190"/>
      <c r="N46" s="175"/>
      <c r="O46" s="175"/>
      <c r="P46" s="191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7">
      <c r="A47" s="7"/>
      <c r="B47" s="14" t="s">
        <v>6305</v>
      </c>
      <c r="C47" s="14">
        <v>58</v>
      </c>
      <c r="D47" s="8"/>
      <c r="E47" s="9"/>
      <c r="F47" s="7"/>
      <c r="G47" s="7"/>
      <c r="H47" s="7"/>
      <c r="I47" s="7"/>
      <c r="J47" s="7"/>
      <c r="K47" s="7"/>
      <c r="L47" s="185"/>
      <c r="M47" s="190"/>
      <c r="N47" s="175"/>
      <c r="O47" s="175"/>
      <c r="P47" s="191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7">
      <c r="A48" s="7"/>
      <c r="B48" s="12" t="s">
        <v>6334</v>
      </c>
      <c r="C48" s="12" t="s">
        <v>6291</v>
      </c>
      <c r="D48" s="8"/>
      <c r="E48" s="9"/>
      <c r="F48" s="7"/>
      <c r="G48" s="7"/>
      <c r="H48" s="7"/>
      <c r="I48" s="7"/>
      <c r="J48" s="7"/>
      <c r="K48" s="7"/>
      <c r="L48" s="185"/>
      <c r="M48" s="190"/>
      <c r="N48" s="175"/>
      <c r="O48" s="175"/>
      <c r="P48" s="191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7">
      <c r="A49" s="7"/>
      <c r="B49" s="14" t="s">
        <v>6335</v>
      </c>
      <c r="C49" s="14">
        <v>604</v>
      </c>
      <c r="D49" s="8"/>
      <c r="E49" s="9"/>
      <c r="F49" s="7"/>
      <c r="G49" s="7"/>
      <c r="H49" s="7"/>
      <c r="I49" s="7"/>
      <c r="J49" s="7"/>
      <c r="K49" s="7"/>
      <c r="L49" s="185"/>
      <c r="M49" s="190"/>
      <c r="N49" s="175"/>
      <c r="O49" s="175"/>
      <c r="P49" s="191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7">
      <c r="A50" s="7"/>
      <c r="B50" s="14" t="s">
        <v>6336</v>
      </c>
      <c r="C50" s="14">
        <v>1494</v>
      </c>
      <c r="D50" s="8"/>
      <c r="E50" s="9"/>
      <c r="F50" s="7"/>
      <c r="G50" s="7"/>
      <c r="H50" s="7"/>
      <c r="I50" s="7"/>
      <c r="J50" s="7"/>
      <c r="K50" s="7"/>
      <c r="L50" s="185"/>
      <c r="M50" s="190"/>
      <c r="N50" s="175"/>
      <c r="O50" s="175"/>
      <c r="P50" s="191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7">
      <c r="A51" s="7"/>
      <c r="B51" s="14" t="s">
        <v>6337</v>
      </c>
      <c r="C51" s="14">
        <v>2874</v>
      </c>
      <c r="D51" s="8"/>
      <c r="E51" s="9"/>
      <c r="F51" s="7"/>
      <c r="G51" s="7"/>
      <c r="H51" s="7"/>
      <c r="I51" s="7"/>
      <c r="J51" s="7"/>
      <c r="K51" s="7"/>
      <c r="L51" s="185"/>
      <c r="M51" s="190"/>
      <c r="N51" s="175"/>
      <c r="O51" s="175"/>
      <c r="P51" s="191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7">
      <c r="A52" s="7"/>
      <c r="B52" s="18" t="s">
        <v>6338</v>
      </c>
      <c r="C52" s="18">
        <v>694</v>
      </c>
      <c r="D52" s="8"/>
      <c r="E52" s="9"/>
      <c r="F52" s="7"/>
      <c r="G52" s="7"/>
      <c r="H52" s="7"/>
      <c r="I52" s="7"/>
      <c r="J52" s="7"/>
      <c r="K52" s="7"/>
      <c r="L52" s="185"/>
      <c r="M52" s="190"/>
      <c r="N52" s="175"/>
      <c r="O52" s="175"/>
      <c r="P52" s="191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7">
      <c r="A53" s="7"/>
      <c r="B53" s="14" t="s">
        <v>6339</v>
      </c>
      <c r="C53" s="14">
        <v>1519</v>
      </c>
      <c r="D53" s="8"/>
      <c r="E53" s="9"/>
      <c r="F53" s="7"/>
      <c r="G53" s="7"/>
      <c r="H53" s="7"/>
      <c r="I53" s="7"/>
      <c r="J53" s="7"/>
      <c r="K53" s="7"/>
      <c r="L53" s="185"/>
      <c r="M53" s="190"/>
      <c r="N53" s="175"/>
      <c r="O53" s="175"/>
      <c r="P53" s="191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7">
      <c r="A54" s="7"/>
      <c r="B54" s="14" t="s">
        <v>6340</v>
      </c>
      <c r="C54" s="14">
        <v>2899</v>
      </c>
      <c r="D54" s="8"/>
      <c r="E54" s="9"/>
      <c r="F54" s="7"/>
      <c r="G54" s="7"/>
      <c r="H54" s="7"/>
      <c r="I54" s="7"/>
      <c r="J54" s="7"/>
      <c r="K54" s="7"/>
      <c r="L54" s="185"/>
      <c r="M54" s="190"/>
      <c r="N54" s="175"/>
      <c r="O54" s="175"/>
      <c r="P54" s="191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7">
      <c r="A55" s="7"/>
      <c r="B55" s="18" t="s">
        <v>6341</v>
      </c>
      <c r="C55" s="18">
        <v>858</v>
      </c>
      <c r="D55" s="8"/>
      <c r="E55" s="9"/>
      <c r="F55" s="7"/>
      <c r="G55" s="7"/>
      <c r="H55" s="7"/>
      <c r="I55" s="7"/>
      <c r="J55" s="7"/>
      <c r="K55" s="7"/>
      <c r="L55" s="185"/>
      <c r="M55" s="190"/>
      <c r="N55" s="175"/>
      <c r="O55" s="175"/>
      <c r="P55" s="191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7">
      <c r="A56" s="7"/>
      <c r="B56" s="14" t="s">
        <v>6342</v>
      </c>
      <c r="C56" s="14">
        <v>1658</v>
      </c>
      <c r="D56" s="8"/>
      <c r="E56" s="9"/>
      <c r="F56" s="7"/>
      <c r="G56" s="7"/>
      <c r="H56" s="7"/>
      <c r="I56" s="7"/>
      <c r="J56" s="7"/>
      <c r="K56" s="7"/>
      <c r="L56" s="185"/>
      <c r="M56" s="190"/>
      <c r="N56" s="175"/>
      <c r="O56" s="175"/>
      <c r="P56" s="191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7">
      <c r="A57" s="7"/>
      <c r="B57" s="14" t="s">
        <v>6343</v>
      </c>
      <c r="C57" s="14">
        <v>3038</v>
      </c>
      <c r="D57" s="8"/>
      <c r="E57" s="9"/>
      <c r="F57" s="7"/>
      <c r="G57" s="7"/>
      <c r="H57" s="7"/>
      <c r="I57" s="7"/>
      <c r="J57" s="7"/>
      <c r="K57" s="7"/>
      <c r="L57" s="185"/>
      <c r="M57" s="190"/>
      <c r="N57" s="175"/>
      <c r="O57" s="175"/>
      <c r="P57" s="191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7">
      <c r="A58" s="7"/>
      <c r="B58" s="14" t="s">
        <v>6344</v>
      </c>
      <c r="C58" s="14">
        <v>1158</v>
      </c>
      <c r="D58" s="8"/>
      <c r="E58" s="9"/>
      <c r="F58" s="7"/>
      <c r="G58" s="7"/>
      <c r="H58" s="7"/>
      <c r="I58" s="7"/>
      <c r="J58" s="7"/>
      <c r="K58" s="7"/>
      <c r="L58" s="185"/>
      <c r="M58" s="190"/>
      <c r="N58" s="175"/>
      <c r="O58" s="175"/>
      <c r="P58" s="191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">
      <c r="A59" s="7"/>
      <c r="B59" s="14" t="s">
        <v>6345</v>
      </c>
      <c r="C59" s="14">
        <v>1708</v>
      </c>
      <c r="D59" s="8"/>
      <c r="E59" s="9"/>
      <c r="F59" s="7"/>
      <c r="G59" s="7"/>
      <c r="H59" s="7"/>
      <c r="I59" s="7"/>
      <c r="J59" s="7"/>
      <c r="K59" s="7"/>
      <c r="L59" s="185"/>
      <c r="M59" s="190"/>
      <c r="N59" s="175"/>
      <c r="O59" s="175"/>
      <c r="P59" s="191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7">
      <c r="A60" s="7"/>
      <c r="B60" s="18" t="s">
        <v>6346</v>
      </c>
      <c r="C60" s="18">
        <v>3088</v>
      </c>
      <c r="D60" s="8"/>
      <c r="E60" s="9"/>
      <c r="F60" s="7"/>
      <c r="G60" s="7"/>
      <c r="H60" s="7"/>
      <c r="I60" s="7"/>
      <c r="J60" s="7"/>
      <c r="K60" s="7"/>
      <c r="L60" s="185"/>
      <c r="M60" s="190"/>
      <c r="N60" s="175"/>
      <c r="O60" s="175"/>
      <c r="P60" s="191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7">
      <c r="A61" s="7"/>
      <c r="B61" s="14" t="s">
        <v>6347</v>
      </c>
      <c r="C61" s="14">
        <v>1783</v>
      </c>
      <c r="D61" s="8"/>
      <c r="E61" s="9"/>
      <c r="F61" s="7"/>
      <c r="G61" s="7"/>
      <c r="H61" s="7"/>
      <c r="I61" s="7"/>
      <c r="J61" s="7"/>
      <c r="K61" s="7"/>
      <c r="L61" s="185"/>
      <c r="M61" s="190"/>
      <c r="N61" s="175"/>
      <c r="O61" s="175"/>
      <c r="P61" s="191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7">
      <c r="A62" s="7"/>
      <c r="B62" s="14" t="s">
        <v>6348</v>
      </c>
      <c r="C62" s="14">
        <v>1833</v>
      </c>
      <c r="D62" s="8"/>
      <c r="E62" s="9"/>
      <c r="F62" s="7"/>
      <c r="G62" s="7"/>
      <c r="H62" s="7"/>
      <c r="I62" s="7"/>
      <c r="J62" s="7"/>
      <c r="K62" s="7"/>
      <c r="L62" s="185"/>
      <c r="M62" s="190"/>
      <c r="N62" s="175"/>
      <c r="O62" s="175"/>
      <c r="P62" s="191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7">
      <c r="A63" s="7"/>
      <c r="B63" s="14" t="s">
        <v>6349</v>
      </c>
      <c r="C63" s="14">
        <v>3213</v>
      </c>
      <c r="D63" s="8"/>
      <c r="E63" s="9"/>
      <c r="F63" s="7"/>
      <c r="G63" s="7"/>
      <c r="H63" s="7"/>
      <c r="I63" s="7"/>
      <c r="J63" s="7"/>
      <c r="K63" s="7"/>
      <c r="L63" s="185"/>
      <c r="M63" s="190"/>
      <c r="N63" s="175"/>
      <c r="O63" s="175"/>
      <c r="P63" s="191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7">
      <c r="A64" s="7"/>
      <c r="B64" s="12" t="s">
        <v>6350</v>
      </c>
      <c r="C64" s="12" t="s">
        <v>6291</v>
      </c>
      <c r="D64" s="8"/>
      <c r="E64" s="9"/>
      <c r="F64" s="7"/>
      <c r="G64" s="7"/>
      <c r="H64" s="7"/>
      <c r="I64" s="7"/>
      <c r="J64" s="7"/>
      <c r="K64" s="7"/>
      <c r="L64" s="185"/>
      <c r="M64" s="190"/>
      <c r="N64" s="175"/>
      <c r="O64" s="175"/>
      <c r="P64" s="191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7">
      <c r="A65" s="7"/>
      <c r="B65" s="14" t="s">
        <v>6314</v>
      </c>
      <c r="C65" s="14">
        <v>2</v>
      </c>
      <c r="D65" s="8"/>
      <c r="E65" s="9"/>
      <c r="F65" s="7"/>
      <c r="G65" s="7"/>
      <c r="H65" s="7"/>
      <c r="I65" s="7"/>
      <c r="J65" s="7"/>
      <c r="K65" s="7"/>
      <c r="L65" s="185"/>
      <c r="M65" s="190"/>
      <c r="N65" s="175"/>
      <c r="O65" s="175"/>
      <c r="P65" s="191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7">
      <c r="A66" s="7"/>
      <c r="B66" s="14" t="s">
        <v>6000</v>
      </c>
      <c r="C66" s="14">
        <v>4</v>
      </c>
      <c r="D66" s="8"/>
      <c r="E66" s="9"/>
      <c r="F66" s="7"/>
      <c r="G66" s="7"/>
      <c r="H66" s="7"/>
      <c r="I66" s="7"/>
      <c r="J66" s="7"/>
      <c r="K66" s="7"/>
      <c r="L66" s="185"/>
      <c r="M66" s="190"/>
      <c r="N66" s="175"/>
      <c r="O66" s="175"/>
      <c r="P66" s="191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7">
      <c r="A67" s="7"/>
      <c r="B67" s="14" t="s">
        <v>5995</v>
      </c>
      <c r="C67" s="14">
        <v>6</v>
      </c>
      <c r="D67" s="8"/>
      <c r="E67" s="9"/>
      <c r="F67" s="7"/>
      <c r="G67" s="7"/>
      <c r="H67" s="7"/>
      <c r="I67" s="7"/>
      <c r="J67" s="7"/>
      <c r="K67" s="7"/>
      <c r="L67" s="185"/>
      <c r="M67" s="190"/>
      <c r="N67" s="175"/>
      <c r="O67" s="175"/>
      <c r="P67" s="191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7">
      <c r="A68" s="7"/>
      <c r="B68" s="14" t="s">
        <v>5997</v>
      </c>
      <c r="C68" s="14">
        <v>12</v>
      </c>
      <c r="D68" s="8"/>
      <c r="E68" s="9"/>
      <c r="F68" s="7"/>
      <c r="G68" s="7"/>
      <c r="H68" s="7"/>
      <c r="I68" s="7"/>
      <c r="J68" s="7"/>
      <c r="K68" s="7"/>
      <c r="L68" s="185"/>
      <c r="M68" s="190"/>
      <c r="N68" s="175"/>
      <c r="O68" s="175"/>
      <c r="P68" s="191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7">
      <c r="A69" s="7"/>
      <c r="B69" s="14" t="s">
        <v>6305</v>
      </c>
      <c r="C69" s="14">
        <v>24</v>
      </c>
      <c r="D69" s="8"/>
      <c r="E69" s="9"/>
      <c r="F69" s="7"/>
      <c r="G69" s="7"/>
      <c r="H69" s="7"/>
      <c r="I69" s="7"/>
      <c r="J69" s="7"/>
      <c r="K69" s="7"/>
      <c r="L69" s="185"/>
      <c r="M69" s="190"/>
      <c r="N69" s="175"/>
      <c r="O69" s="175"/>
      <c r="P69" s="191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7">
      <c r="A70" s="7"/>
      <c r="B70" s="12" t="s">
        <v>6351</v>
      </c>
      <c r="C70" s="12" t="s">
        <v>6291</v>
      </c>
      <c r="D70" s="8"/>
      <c r="E70" s="9"/>
      <c r="F70" s="7"/>
      <c r="G70" s="7"/>
      <c r="H70" s="7"/>
      <c r="I70" s="7"/>
      <c r="J70" s="7"/>
      <c r="K70" s="7"/>
      <c r="L70" s="185"/>
      <c r="M70" s="190"/>
      <c r="N70" s="175"/>
      <c r="O70" s="175"/>
      <c r="P70" s="191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7">
      <c r="A71" s="7"/>
      <c r="B71" s="14" t="s">
        <v>6314</v>
      </c>
      <c r="C71" s="14">
        <v>8</v>
      </c>
      <c r="D71" s="8"/>
      <c r="E71" s="9"/>
      <c r="F71" s="7"/>
      <c r="G71" s="7"/>
      <c r="H71" s="7"/>
      <c r="I71" s="7"/>
      <c r="J71" s="7"/>
      <c r="K71" s="7"/>
      <c r="L71" s="186"/>
      <c r="M71" s="192"/>
      <c r="N71" s="193"/>
      <c r="O71" s="193"/>
      <c r="P71" s="194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7">
      <c r="A72" s="7"/>
      <c r="B72" s="14" t="s">
        <v>6000</v>
      </c>
      <c r="C72" s="14">
        <v>16</v>
      </c>
      <c r="D72" s="8"/>
      <c r="E72" s="9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7">
      <c r="A73" s="7"/>
      <c r="B73" s="14" t="s">
        <v>5995</v>
      </c>
      <c r="C73" s="14">
        <v>24</v>
      </c>
      <c r="D73" s="8"/>
      <c r="E73" s="9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7">
      <c r="A74" s="7"/>
      <c r="B74" s="14" t="s">
        <v>5997</v>
      </c>
      <c r="C74" s="14">
        <v>48</v>
      </c>
      <c r="D74" s="9"/>
      <c r="E74" s="9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7">
      <c r="A75" s="7"/>
      <c r="B75" s="14" t="s">
        <v>6305</v>
      </c>
      <c r="C75" s="14">
        <v>96</v>
      </c>
      <c r="D75" s="7"/>
      <c r="E75" s="9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7">
      <c r="A76" s="7"/>
      <c r="B76" s="12" t="s">
        <v>6352</v>
      </c>
      <c r="C76" s="12" t="s">
        <v>6291</v>
      </c>
      <c r="D76" s="7"/>
      <c r="E76" s="9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7">
      <c r="A77" s="7"/>
      <c r="B77" s="14" t="s">
        <v>6314</v>
      </c>
      <c r="C77" s="14">
        <v>300</v>
      </c>
      <c r="D77" s="8"/>
      <c r="E77" s="9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7">
      <c r="A78" s="7"/>
      <c r="B78" s="14" t="s">
        <v>6000</v>
      </c>
      <c r="C78" s="14">
        <v>300</v>
      </c>
      <c r="D78" s="8"/>
      <c r="E78" s="9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7">
      <c r="A79" s="7"/>
      <c r="B79" s="14" t="s">
        <v>5995</v>
      </c>
      <c r="C79" s="14">
        <v>300</v>
      </c>
      <c r="D79" s="8"/>
      <c r="E79" s="9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7">
      <c r="A80" s="7"/>
      <c r="B80" s="14" t="s">
        <v>5997</v>
      </c>
      <c r="C80" s="14">
        <v>300</v>
      </c>
      <c r="D80" s="8"/>
      <c r="E80" s="9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7">
      <c r="A81" s="7"/>
      <c r="B81" s="14" t="s">
        <v>6305</v>
      </c>
      <c r="C81" s="14">
        <v>400</v>
      </c>
      <c r="D81" s="8"/>
      <c r="E81" s="9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7">
      <c r="A82" s="7"/>
      <c r="B82" s="12" t="s">
        <v>6353</v>
      </c>
      <c r="C82" s="12" t="s">
        <v>6291</v>
      </c>
      <c r="D82" s="8"/>
      <c r="E82" s="9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7">
      <c r="A83" s="7"/>
      <c r="B83" s="14" t="s">
        <v>6320</v>
      </c>
      <c r="C83" s="14">
        <v>2</v>
      </c>
      <c r="D83" s="8"/>
      <c r="E83" s="9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7">
      <c r="A84" s="7"/>
      <c r="B84" s="14" t="s">
        <v>6321</v>
      </c>
      <c r="C84" s="14">
        <v>4</v>
      </c>
      <c r="D84" s="8"/>
      <c r="E84" s="9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7">
      <c r="A85" s="7"/>
      <c r="B85" s="14" t="s">
        <v>6322</v>
      </c>
      <c r="C85" s="14">
        <v>8</v>
      </c>
      <c r="D85" s="8"/>
      <c r="E85" s="9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7">
      <c r="A86" s="7"/>
      <c r="B86" s="14" t="s">
        <v>6323</v>
      </c>
      <c r="C86" s="14">
        <v>16</v>
      </c>
      <c r="D86" s="8"/>
      <c r="E86" s="9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7">
      <c r="A87" s="7"/>
      <c r="B87" s="14" t="s">
        <v>6324</v>
      </c>
      <c r="C87" s="14">
        <v>2</v>
      </c>
      <c r="D87" s="8"/>
      <c r="E87" s="9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7">
      <c r="A88" s="7"/>
      <c r="B88" s="14" t="s">
        <v>6325</v>
      </c>
      <c r="C88" s="14">
        <v>4</v>
      </c>
      <c r="D88" s="8"/>
      <c r="E88" s="9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7">
      <c r="A89" s="7"/>
      <c r="B89" s="14" t="s">
        <v>6326</v>
      </c>
      <c r="C89" s="14">
        <v>8</v>
      </c>
      <c r="D89" s="8"/>
      <c r="E89" s="9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7">
      <c r="A90" s="7"/>
      <c r="B90" s="14" t="s">
        <v>6327</v>
      </c>
      <c r="C90" s="14">
        <v>16</v>
      </c>
      <c r="D90" s="8"/>
      <c r="E90" s="9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7">
      <c r="A91" s="7"/>
      <c r="B91" s="12" t="s">
        <v>6354</v>
      </c>
      <c r="C91" s="12" t="s">
        <v>6291</v>
      </c>
      <c r="D91" s="8"/>
      <c r="E91" s="9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7">
      <c r="A92" s="7"/>
      <c r="B92" s="14" t="s">
        <v>6320</v>
      </c>
      <c r="C92" s="14">
        <v>4</v>
      </c>
      <c r="D92" s="8"/>
      <c r="E92" s="9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7">
      <c r="A93" s="7"/>
      <c r="B93" s="14" t="s">
        <v>6321</v>
      </c>
      <c r="C93" s="14">
        <v>8</v>
      </c>
      <c r="D93" s="8"/>
      <c r="E93" s="9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7">
      <c r="A94" s="7"/>
      <c r="B94" s="14" t="s">
        <v>6322</v>
      </c>
      <c r="C94" s="14">
        <v>32</v>
      </c>
      <c r="D94" s="8"/>
      <c r="E94" s="9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7">
      <c r="A95" s="7"/>
      <c r="B95" s="14" t="s">
        <v>6323</v>
      </c>
      <c r="C95" s="14">
        <v>64</v>
      </c>
      <c r="D95" s="8"/>
      <c r="E95" s="9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7">
      <c r="A96" s="7"/>
      <c r="B96" s="14" t="s">
        <v>6324</v>
      </c>
      <c r="C96" s="14">
        <v>4</v>
      </c>
      <c r="D96" s="8"/>
      <c r="E96" s="9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7">
      <c r="A97" s="7"/>
      <c r="B97" s="14" t="s">
        <v>6325</v>
      </c>
      <c r="C97" s="14">
        <v>8</v>
      </c>
      <c r="D97" s="8"/>
      <c r="E97" s="9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7">
      <c r="A98" s="7"/>
      <c r="B98" s="14" t="s">
        <v>6326</v>
      </c>
      <c r="C98" s="14">
        <v>32</v>
      </c>
      <c r="D98" s="8"/>
      <c r="E98" s="9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7">
      <c r="A99" s="7"/>
      <c r="B99" s="14" t="s">
        <v>6327</v>
      </c>
      <c r="C99" s="14">
        <v>64</v>
      </c>
      <c r="D99" s="8"/>
      <c r="E99" s="9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7">
      <c r="A100" s="7"/>
      <c r="B100" s="12" t="s">
        <v>6355</v>
      </c>
      <c r="C100" s="12" t="s">
        <v>6291</v>
      </c>
      <c r="D100" s="8"/>
      <c r="E100" s="9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7">
      <c r="A101" s="7"/>
      <c r="B101" s="14" t="s">
        <v>6320</v>
      </c>
      <c r="C101" s="14">
        <v>200</v>
      </c>
      <c r="D101" s="8"/>
      <c r="E101" s="9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7">
      <c r="A102" s="7"/>
      <c r="B102" s="14" t="s">
        <v>6321</v>
      </c>
      <c r="C102" s="14">
        <v>200</v>
      </c>
      <c r="D102" s="8"/>
      <c r="E102" s="9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7">
      <c r="A103" s="7"/>
      <c r="B103" s="14" t="s">
        <v>6322</v>
      </c>
      <c r="C103" s="14">
        <v>200</v>
      </c>
      <c r="D103" s="8"/>
      <c r="E103" s="9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7">
      <c r="A104" s="7"/>
      <c r="B104" s="14" t="s">
        <v>6323</v>
      </c>
      <c r="C104" s="14">
        <v>200</v>
      </c>
      <c r="D104" s="8"/>
      <c r="E104" s="9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7">
      <c r="A105" s="7"/>
      <c r="B105" s="14" t="s">
        <v>6324</v>
      </c>
      <c r="C105" s="14">
        <v>200</v>
      </c>
      <c r="D105" s="8"/>
      <c r="E105" s="9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7">
      <c r="A106" s="7"/>
      <c r="B106" s="14" t="s">
        <v>6325</v>
      </c>
      <c r="C106" s="14">
        <v>200</v>
      </c>
      <c r="D106" s="8"/>
      <c r="E106" s="9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7">
      <c r="A107" s="7"/>
      <c r="B107" s="14" t="s">
        <v>6326</v>
      </c>
      <c r="C107" s="14">
        <v>200</v>
      </c>
      <c r="D107" s="8"/>
      <c r="E107" s="9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7">
      <c r="A108" s="7"/>
      <c r="B108" s="14" t="s">
        <v>6327</v>
      </c>
      <c r="C108" s="14">
        <v>200</v>
      </c>
      <c r="D108" s="8"/>
      <c r="E108" s="9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7">
      <c r="A109" s="7"/>
      <c r="B109" s="11" t="s">
        <v>6356</v>
      </c>
      <c r="C109" s="12" t="s">
        <v>6291</v>
      </c>
      <c r="D109" s="8"/>
      <c r="E109" s="9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6">
      <c r="A110" s="7"/>
      <c r="B110" s="13" t="s">
        <v>6000</v>
      </c>
      <c r="C110" s="13">
        <v>2</v>
      </c>
      <c r="D110" s="8"/>
      <c r="E110" s="9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6">
      <c r="A111" s="7"/>
      <c r="B111" s="13" t="s">
        <v>5995</v>
      </c>
      <c r="C111" s="13">
        <v>2</v>
      </c>
      <c r="D111" s="8"/>
      <c r="E111" s="9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6">
      <c r="A112" s="7"/>
      <c r="B112" s="13" t="s">
        <v>5997</v>
      </c>
      <c r="C112" s="13">
        <v>4</v>
      </c>
      <c r="D112" s="8"/>
      <c r="E112" s="9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6">
      <c r="A113" s="7"/>
      <c r="B113" s="13" t="s">
        <v>6305</v>
      </c>
      <c r="C113" s="13">
        <v>4</v>
      </c>
      <c r="D113" s="8"/>
      <c r="E113" s="9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7">
      <c r="A114" s="7"/>
      <c r="B114" s="11" t="s">
        <v>6357</v>
      </c>
      <c r="C114" s="12" t="s">
        <v>6291</v>
      </c>
      <c r="D114" s="8"/>
      <c r="E114" s="9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6">
      <c r="A115" s="7"/>
      <c r="B115" s="13" t="s">
        <v>6000</v>
      </c>
      <c r="C115" s="13">
        <v>4</v>
      </c>
      <c r="D115" s="8"/>
      <c r="E115" s="9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6">
      <c r="A116" s="7"/>
      <c r="B116" s="13" t="s">
        <v>5995</v>
      </c>
      <c r="C116" s="13">
        <v>4</v>
      </c>
      <c r="D116" s="8"/>
      <c r="E116" s="9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6">
      <c r="A117" s="7"/>
      <c r="B117" s="13" t="s">
        <v>5997</v>
      </c>
      <c r="C117" s="13">
        <v>8</v>
      </c>
      <c r="D117" s="8"/>
      <c r="E117" s="9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6">
      <c r="A118" s="7"/>
      <c r="B118" s="13" t="s">
        <v>6305</v>
      </c>
      <c r="C118" s="13">
        <v>8</v>
      </c>
      <c r="D118" s="8"/>
      <c r="E118" s="9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7">
      <c r="A119" s="7"/>
      <c r="B119" s="11" t="s">
        <v>6358</v>
      </c>
      <c r="C119" s="12" t="s">
        <v>6291</v>
      </c>
      <c r="D119" s="8"/>
      <c r="E119" s="9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6">
      <c r="A120" s="7"/>
      <c r="B120" s="13" t="s">
        <v>6000</v>
      </c>
      <c r="C120" s="13">
        <v>10</v>
      </c>
      <c r="D120" s="8"/>
      <c r="E120" s="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6">
      <c r="A121" s="7"/>
      <c r="B121" s="13" t="s">
        <v>5995</v>
      </c>
      <c r="C121" s="13">
        <v>10</v>
      </c>
      <c r="D121" s="8"/>
      <c r="E121" s="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6">
      <c r="A122" s="7"/>
      <c r="B122" s="13" t="s">
        <v>5997</v>
      </c>
      <c r="C122" s="13">
        <v>20</v>
      </c>
      <c r="D122" s="8"/>
      <c r="E122" s="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6">
      <c r="A123" s="7"/>
      <c r="B123" s="13" t="s">
        <v>6305</v>
      </c>
      <c r="C123" s="13">
        <v>20</v>
      </c>
      <c r="D123" s="8"/>
      <c r="E123" s="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7">
      <c r="A124" s="7"/>
      <c r="B124" s="11" t="s">
        <v>6359</v>
      </c>
      <c r="C124" s="12" t="s">
        <v>6291</v>
      </c>
      <c r="D124" s="8"/>
      <c r="E124" s="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6">
      <c r="A125" s="7"/>
      <c r="B125" s="13" t="s">
        <v>6000</v>
      </c>
      <c r="C125" s="13">
        <v>24</v>
      </c>
      <c r="D125" s="8"/>
      <c r="E125" s="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6.5" customHeight="1">
      <c r="A126" s="7"/>
      <c r="B126" s="13" t="s">
        <v>5995</v>
      </c>
      <c r="C126" s="13">
        <v>24</v>
      </c>
      <c r="D126" s="8"/>
      <c r="E126" s="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6.5" customHeight="1">
      <c r="A127" s="7"/>
      <c r="B127" s="13" t="s">
        <v>5997</v>
      </c>
      <c r="C127" s="13">
        <v>32</v>
      </c>
      <c r="D127" s="8"/>
      <c r="E127" s="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7">
      <c r="A128" s="7"/>
      <c r="B128" s="11" t="s">
        <v>6360</v>
      </c>
      <c r="C128" s="12" t="s">
        <v>6291</v>
      </c>
      <c r="D128" s="8"/>
      <c r="E128" s="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6">
      <c r="A129" s="7"/>
      <c r="B129" s="13" t="s">
        <v>6000</v>
      </c>
      <c r="C129" s="13">
        <v>96</v>
      </c>
      <c r="D129" s="8"/>
      <c r="E129" s="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6">
      <c r="A130" s="7"/>
      <c r="B130" s="13" t="s">
        <v>5995</v>
      </c>
      <c r="C130" s="13">
        <v>96</v>
      </c>
      <c r="D130" s="8"/>
      <c r="E130" s="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6">
      <c r="A131" s="7"/>
      <c r="B131" s="13" t="s">
        <v>5997</v>
      </c>
      <c r="C131" s="13">
        <v>128</v>
      </c>
      <c r="D131" s="8"/>
      <c r="E131" s="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7">
      <c r="A132" s="7"/>
      <c r="B132" s="11" t="s">
        <v>6361</v>
      </c>
      <c r="C132" s="12" t="s">
        <v>6291</v>
      </c>
      <c r="D132" s="8"/>
      <c r="E132" s="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6">
      <c r="A133" s="7"/>
      <c r="B133" s="13" t="s">
        <v>6000</v>
      </c>
      <c r="C133" s="13">
        <v>717</v>
      </c>
      <c r="D133" s="8"/>
      <c r="E133" s="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6">
      <c r="A134" s="7"/>
      <c r="B134" s="13" t="s">
        <v>5995</v>
      </c>
      <c r="C134" s="13">
        <v>334</v>
      </c>
      <c r="D134" s="8"/>
      <c r="E134" s="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6">
      <c r="A135" s="7"/>
      <c r="B135" s="13" t="s">
        <v>5997</v>
      </c>
      <c r="C135" s="13">
        <v>430</v>
      </c>
      <c r="D135" s="8"/>
      <c r="E135" s="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7">
      <c r="A136" s="7"/>
      <c r="B136" s="11" t="s">
        <v>6362</v>
      </c>
      <c r="C136" s="12" t="s">
        <v>6291</v>
      </c>
      <c r="D136" s="8"/>
      <c r="E136" s="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6">
      <c r="A137" s="7"/>
      <c r="B137" s="13" t="s">
        <v>6000</v>
      </c>
      <c r="C137" s="13">
        <v>8</v>
      </c>
      <c r="D137" s="8"/>
      <c r="E137" s="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6">
      <c r="A138" s="7"/>
      <c r="B138" s="13" t="s">
        <v>5995</v>
      </c>
      <c r="C138" s="13">
        <v>12</v>
      </c>
      <c r="D138" s="8"/>
      <c r="E138" s="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6">
      <c r="A139" s="7"/>
      <c r="B139" s="13" t="s">
        <v>5997</v>
      </c>
      <c r="C139" s="13">
        <v>16</v>
      </c>
      <c r="D139" s="8"/>
      <c r="E139" s="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7">
      <c r="A140" s="7"/>
      <c r="B140" s="11" t="s">
        <v>6363</v>
      </c>
      <c r="C140" s="12" t="s">
        <v>6291</v>
      </c>
      <c r="D140" s="8"/>
      <c r="E140" s="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6">
      <c r="A141" s="7"/>
      <c r="B141" s="13" t="s">
        <v>6000</v>
      </c>
      <c r="C141" s="13">
        <v>16</v>
      </c>
      <c r="D141" s="8"/>
      <c r="E141" s="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6">
      <c r="A142" s="7"/>
      <c r="B142" s="13" t="s">
        <v>5995</v>
      </c>
      <c r="C142" s="13">
        <v>24</v>
      </c>
      <c r="D142" s="8"/>
      <c r="E142" s="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6">
      <c r="A143" s="7"/>
      <c r="B143" s="13" t="s">
        <v>5997</v>
      </c>
      <c r="C143" s="13">
        <v>32</v>
      </c>
      <c r="D143" s="8"/>
      <c r="E143" s="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7">
      <c r="A144" s="7"/>
      <c r="B144" s="11" t="s">
        <v>6364</v>
      </c>
      <c r="C144" s="12" t="s">
        <v>6291</v>
      </c>
      <c r="D144" s="8"/>
      <c r="E144" s="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6">
      <c r="A145" s="7"/>
      <c r="B145" s="13" t="s">
        <v>6000</v>
      </c>
      <c r="C145" s="13">
        <v>575</v>
      </c>
      <c r="D145" s="8"/>
      <c r="E145" s="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6">
      <c r="A146" s="7"/>
      <c r="B146" s="13" t="s">
        <v>5995</v>
      </c>
      <c r="C146" s="13">
        <v>575</v>
      </c>
      <c r="D146" s="8"/>
      <c r="E146" s="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6">
      <c r="A147" s="7"/>
      <c r="B147" s="13" t="s">
        <v>5997</v>
      </c>
      <c r="C147" s="13">
        <v>575</v>
      </c>
      <c r="D147" s="8"/>
      <c r="E147" s="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7">
      <c r="A148" s="7"/>
      <c r="B148" s="11" t="s">
        <v>6365</v>
      </c>
      <c r="C148" s="12" t="s">
        <v>6291</v>
      </c>
      <c r="D148" s="8"/>
      <c r="E148" s="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6">
      <c r="A149" s="7"/>
      <c r="B149" s="13" t="s">
        <v>6366</v>
      </c>
      <c r="C149" s="13">
        <v>2</v>
      </c>
      <c r="D149" s="8"/>
      <c r="E149" s="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6">
      <c r="A150" s="7"/>
      <c r="B150" s="13" t="s">
        <v>6000</v>
      </c>
      <c r="C150" s="13">
        <v>4</v>
      </c>
      <c r="D150" s="8"/>
      <c r="E150" s="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6">
      <c r="A151" s="7"/>
      <c r="B151" s="13" t="s">
        <v>5995</v>
      </c>
      <c r="C151" s="13">
        <v>8</v>
      </c>
      <c r="D151" s="8"/>
      <c r="E151" s="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6">
      <c r="A152" s="7"/>
      <c r="B152" s="13" t="s">
        <v>5997</v>
      </c>
      <c r="C152" s="13">
        <v>16</v>
      </c>
      <c r="D152" s="8"/>
      <c r="E152" s="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6">
      <c r="A153" s="7"/>
      <c r="B153" s="13" t="s">
        <v>6367</v>
      </c>
      <c r="C153" s="13">
        <v>24</v>
      </c>
      <c r="D153" s="8"/>
      <c r="E153" s="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7">
      <c r="A154" s="7"/>
      <c r="B154" s="11" t="s">
        <v>6368</v>
      </c>
      <c r="C154" s="12" t="s">
        <v>6291</v>
      </c>
      <c r="D154" s="8"/>
      <c r="E154" s="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6">
      <c r="A155" s="7"/>
      <c r="B155" s="13" t="s">
        <v>6366</v>
      </c>
      <c r="C155" s="13">
        <v>8</v>
      </c>
      <c r="D155" s="8"/>
      <c r="E155" s="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6">
      <c r="A156" s="7"/>
      <c r="B156" s="13" t="s">
        <v>6000</v>
      </c>
      <c r="C156" s="13">
        <v>16</v>
      </c>
      <c r="D156" s="8"/>
      <c r="E156" s="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6">
      <c r="A157" s="7"/>
      <c r="B157" s="13" t="s">
        <v>5995</v>
      </c>
      <c r="C157" s="13">
        <v>32</v>
      </c>
      <c r="D157" s="8"/>
      <c r="E157" s="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6">
      <c r="A158" s="7"/>
      <c r="B158" s="13" t="s">
        <v>5997</v>
      </c>
      <c r="C158" s="13">
        <v>48</v>
      </c>
      <c r="D158" s="8"/>
      <c r="E158" s="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6">
      <c r="A159" s="7"/>
      <c r="B159" s="13" t="s">
        <v>6367</v>
      </c>
      <c r="C159" s="13">
        <v>128</v>
      </c>
      <c r="D159" s="8"/>
      <c r="E159" s="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7">
      <c r="A160" s="7"/>
      <c r="B160" s="11" t="s">
        <v>6369</v>
      </c>
      <c r="C160" s="12" t="s">
        <v>6291</v>
      </c>
      <c r="D160" s="8"/>
      <c r="E160" s="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6">
      <c r="A161" s="7"/>
      <c r="B161" s="13" t="s">
        <v>6366</v>
      </c>
      <c r="C161" s="13">
        <v>274</v>
      </c>
      <c r="D161" s="8"/>
      <c r="E161" s="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6">
      <c r="A162" s="7"/>
      <c r="B162" s="13" t="s">
        <v>6000</v>
      </c>
      <c r="C162" s="13">
        <v>274</v>
      </c>
      <c r="D162" s="8"/>
      <c r="E162" s="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6">
      <c r="A163" s="7"/>
      <c r="B163" s="13" t="s">
        <v>5995</v>
      </c>
      <c r="C163" s="13">
        <v>274</v>
      </c>
      <c r="D163" s="8"/>
      <c r="E163" s="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6">
      <c r="A164" s="7"/>
      <c r="B164" s="13" t="s">
        <v>5997</v>
      </c>
      <c r="C164" s="13">
        <v>274</v>
      </c>
      <c r="D164" s="8"/>
      <c r="E164" s="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6">
      <c r="A165" s="7"/>
      <c r="B165" s="13" t="s">
        <v>6367</v>
      </c>
      <c r="C165" s="13">
        <v>274</v>
      </c>
      <c r="D165" s="8"/>
      <c r="E165" s="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7">
      <c r="A166" s="7"/>
      <c r="B166" s="11" t="s">
        <v>6370</v>
      </c>
      <c r="C166" s="12" t="s">
        <v>6291</v>
      </c>
      <c r="D166" s="8"/>
      <c r="E166" s="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6">
      <c r="A167" s="7"/>
      <c r="B167" s="13" t="s">
        <v>6000</v>
      </c>
      <c r="C167" s="13">
        <v>4</v>
      </c>
      <c r="D167" s="8"/>
      <c r="E167" s="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6">
      <c r="A168" s="7"/>
      <c r="B168" s="13" t="s">
        <v>5995</v>
      </c>
      <c r="C168" s="13">
        <v>8</v>
      </c>
      <c r="D168" s="8"/>
      <c r="E168" s="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6">
      <c r="A169" s="7"/>
      <c r="B169" s="13" t="s">
        <v>5997</v>
      </c>
      <c r="C169" s="13">
        <v>8</v>
      </c>
      <c r="D169" s="8"/>
      <c r="E169" s="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7">
      <c r="A170" s="7"/>
      <c r="B170" s="11" t="s">
        <v>6371</v>
      </c>
      <c r="C170" s="12" t="s">
        <v>6291</v>
      </c>
      <c r="D170" s="8"/>
      <c r="E170" s="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6">
      <c r="A171" s="7"/>
      <c r="B171" s="13" t="s">
        <v>6000</v>
      </c>
      <c r="C171" s="13">
        <v>16</v>
      </c>
      <c r="D171" s="8"/>
      <c r="E171" s="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6">
      <c r="A172" s="7"/>
      <c r="B172" s="13" t="s">
        <v>5995</v>
      </c>
      <c r="C172" s="13">
        <v>48</v>
      </c>
      <c r="D172" s="8"/>
      <c r="E172" s="9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6">
      <c r="A173" s="7"/>
      <c r="B173" s="13" t="s">
        <v>5997</v>
      </c>
      <c r="C173" s="13">
        <v>48</v>
      </c>
      <c r="D173" s="8"/>
      <c r="E173" s="9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7">
      <c r="A174" s="7"/>
      <c r="B174" s="11" t="s">
        <v>6372</v>
      </c>
      <c r="C174" s="12" t="s">
        <v>6291</v>
      </c>
      <c r="D174" s="8"/>
      <c r="E174" s="9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6">
      <c r="A175" s="7"/>
      <c r="B175" s="13" t="s">
        <v>6000</v>
      </c>
      <c r="C175" s="13">
        <v>264</v>
      </c>
      <c r="D175" s="8"/>
      <c r="E175" s="9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6">
      <c r="A176" s="7"/>
      <c r="B176" s="13" t="s">
        <v>5995</v>
      </c>
      <c r="C176" s="13">
        <v>264</v>
      </c>
      <c r="D176" s="8"/>
      <c r="E176" s="9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6">
      <c r="A177" s="7"/>
      <c r="B177" s="13" t="s">
        <v>5997</v>
      </c>
      <c r="C177" s="13">
        <v>264</v>
      </c>
      <c r="D177" s="8"/>
      <c r="E177" s="9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7">
      <c r="A178" s="7"/>
      <c r="B178" s="11" t="s">
        <v>6373</v>
      </c>
      <c r="C178" s="12" t="s">
        <v>6291</v>
      </c>
      <c r="D178" s="8"/>
      <c r="E178" s="9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6">
      <c r="A179" s="7"/>
      <c r="B179" s="13" t="s">
        <v>6374</v>
      </c>
      <c r="C179" s="13">
        <v>2</v>
      </c>
      <c r="D179" s="8"/>
      <c r="E179" s="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6">
      <c r="A180" s="7"/>
      <c r="B180" s="13" t="s">
        <v>6375</v>
      </c>
      <c r="C180" s="13">
        <v>4</v>
      </c>
      <c r="D180" s="8"/>
      <c r="E180" s="9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7">
      <c r="A181" s="7"/>
      <c r="B181" s="11" t="s">
        <v>6376</v>
      </c>
      <c r="C181" s="12" t="s">
        <v>6291</v>
      </c>
      <c r="D181" s="8"/>
      <c r="E181" s="9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6">
      <c r="A182" s="7"/>
      <c r="B182" s="13" t="s">
        <v>6374</v>
      </c>
      <c r="C182" s="13">
        <v>8</v>
      </c>
      <c r="D182" s="8"/>
      <c r="E182" s="9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6">
      <c r="A183" s="7"/>
      <c r="B183" s="13" t="s">
        <v>6375</v>
      </c>
      <c r="C183" s="13">
        <v>8</v>
      </c>
      <c r="D183" s="8"/>
      <c r="E183" s="9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7">
      <c r="A184" s="7"/>
      <c r="B184" s="11" t="s">
        <v>6377</v>
      </c>
      <c r="C184" s="12" t="s">
        <v>6291</v>
      </c>
      <c r="D184" s="8"/>
      <c r="E184" s="9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6">
      <c r="A185" s="7"/>
      <c r="B185" s="13" t="s">
        <v>6374</v>
      </c>
      <c r="C185" s="13">
        <v>33</v>
      </c>
      <c r="D185" s="8"/>
      <c r="E185" s="9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6">
      <c r="A186" s="7"/>
      <c r="B186" s="13" t="s">
        <v>6375</v>
      </c>
      <c r="C186" s="13">
        <v>33</v>
      </c>
      <c r="D186" s="8"/>
      <c r="E186" s="9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7">
      <c r="A187" s="7"/>
      <c r="B187" s="11" t="s">
        <v>6378</v>
      </c>
      <c r="C187" s="12" t="s">
        <v>6291</v>
      </c>
      <c r="D187" s="8"/>
      <c r="E187" s="9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6">
      <c r="A188" s="7"/>
      <c r="B188" s="13" t="s">
        <v>6374</v>
      </c>
      <c r="C188" s="13">
        <v>2</v>
      </c>
      <c r="D188" s="8"/>
      <c r="E188" s="9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6">
      <c r="A189" s="7"/>
      <c r="B189" s="13" t="s">
        <v>6375</v>
      </c>
      <c r="C189" s="13">
        <v>8</v>
      </c>
      <c r="D189" s="8"/>
      <c r="E189" s="9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7">
      <c r="A190" s="7"/>
      <c r="B190" s="11" t="s">
        <v>6379</v>
      </c>
      <c r="C190" s="12" t="s">
        <v>6291</v>
      </c>
      <c r="D190" s="8"/>
      <c r="E190" s="9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6">
      <c r="A191" s="7"/>
      <c r="B191" s="13" t="s">
        <v>6374</v>
      </c>
      <c r="C191" s="13">
        <v>8</v>
      </c>
      <c r="D191" s="8"/>
      <c r="E191" s="9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6">
      <c r="A192" s="7"/>
      <c r="B192" s="13" t="s">
        <v>6375</v>
      </c>
      <c r="C192" s="13">
        <v>24</v>
      </c>
      <c r="D192" s="8"/>
      <c r="E192" s="9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7">
      <c r="A193" s="7"/>
      <c r="B193" s="11" t="s">
        <v>6380</v>
      </c>
      <c r="C193" s="12" t="s">
        <v>6291</v>
      </c>
      <c r="D193" s="8"/>
      <c r="E193" s="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6">
      <c r="A194" s="7"/>
      <c r="B194" s="13" t="s">
        <v>6374</v>
      </c>
      <c r="C194" s="13">
        <v>20</v>
      </c>
      <c r="D194" s="8"/>
      <c r="E194" s="9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6">
      <c r="A195" s="7"/>
      <c r="B195" s="13" t="s">
        <v>6375</v>
      </c>
      <c r="C195" s="13">
        <v>800</v>
      </c>
      <c r="D195" s="8"/>
      <c r="E195" s="9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7">
      <c r="A196" s="7"/>
      <c r="B196" s="11" t="s">
        <v>6381</v>
      </c>
      <c r="C196" s="12" t="s">
        <v>6291</v>
      </c>
      <c r="D196" s="8"/>
      <c r="E196" s="9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7">
      <c r="A197" s="7"/>
      <c r="B197" s="14" t="s">
        <v>6329</v>
      </c>
      <c r="C197" s="13">
        <v>2</v>
      </c>
      <c r="D197" s="8"/>
      <c r="E197" s="9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7">
      <c r="A198" s="7"/>
      <c r="B198" s="14" t="s">
        <v>6330</v>
      </c>
      <c r="C198" s="13">
        <v>8</v>
      </c>
      <c r="D198" s="8"/>
      <c r="E198" s="9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7">
      <c r="A199" s="7"/>
      <c r="B199" s="14" t="s">
        <v>6331</v>
      </c>
      <c r="C199" s="13">
        <v>20</v>
      </c>
      <c r="D199" s="8"/>
      <c r="E199" s="9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7">
      <c r="A200" s="7"/>
      <c r="B200" s="11" t="s">
        <v>6382</v>
      </c>
      <c r="C200" s="12" t="s">
        <v>6291</v>
      </c>
      <c r="D200" s="8"/>
      <c r="E200" s="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7">
      <c r="A201" s="7"/>
      <c r="B201" s="14" t="s">
        <v>6000</v>
      </c>
      <c r="C201" s="13">
        <v>4</v>
      </c>
      <c r="D201" s="8"/>
      <c r="E201" s="9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7">
      <c r="A202" s="7"/>
      <c r="B202" s="14" t="s">
        <v>5995</v>
      </c>
      <c r="C202" s="13">
        <v>8</v>
      </c>
      <c r="D202" s="8"/>
      <c r="E202" s="9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7">
      <c r="A203" s="7"/>
      <c r="B203" s="14" t="s">
        <v>5997</v>
      </c>
      <c r="C203" s="13">
        <v>12</v>
      </c>
      <c r="D203" s="8"/>
      <c r="E203" s="9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7">
      <c r="A204" s="7"/>
      <c r="B204" s="11" t="s">
        <v>6383</v>
      </c>
      <c r="C204" s="12" t="s">
        <v>6291</v>
      </c>
      <c r="D204" s="8"/>
      <c r="E204" s="9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7">
      <c r="A205" s="7"/>
      <c r="B205" s="14" t="s">
        <v>6000</v>
      </c>
      <c r="C205" s="13">
        <v>16</v>
      </c>
      <c r="D205" s="8"/>
      <c r="E205" s="9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7">
      <c r="A206" s="7"/>
      <c r="B206" s="14" t="s">
        <v>5995</v>
      </c>
      <c r="C206" s="13">
        <v>32</v>
      </c>
      <c r="D206" s="8"/>
      <c r="E206" s="9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7">
      <c r="A207" s="7"/>
      <c r="B207" s="14" t="s">
        <v>5997</v>
      </c>
      <c r="C207" s="13">
        <v>48</v>
      </c>
      <c r="D207" s="8"/>
      <c r="E207" s="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7">
      <c r="A208" s="7"/>
      <c r="B208" s="11" t="s">
        <v>6384</v>
      </c>
      <c r="C208" s="12" t="s">
        <v>6291</v>
      </c>
      <c r="D208" s="8"/>
      <c r="E208" s="9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7">
      <c r="A209" s="7"/>
      <c r="B209" s="14" t="s">
        <v>6000</v>
      </c>
      <c r="C209" s="13">
        <v>1024</v>
      </c>
      <c r="D209" s="8"/>
      <c r="E209" s="9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7">
      <c r="A210" s="7"/>
      <c r="B210" s="14" t="s">
        <v>5995</v>
      </c>
      <c r="C210" s="13">
        <v>1024</v>
      </c>
      <c r="D210" s="8"/>
      <c r="E210" s="9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7">
      <c r="A211" s="7"/>
      <c r="B211" s="14" t="s">
        <v>5997</v>
      </c>
      <c r="C211" s="13">
        <v>1024</v>
      </c>
      <c r="D211" s="8"/>
      <c r="E211" s="9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7">
      <c r="A212" s="7"/>
      <c r="B212" s="11" t="s">
        <v>6385</v>
      </c>
      <c r="C212" s="12" t="s">
        <v>6291</v>
      </c>
      <c r="D212" s="8"/>
      <c r="E212" s="9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7">
      <c r="A213" s="7"/>
      <c r="B213" s="14" t="s">
        <v>6000</v>
      </c>
      <c r="C213" s="14">
        <v>2</v>
      </c>
      <c r="D213" s="8"/>
      <c r="E213" s="9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7">
      <c r="A214" s="7"/>
      <c r="B214" s="14" t="s">
        <v>5995</v>
      </c>
      <c r="C214" s="13">
        <v>4</v>
      </c>
      <c r="D214" s="8"/>
      <c r="E214" s="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7">
      <c r="A215" s="7"/>
      <c r="B215" s="14" t="s">
        <v>5997</v>
      </c>
      <c r="C215" s="13">
        <v>8</v>
      </c>
      <c r="D215" s="8"/>
      <c r="E215" s="9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7">
      <c r="A216" s="7"/>
      <c r="B216" s="14" t="s">
        <v>6367</v>
      </c>
      <c r="C216" s="13">
        <v>8</v>
      </c>
      <c r="D216" s="8"/>
      <c r="E216" s="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7">
      <c r="A217" s="7"/>
      <c r="B217" s="14" t="s">
        <v>6386</v>
      </c>
      <c r="C217" s="13">
        <v>16</v>
      </c>
      <c r="D217" s="8"/>
      <c r="E217" s="9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7">
      <c r="A218" s="7"/>
      <c r="B218" s="11" t="s">
        <v>6387</v>
      </c>
      <c r="C218" s="12" t="s">
        <v>6291</v>
      </c>
      <c r="D218" s="8"/>
      <c r="E218" s="9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7">
      <c r="A219" s="7"/>
      <c r="B219" s="14" t="s">
        <v>6000</v>
      </c>
      <c r="C219" s="14">
        <v>4</v>
      </c>
      <c r="D219" s="8"/>
      <c r="E219" s="9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7">
      <c r="A220" s="7"/>
      <c r="B220" s="14" t="s">
        <v>5995</v>
      </c>
      <c r="C220" s="13">
        <v>12</v>
      </c>
      <c r="D220" s="8"/>
      <c r="E220" s="9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7">
      <c r="A221" s="7"/>
      <c r="B221" s="14" t="s">
        <v>5997</v>
      </c>
      <c r="C221" s="13">
        <v>16</v>
      </c>
      <c r="D221" s="8"/>
      <c r="E221" s="9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7">
      <c r="A222" s="7"/>
      <c r="B222" s="14" t="s">
        <v>6367</v>
      </c>
      <c r="C222" s="13">
        <v>24</v>
      </c>
      <c r="D222" s="8"/>
      <c r="E222" s="9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7">
      <c r="A223" s="7"/>
      <c r="B223" s="14" t="s">
        <v>6386</v>
      </c>
      <c r="C223" s="13">
        <v>48</v>
      </c>
      <c r="D223" s="8"/>
      <c r="E223" s="9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7">
      <c r="A224" s="7"/>
      <c r="B224" s="11" t="s">
        <v>6388</v>
      </c>
      <c r="C224" s="12" t="s">
        <v>6291</v>
      </c>
      <c r="D224" s="8"/>
      <c r="E224" s="9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7">
      <c r="A225" s="7"/>
      <c r="B225" s="14" t="s">
        <v>6000</v>
      </c>
      <c r="C225" s="13">
        <v>250</v>
      </c>
      <c r="D225" s="8"/>
      <c r="E225" s="9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7">
      <c r="A226" s="7"/>
      <c r="B226" s="14" t="s">
        <v>5995</v>
      </c>
      <c r="C226" s="13">
        <v>250</v>
      </c>
      <c r="D226" s="8"/>
      <c r="E226" s="9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7">
      <c r="A227" s="7"/>
      <c r="B227" s="14" t="s">
        <v>5997</v>
      </c>
      <c r="C227" s="13">
        <v>250</v>
      </c>
      <c r="D227" s="8"/>
      <c r="E227" s="9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7">
      <c r="A228" s="7"/>
      <c r="B228" s="14" t="s">
        <v>6367</v>
      </c>
      <c r="C228" s="13">
        <v>250</v>
      </c>
      <c r="D228" s="8"/>
      <c r="E228" s="9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7">
      <c r="A229" s="7"/>
      <c r="B229" s="14" t="s">
        <v>6386</v>
      </c>
      <c r="C229" s="13">
        <v>300</v>
      </c>
      <c r="D229" s="8"/>
      <c r="E229" s="9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7">
      <c r="A230" s="7"/>
      <c r="B230" s="11" t="s">
        <v>6389</v>
      </c>
      <c r="C230" s="12" t="s">
        <v>6291</v>
      </c>
      <c r="D230" s="8"/>
      <c r="E230" s="9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7">
      <c r="A231" s="7"/>
      <c r="B231" s="14" t="s">
        <v>6329</v>
      </c>
      <c r="C231" s="19">
        <v>8</v>
      </c>
      <c r="D231" s="8"/>
      <c r="E231" s="9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7">
      <c r="A232" s="7"/>
      <c r="B232" s="14" t="s">
        <v>6330</v>
      </c>
      <c r="C232" s="20">
        <v>12</v>
      </c>
      <c r="D232" s="8"/>
      <c r="E232" s="9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7">
      <c r="A233" s="7"/>
      <c r="B233" s="14" t="s">
        <v>6331</v>
      </c>
      <c r="C233" s="20">
        <v>100</v>
      </c>
      <c r="D233" s="8"/>
      <c r="E233" s="9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7">
      <c r="A234" s="7"/>
      <c r="B234" s="11" t="s">
        <v>6390</v>
      </c>
      <c r="C234" s="12" t="s">
        <v>6291</v>
      </c>
      <c r="D234" s="8"/>
      <c r="E234" s="9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7">
      <c r="A235" s="7"/>
      <c r="B235" s="21" t="s">
        <v>6329</v>
      </c>
      <c r="C235" s="13">
        <v>4</v>
      </c>
      <c r="D235" s="8"/>
      <c r="E235" s="9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7">
      <c r="A236" s="7"/>
      <c r="B236" s="22" t="s">
        <v>6330</v>
      </c>
      <c r="C236" s="13">
        <v>12</v>
      </c>
      <c r="D236" s="8"/>
      <c r="E236" s="9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7">
      <c r="A237" s="7"/>
      <c r="B237" s="22" t="s">
        <v>6331</v>
      </c>
      <c r="C237" s="13">
        <v>65</v>
      </c>
      <c r="D237" s="8"/>
      <c r="E237" s="9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7">
      <c r="A238" s="7"/>
      <c r="B238" s="11" t="s">
        <v>6391</v>
      </c>
      <c r="C238" s="12" t="s">
        <v>6291</v>
      </c>
      <c r="D238" s="8"/>
      <c r="E238" s="9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7">
      <c r="A239" s="7"/>
      <c r="B239" s="22" t="s">
        <v>6000</v>
      </c>
      <c r="C239" s="13">
        <v>6</v>
      </c>
      <c r="D239" s="8"/>
      <c r="E239" s="9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7">
      <c r="A240" s="7"/>
      <c r="B240" s="22" t="s">
        <v>5997</v>
      </c>
      <c r="C240" s="13">
        <v>16</v>
      </c>
      <c r="D240" s="8"/>
      <c r="E240" s="9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7">
      <c r="A241" s="7"/>
      <c r="B241" s="22" t="s">
        <v>6001</v>
      </c>
      <c r="C241" s="13">
        <v>16</v>
      </c>
      <c r="D241" s="8"/>
      <c r="E241" s="9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7">
      <c r="A242" s="7"/>
      <c r="B242" s="11" t="s">
        <v>6392</v>
      </c>
      <c r="C242" s="12" t="s">
        <v>6291</v>
      </c>
      <c r="D242" s="8"/>
      <c r="E242" s="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7">
      <c r="A243" s="7"/>
      <c r="B243" s="22" t="s">
        <v>6000</v>
      </c>
      <c r="C243" s="13">
        <v>32</v>
      </c>
      <c r="D243" s="8"/>
      <c r="E243" s="9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7">
      <c r="A244" s="7"/>
      <c r="B244" s="22" t="s">
        <v>5997</v>
      </c>
      <c r="C244" s="13">
        <v>48</v>
      </c>
      <c r="D244" s="8"/>
      <c r="E244" s="9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7">
      <c r="A245" s="7"/>
      <c r="B245" s="22" t="s">
        <v>6001</v>
      </c>
      <c r="C245" s="13">
        <v>64</v>
      </c>
      <c r="D245" s="8"/>
      <c r="E245" s="9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7">
      <c r="A246" s="7"/>
      <c r="B246" s="11" t="s">
        <v>6393</v>
      </c>
      <c r="C246" s="12" t="s">
        <v>6291</v>
      </c>
      <c r="D246" s="8"/>
      <c r="E246" s="9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7">
      <c r="A247" s="7"/>
      <c r="B247" s="22" t="s">
        <v>6000</v>
      </c>
      <c r="C247" s="13">
        <v>512</v>
      </c>
      <c r="D247" s="8"/>
      <c r="E247" s="9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7">
      <c r="A248" s="7"/>
      <c r="B248" s="22" t="s">
        <v>5997</v>
      </c>
      <c r="C248" s="13">
        <v>1400</v>
      </c>
      <c r="D248" s="8"/>
      <c r="E248" s="9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7">
      <c r="A249" s="7"/>
      <c r="B249" s="22" t="s">
        <v>6001</v>
      </c>
      <c r="C249" s="13">
        <v>1750</v>
      </c>
      <c r="D249" s="8"/>
      <c r="E249" s="9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7">
      <c r="A250" s="7"/>
      <c r="B250" s="11" t="s">
        <v>6394</v>
      </c>
      <c r="C250" s="12" t="s">
        <v>6291</v>
      </c>
      <c r="D250" s="8"/>
      <c r="E250" s="9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7">
      <c r="A251" s="7"/>
      <c r="B251" s="23" t="s">
        <v>6296</v>
      </c>
      <c r="C251" s="12"/>
      <c r="D251" s="8"/>
      <c r="E251" s="9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7">
      <c r="A252" s="7"/>
      <c r="B252" s="22" t="s">
        <v>5995</v>
      </c>
      <c r="C252" s="13">
        <v>112</v>
      </c>
      <c r="D252" s="8"/>
      <c r="E252" s="9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7">
      <c r="A253" s="7"/>
      <c r="B253" s="22" t="s">
        <v>5997</v>
      </c>
      <c r="C253" s="13">
        <v>160</v>
      </c>
      <c r="D253" s="8"/>
      <c r="E253" s="9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7">
      <c r="A254" s="7"/>
      <c r="B254" s="22" t="s">
        <v>6001</v>
      </c>
      <c r="C254" s="13">
        <v>192</v>
      </c>
      <c r="D254" s="8"/>
      <c r="E254" s="9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7">
      <c r="A255" s="7"/>
      <c r="B255" s="11" t="s">
        <v>6395</v>
      </c>
      <c r="C255" s="12" t="s">
        <v>6291</v>
      </c>
      <c r="D255" s="8"/>
      <c r="E255" s="9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7">
      <c r="A256" s="7"/>
      <c r="B256" s="22" t="s">
        <v>5995</v>
      </c>
      <c r="C256" s="13">
        <v>414</v>
      </c>
      <c r="D256" s="8"/>
      <c r="E256" s="9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7">
      <c r="A257" s="7"/>
      <c r="B257" s="22" t="s">
        <v>5997</v>
      </c>
      <c r="C257" s="13">
        <v>606</v>
      </c>
      <c r="D257" s="8"/>
      <c r="E257" s="9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7">
      <c r="A258" s="7"/>
      <c r="B258" s="22" t="s">
        <v>6001</v>
      </c>
      <c r="C258" s="13">
        <v>734</v>
      </c>
      <c r="D258" s="8"/>
      <c r="E258" s="9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7">
      <c r="A259" s="7"/>
      <c r="B259" s="11" t="s">
        <v>6396</v>
      </c>
      <c r="C259" s="12" t="s">
        <v>6291</v>
      </c>
      <c r="D259" s="8"/>
      <c r="E259" s="9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7">
      <c r="A260" s="7"/>
      <c r="B260" s="22" t="s">
        <v>5995</v>
      </c>
      <c r="C260" s="13">
        <v>4096</v>
      </c>
      <c r="D260" s="8"/>
      <c r="E260" s="9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7">
      <c r="A261" s="7"/>
      <c r="B261" s="22" t="s">
        <v>5997</v>
      </c>
      <c r="C261" s="13">
        <v>5120</v>
      </c>
      <c r="D261" s="8"/>
      <c r="E261" s="9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7">
      <c r="A262" s="7"/>
      <c r="B262" s="22" t="s">
        <v>6001</v>
      </c>
      <c r="C262" s="13">
        <v>6656</v>
      </c>
      <c r="D262" s="8"/>
      <c r="E262" s="9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7">
      <c r="A263" s="7"/>
      <c r="B263" s="11" t="s">
        <v>6397</v>
      </c>
      <c r="C263" s="12" t="s">
        <v>6291</v>
      </c>
      <c r="D263" s="8"/>
      <c r="E263" s="9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7">
      <c r="A264" s="7"/>
      <c r="B264" s="22"/>
      <c r="C264" s="22" t="s">
        <v>6000</v>
      </c>
      <c r="D264" s="8"/>
      <c r="E264" s="9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7">
      <c r="A265" s="7"/>
      <c r="B265" s="22"/>
      <c r="C265" s="22" t="s">
        <v>5995</v>
      </c>
      <c r="D265" s="8"/>
      <c r="E265" s="9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7">
      <c r="A266" s="7"/>
      <c r="B266" s="22"/>
      <c r="C266" s="22" t="s">
        <v>5997</v>
      </c>
      <c r="D266" s="8"/>
      <c r="E266" s="9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7">
      <c r="A267" s="7"/>
      <c r="B267" s="11" t="s">
        <v>6398</v>
      </c>
      <c r="C267" s="12" t="s">
        <v>6291</v>
      </c>
      <c r="D267" s="8"/>
      <c r="E267" s="9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7">
      <c r="A268" s="7"/>
      <c r="B268" s="22" t="s">
        <v>6329</v>
      </c>
      <c r="C268" s="22">
        <v>10</v>
      </c>
      <c r="D268" s="8"/>
      <c r="E268" s="9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7">
      <c r="A269" s="7"/>
      <c r="B269" s="22" t="s">
        <v>6330</v>
      </c>
      <c r="C269" s="22">
        <v>30</v>
      </c>
      <c r="D269" s="8"/>
      <c r="E269" s="9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7">
      <c r="A270" s="7"/>
      <c r="B270" s="22" t="s">
        <v>6399</v>
      </c>
      <c r="C270" s="22">
        <v>710</v>
      </c>
      <c r="D270" s="8"/>
      <c r="E270" s="9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7">
      <c r="A271" s="7"/>
      <c r="B271" s="11" t="s">
        <v>6400</v>
      </c>
      <c r="C271" s="12" t="s">
        <v>6291</v>
      </c>
      <c r="D271" s="8"/>
      <c r="E271" s="9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7">
      <c r="A272" s="7"/>
      <c r="B272" s="22" t="s">
        <v>6024</v>
      </c>
      <c r="C272" s="13">
        <v>1</v>
      </c>
      <c r="D272" s="8"/>
      <c r="E272" s="9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7">
      <c r="A273" s="7"/>
      <c r="B273" s="22" t="s">
        <v>6401</v>
      </c>
      <c r="C273" s="13">
        <v>3</v>
      </c>
      <c r="D273" s="8"/>
      <c r="E273" s="9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6">
      <c r="A274" s="7"/>
      <c r="B274" s="22"/>
      <c r="C274" s="13"/>
      <c r="D274" s="8"/>
      <c r="E274" s="9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6">
      <c r="A275" s="7"/>
      <c r="B275" s="22"/>
      <c r="C275" s="13"/>
      <c r="D275" s="8"/>
      <c r="E275" s="9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7">
      <c r="A276" s="7"/>
      <c r="B276" s="11" t="s">
        <v>6402</v>
      </c>
      <c r="C276" s="12" t="s">
        <v>6291</v>
      </c>
      <c r="D276" s="8"/>
      <c r="E276" s="9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7">
      <c r="A277" s="7"/>
      <c r="B277" s="22" t="s">
        <v>6000</v>
      </c>
      <c r="C277" s="13">
        <v>4</v>
      </c>
      <c r="D277" s="8"/>
      <c r="E277" s="9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7">
      <c r="A278" s="7"/>
      <c r="B278" s="22" t="s">
        <v>6403</v>
      </c>
      <c r="C278" s="13">
        <v>4</v>
      </c>
      <c r="D278" s="8"/>
      <c r="E278" s="9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7">
      <c r="A279" s="7"/>
      <c r="B279" s="22" t="s">
        <v>5995</v>
      </c>
      <c r="C279" s="13">
        <v>4</v>
      </c>
      <c r="D279" s="8"/>
      <c r="E279" s="9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7">
      <c r="A280" s="7"/>
      <c r="B280" s="22" t="s">
        <v>5997</v>
      </c>
      <c r="C280" s="13">
        <v>8</v>
      </c>
      <c r="D280" s="8"/>
      <c r="E280" s="9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7">
      <c r="A281" s="7"/>
      <c r="B281" s="11" t="s">
        <v>6404</v>
      </c>
      <c r="C281" s="12" t="s">
        <v>6291</v>
      </c>
      <c r="D281" s="8"/>
      <c r="E281" s="9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7">
      <c r="A282" s="7"/>
      <c r="B282" s="22" t="s">
        <v>6000</v>
      </c>
      <c r="C282" s="13">
        <v>10</v>
      </c>
      <c r="D282" s="8"/>
      <c r="E282" s="9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7">
      <c r="A283" s="7"/>
      <c r="B283" s="22" t="s">
        <v>6403</v>
      </c>
      <c r="C283" s="13">
        <v>10</v>
      </c>
      <c r="D283" s="8"/>
      <c r="E283" s="9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7">
      <c r="A284" s="7"/>
      <c r="B284" s="22" t="s">
        <v>5995</v>
      </c>
      <c r="C284" s="13">
        <v>10</v>
      </c>
      <c r="D284" s="8"/>
      <c r="E284" s="9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7">
      <c r="A285" s="7"/>
      <c r="B285" s="22" t="s">
        <v>5997</v>
      </c>
      <c r="C285" s="13">
        <v>14</v>
      </c>
      <c r="D285" s="8"/>
      <c r="E285" s="9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7">
      <c r="A286" s="7"/>
      <c r="B286" s="11" t="s">
        <v>6405</v>
      </c>
      <c r="C286" s="12" t="s">
        <v>6291</v>
      </c>
      <c r="D286" s="8"/>
      <c r="E286" s="9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7">
      <c r="A287" s="7"/>
      <c r="B287" s="22" t="s">
        <v>6000</v>
      </c>
      <c r="C287" s="13">
        <v>100</v>
      </c>
      <c r="D287" s="8"/>
      <c r="E287" s="9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7">
      <c r="A288" s="7"/>
      <c r="B288" s="22" t="s">
        <v>6403</v>
      </c>
      <c r="C288" s="13">
        <v>100</v>
      </c>
      <c r="D288" s="8"/>
      <c r="E288" s="9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7">
      <c r="A289" s="7"/>
      <c r="B289" s="22" t="s">
        <v>5995</v>
      </c>
      <c r="C289" s="13">
        <v>100</v>
      </c>
      <c r="D289" s="8"/>
      <c r="E289" s="9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7">
      <c r="A290" s="7"/>
      <c r="B290" s="22" t="s">
        <v>5997</v>
      </c>
      <c r="C290" s="13">
        <v>100</v>
      </c>
      <c r="D290" s="8"/>
      <c r="E290" s="9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7">
      <c r="A291" s="7"/>
      <c r="B291" s="11" t="s">
        <v>6406</v>
      </c>
      <c r="C291" s="12" t="s">
        <v>6291</v>
      </c>
      <c r="D291" s="8"/>
      <c r="E291" s="9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7">
      <c r="A292" s="7"/>
      <c r="B292" s="22" t="s">
        <v>6000</v>
      </c>
      <c r="C292" s="13">
        <v>3</v>
      </c>
      <c r="D292" s="8"/>
      <c r="E292" s="9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7">
      <c r="A293" s="7"/>
      <c r="B293" s="22" t="s">
        <v>5995</v>
      </c>
      <c r="C293" s="13">
        <v>3</v>
      </c>
      <c r="D293" s="8"/>
      <c r="E293" s="9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7">
      <c r="A294" s="7"/>
      <c r="B294" s="22" t="s">
        <v>5997</v>
      </c>
      <c r="C294" s="13">
        <v>4</v>
      </c>
      <c r="D294" s="8"/>
      <c r="E294" s="9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7">
      <c r="A295" s="7"/>
      <c r="B295" s="11" t="s">
        <v>6407</v>
      </c>
      <c r="C295" s="12" t="s">
        <v>6291</v>
      </c>
      <c r="D295" s="8"/>
      <c r="E295" s="9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7">
      <c r="A296" s="7"/>
      <c r="B296" s="22" t="s">
        <v>6000</v>
      </c>
      <c r="C296" s="13">
        <v>12</v>
      </c>
      <c r="D296" s="8"/>
      <c r="E296" s="9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7">
      <c r="A297" s="7"/>
      <c r="B297" s="22" t="s">
        <v>5995</v>
      </c>
      <c r="C297" s="13">
        <v>24</v>
      </c>
      <c r="D297" s="8"/>
      <c r="E297" s="9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7">
      <c r="A298" s="7"/>
      <c r="B298" s="22" t="s">
        <v>5997</v>
      </c>
      <c r="C298" s="13">
        <v>24</v>
      </c>
      <c r="D298" s="8"/>
      <c r="E298" s="9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7">
      <c r="A299" s="7"/>
      <c r="B299" s="11" t="s">
        <v>6408</v>
      </c>
      <c r="C299" s="12" t="s">
        <v>6291</v>
      </c>
      <c r="D299" s="8"/>
      <c r="E299" s="9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7">
      <c r="A300" s="7"/>
      <c r="B300" s="22" t="s">
        <v>6000</v>
      </c>
      <c r="C300" s="13">
        <v>24</v>
      </c>
      <c r="D300" s="8"/>
      <c r="E300" s="9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7">
      <c r="A301" s="7"/>
      <c r="B301" s="22" t="s">
        <v>5995</v>
      </c>
      <c r="C301" s="13">
        <v>48</v>
      </c>
      <c r="D301" s="8"/>
      <c r="E301" s="9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7">
      <c r="A302" s="7"/>
      <c r="B302" s="22" t="s">
        <v>5997</v>
      </c>
      <c r="C302" s="13">
        <v>48</v>
      </c>
      <c r="D302" s="8"/>
      <c r="E302" s="9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7">
      <c r="A303" s="7"/>
      <c r="B303" s="11" t="s">
        <v>6409</v>
      </c>
      <c r="C303" s="12" t="s">
        <v>6291</v>
      </c>
      <c r="D303" s="8"/>
      <c r="E303" s="9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7">
      <c r="A304" s="7"/>
      <c r="B304" s="22" t="s">
        <v>6000</v>
      </c>
      <c r="C304" s="13">
        <v>100</v>
      </c>
      <c r="D304" s="8"/>
      <c r="E304" s="9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7">
      <c r="A305" s="7"/>
      <c r="B305" s="22" t="s">
        <v>5995</v>
      </c>
      <c r="C305" s="13">
        <v>100</v>
      </c>
      <c r="D305" s="8"/>
      <c r="E305" s="9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7">
      <c r="A306" s="7"/>
      <c r="B306" s="22" t="s">
        <v>5997</v>
      </c>
      <c r="C306" s="13">
        <v>100</v>
      </c>
      <c r="D306" s="8"/>
      <c r="E306" s="9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7">
      <c r="A307" s="7"/>
      <c r="B307" s="11" t="s">
        <v>6410</v>
      </c>
      <c r="C307" s="11" t="s">
        <v>6411</v>
      </c>
      <c r="D307" s="11" t="s">
        <v>6410</v>
      </c>
      <c r="E307" s="9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6">
      <c r="A308" s="7"/>
      <c r="B308" s="24">
        <v>32</v>
      </c>
      <c r="C308" s="24" t="s">
        <v>6412</v>
      </c>
      <c r="D308" s="24">
        <v>32</v>
      </c>
      <c r="E308" s="9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6">
      <c r="A309" s="7"/>
      <c r="B309" s="24">
        <v>31</v>
      </c>
      <c r="C309" s="24" t="s">
        <v>6413</v>
      </c>
      <c r="D309" s="24">
        <v>31</v>
      </c>
      <c r="E309" s="9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6">
      <c r="A310" s="7"/>
      <c r="B310" s="24">
        <v>30</v>
      </c>
      <c r="C310" s="24" t="s">
        <v>6414</v>
      </c>
      <c r="D310" s="24">
        <v>30</v>
      </c>
      <c r="E310" s="9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6">
      <c r="A311" s="7"/>
      <c r="B311" s="24">
        <v>29</v>
      </c>
      <c r="C311" s="24" t="s">
        <v>6415</v>
      </c>
      <c r="D311" s="24">
        <v>29</v>
      </c>
      <c r="E311" s="9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6">
      <c r="A312" s="7"/>
      <c r="B312" s="24">
        <v>28</v>
      </c>
      <c r="C312" s="24" t="s">
        <v>6416</v>
      </c>
      <c r="D312" s="24">
        <v>28</v>
      </c>
      <c r="E312" s="9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6">
      <c r="A313" s="7"/>
      <c r="B313" s="24">
        <v>27</v>
      </c>
      <c r="C313" s="24" t="s">
        <v>6417</v>
      </c>
      <c r="D313" s="24">
        <v>27</v>
      </c>
      <c r="E313" s="9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6">
      <c r="A314" s="7"/>
      <c r="B314" s="24">
        <v>26</v>
      </c>
      <c r="C314" s="24" t="s">
        <v>6418</v>
      </c>
      <c r="D314" s="24">
        <v>26</v>
      </c>
      <c r="E314" s="9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6">
      <c r="A315" s="7"/>
      <c r="B315" s="24">
        <v>25</v>
      </c>
      <c r="C315" s="24" t="s">
        <v>6419</v>
      </c>
      <c r="D315" s="24">
        <v>25</v>
      </c>
      <c r="E315" s="9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6">
      <c r="A316" s="7"/>
      <c r="B316" s="24">
        <v>24</v>
      </c>
      <c r="C316" s="24" t="s">
        <v>6420</v>
      </c>
      <c r="D316" s="24">
        <v>24</v>
      </c>
      <c r="E316" s="9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6">
      <c r="A317" s="7"/>
      <c r="B317" s="24">
        <v>23</v>
      </c>
      <c r="C317" s="24" t="s">
        <v>6421</v>
      </c>
      <c r="D317" s="24">
        <v>23</v>
      </c>
      <c r="E317" s="9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6">
      <c r="A318" s="7"/>
      <c r="B318" s="24">
        <v>22</v>
      </c>
      <c r="C318" s="24" t="s">
        <v>6422</v>
      </c>
      <c r="D318" s="24">
        <v>22</v>
      </c>
      <c r="E318" s="9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6">
      <c r="A319" s="7"/>
      <c r="B319" s="24">
        <v>21</v>
      </c>
      <c r="C319" s="24" t="s">
        <v>6423</v>
      </c>
      <c r="D319" s="24">
        <v>21</v>
      </c>
      <c r="E319" s="9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6">
      <c r="A320" s="7"/>
      <c r="B320" s="24">
        <v>20</v>
      </c>
      <c r="C320" s="24" t="s">
        <v>6424</v>
      </c>
      <c r="D320" s="24">
        <v>20</v>
      </c>
      <c r="E320" s="9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6">
      <c r="A321" s="7"/>
      <c r="B321" s="24">
        <v>19</v>
      </c>
      <c r="C321" s="24" t="s">
        <v>6425</v>
      </c>
      <c r="D321" s="24">
        <v>19</v>
      </c>
      <c r="E321" s="9">
        <v>1</v>
      </c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6">
      <c r="A322" s="7"/>
      <c r="B322" s="24">
        <v>18</v>
      </c>
      <c r="C322" s="24" t="s">
        <v>6426</v>
      </c>
      <c r="D322" s="24">
        <v>18</v>
      </c>
      <c r="E322" s="9">
        <v>2</v>
      </c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6">
      <c r="A323" s="7"/>
      <c r="B323" s="24">
        <v>17</v>
      </c>
      <c r="C323" s="24" t="s">
        <v>6427</v>
      </c>
      <c r="D323" s="24">
        <v>17</v>
      </c>
      <c r="E323" s="9">
        <v>3</v>
      </c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6">
      <c r="A324" s="7"/>
      <c r="B324" s="24">
        <v>16</v>
      </c>
      <c r="C324" s="24" t="s">
        <v>6428</v>
      </c>
      <c r="D324" s="24">
        <v>16</v>
      </c>
      <c r="E324" s="9">
        <v>4</v>
      </c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6">
      <c r="A325" s="7"/>
      <c r="B325" s="24">
        <v>15</v>
      </c>
      <c r="C325" s="24" t="s">
        <v>6429</v>
      </c>
      <c r="D325" s="24">
        <v>15</v>
      </c>
      <c r="E325" s="9">
        <v>5</v>
      </c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6">
      <c r="A326" s="7"/>
      <c r="B326" s="24">
        <v>14</v>
      </c>
      <c r="C326" s="24" t="s">
        <v>6430</v>
      </c>
      <c r="D326" s="24">
        <v>14</v>
      </c>
      <c r="E326" s="9">
        <v>6</v>
      </c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6">
      <c r="A327" s="7"/>
      <c r="B327" s="24">
        <v>13</v>
      </c>
      <c r="C327" s="24" t="s">
        <v>6431</v>
      </c>
      <c r="D327" s="24">
        <v>13</v>
      </c>
      <c r="E327" s="9">
        <v>7</v>
      </c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6">
      <c r="A328" s="7"/>
      <c r="B328" s="24">
        <v>12</v>
      </c>
      <c r="C328" s="24" t="s">
        <v>6432</v>
      </c>
      <c r="D328" s="24">
        <v>12</v>
      </c>
      <c r="E328" s="9">
        <v>8</v>
      </c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6">
      <c r="A329" s="7"/>
      <c r="B329" s="24">
        <v>11</v>
      </c>
      <c r="C329" s="24" t="s">
        <v>6433</v>
      </c>
      <c r="D329" s="24">
        <v>11</v>
      </c>
      <c r="E329" s="9">
        <v>9</v>
      </c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6">
      <c r="A330" s="7"/>
      <c r="B330" s="24">
        <v>10</v>
      </c>
      <c r="C330" s="24" t="s">
        <v>6434</v>
      </c>
      <c r="D330" s="24">
        <v>10</v>
      </c>
      <c r="E330" s="9">
        <v>10</v>
      </c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6">
      <c r="A331" s="7"/>
      <c r="B331" s="24">
        <v>9</v>
      </c>
      <c r="C331" s="24" t="s">
        <v>6435</v>
      </c>
      <c r="D331" s="24">
        <v>9</v>
      </c>
      <c r="E331" s="9">
        <v>11</v>
      </c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6">
      <c r="A332" s="7"/>
      <c r="B332" s="24">
        <v>8</v>
      </c>
      <c r="C332" s="24" t="s">
        <v>6436</v>
      </c>
      <c r="D332" s="24">
        <v>8</v>
      </c>
      <c r="E332" s="9">
        <v>12</v>
      </c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6">
      <c r="A333" s="7"/>
      <c r="B333" s="24">
        <v>7</v>
      </c>
      <c r="C333" s="24" t="s">
        <v>6437</v>
      </c>
      <c r="D333" s="24">
        <v>7</v>
      </c>
      <c r="E333" s="9">
        <v>13</v>
      </c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6">
      <c r="A334" s="7"/>
      <c r="B334" s="24">
        <v>6</v>
      </c>
      <c r="C334" s="24" t="s">
        <v>6438</v>
      </c>
      <c r="D334" s="24">
        <v>6</v>
      </c>
      <c r="E334" s="9">
        <v>14</v>
      </c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6">
      <c r="A335" s="7"/>
      <c r="B335" s="24">
        <v>5</v>
      </c>
      <c r="C335" s="24" t="s">
        <v>6439</v>
      </c>
      <c r="D335" s="24">
        <v>5</v>
      </c>
      <c r="E335" s="9">
        <v>15</v>
      </c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6">
      <c r="A336" s="7"/>
      <c r="B336" s="24">
        <v>4</v>
      </c>
      <c r="C336" s="24" t="s">
        <v>6440</v>
      </c>
      <c r="D336" s="24">
        <v>4</v>
      </c>
      <c r="E336" s="9">
        <v>16</v>
      </c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6">
      <c r="A337" s="7"/>
      <c r="B337" s="24">
        <v>3</v>
      </c>
      <c r="C337" s="24" t="s">
        <v>6441</v>
      </c>
      <c r="D337" s="24">
        <v>3</v>
      </c>
      <c r="E337" s="9">
        <v>17</v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6">
      <c r="A338" s="7"/>
      <c r="B338" s="24">
        <v>2</v>
      </c>
      <c r="C338" s="24" t="s">
        <v>6442</v>
      </c>
      <c r="D338" s="24">
        <v>2</v>
      </c>
      <c r="E338" s="9">
        <v>18</v>
      </c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6">
      <c r="A339" s="7"/>
      <c r="B339" s="24">
        <v>1</v>
      </c>
      <c r="C339" s="24" t="s">
        <v>6443</v>
      </c>
      <c r="D339" s="24">
        <v>1</v>
      </c>
      <c r="E339" s="9">
        <v>19</v>
      </c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6">
      <c r="A340" s="7"/>
      <c r="B340" s="24">
        <v>0</v>
      </c>
      <c r="C340" s="24" t="s">
        <v>6444</v>
      </c>
      <c r="D340" s="24">
        <v>0</v>
      </c>
      <c r="E340" s="9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7">
      <c r="A341" s="7"/>
      <c r="B341" s="11" t="s">
        <v>6445</v>
      </c>
      <c r="C341" s="11" t="s">
        <v>6445</v>
      </c>
      <c r="D341" s="8"/>
      <c r="E341" s="9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6">
      <c r="A342" s="7"/>
      <c r="B342" s="13"/>
      <c r="C342" s="13" t="s">
        <v>6446</v>
      </c>
      <c r="D342" s="8"/>
      <c r="E342" s="9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6">
      <c r="A343" s="7"/>
      <c r="B343" s="13"/>
      <c r="C343" s="13" t="s">
        <v>6447</v>
      </c>
      <c r="D343" s="8"/>
      <c r="E343" s="9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6">
      <c r="A344" s="7"/>
      <c r="B344" s="13"/>
      <c r="C344" s="13" t="s">
        <v>6448</v>
      </c>
      <c r="D344" s="8"/>
      <c r="E344" s="9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7">
      <c r="A345" s="7"/>
      <c r="B345" s="11"/>
      <c r="C345" s="11" t="s">
        <v>6449</v>
      </c>
      <c r="D345" s="8"/>
      <c r="E345" s="9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6">
      <c r="A346" s="7"/>
      <c r="B346" s="13" t="s">
        <v>6450</v>
      </c>
      <c r="C346" s="7"/>
      <c r="D346" s="8"/>
      <c r="E346" s="9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6">
      <c r="A347" s="7"/>
      <c r="B347" s="13" t="s">
        <v>6451</v>
      </c>
      <c r="C347" s="7"/>
      <c r="D347" s="8"/>
      <c r="E347" s="9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6">
      <c r="A348" s="7"/>
      <c r="B348" s="13" t="s">
        <v>6452</v>
      </c>
      <c r="C348" s="7"/>
      <c r="D348" s="8"/>
      <c r="E348" s="9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6">
      <c r="A349" s="7"/>
      <c r="B349" s="13" t="s">
        <v>6453</v>
      </c>
      <c r="C349" s="7"/>
      <c r="D349" s="8"/>
      <c r="E349" s="9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6">
      <c r="A350" s="7"/>
      <c r="B350" s="13" t="s">
        <v>6454</v>
      </c>
      <c r="C350" s="7"/>
      <c r="D350" s="8"/>
      <c r="E350" s="9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6">
      <c r="A351" s="7"/>
      <c r="B351" s="13" t="s">
        <v>6455</v>
      </c>
      <c r="C351" s="7"/>
      <c r="D351" s="8"/>
      <c r="E351" s="9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6">
      <c r="A352" s="7"/>
      <c r="B352" s="13" t="s">
        <v>6456</v>
      </c>
      <c r="C352" s="7"/>
      <c r="D352" s="8"/>
      <c r="E352" s="9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6">
      <c r="A353" s="7"/>
      <c r="B353" s="13" t="s">
        <v>6457</v>
      </c>
      <c r="C353" s="7"/>
      <c r="D353" s="8"/>
      <c r="E353" s="9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6">
      <c r="A354" s="7"/>
      <c r="B354" s="13" t="s">
        <v>6458</v>
      </c>
      <c r="C354" s="7"/>
      <c r="D354" s="8"/>
      <c r="E354" s="9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6">
      <c r="A355" s="7"/>
      <c r="B355" s="13" t="s">
        <v>6459</v>
      </c>
      <c r="C355" s="7"/>
      <c r="D355" s="8"/>
      <c r="E355" s="9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6">
      <c r="A356" s="7"/>
      <c r="B356" s="13" t="s">
        <v>6460</v>
      </c>
      <c r="C356" s="7"/>
      <c r="D356" s="8"/>
      <c r="E356" s="9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6">
      <c r="A357" s="7"/>
      <c r="B357" s="13" t="s">
        <v>6461</v>
      </c>
      <c r="C357" s="7"/>
      <c r="D357" s="8"/>
      <c r="E357" s="9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6">
      <c r="A358" s="7"/>
      <c r="B358" s="13" t="s">
        <v>6462</v>
      </c>
      <c r="C358" s="7"/>
      <c r="D358" s="8"/>
      <c r="E358" s="9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6">
      <c r="A359" s="7"/>
      <c r="B359" s="13" t="s">
        <v>6463</v>
      </c>
      <c r="C359" s="7"/>
      <c r="D359" s="8"/>
      <c r="E359" s="9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6">
      <c r="A360" s="7"/>
      <c r="B360" s="13" t="s">
        <v>6464</v>
      </c>
      <c r="C360" s="7"/>
      <c r="D360" s="8"/>
      <c r="E360" s="9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6">
      <c r="A361" s="7"/>
      <c r="B361" s="13" t="s">
        <v>6465</v>
      </c>
      <c r="C361" s="7"/>
      <c r="D361" s="8"/>
      <c r="E361" s="9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6">
      <c r="A362" s="7"/>
      <c r="B362" s="13" t="s">
        <v>6466</v>
      </c>
      <c r="C362" s="7"/>
      <c r="D362" s="8"/>
      <c r="E362" s="9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6">
      <c r="A363" s="7"/>
      <c r="B363" s="13" t="s">
        <v>6467</v>
      </c>
      <c r="C363" s="7"/>
      <c r="D363" s="8"/>
      <c r="E363" s="9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6">
      <c r="A364" s="7"/>
      <c r="B364" s="13" t="s">
        <v>6468</v>
      </c>
      <c r="C364" s="7"/>
      <c r="D364" s="8"/>
      <c r="E364" s="9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6">
      <c r="A365" s="7"/>
      <c r="B365" s="13" t="s">
        <v>6469</v>
      </c>
      <c r="C365" s="7"/>
      <c r="D365" s="8"/>
      <c r="E365" s="9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6">
      <c r="A366" s="7"/>
      <c r="B366" s="13" t="s">
        <v>6470</v>
      </c>
      <c r="C366" s="7"/>
      <c r="D366" s="8"/>
      <c r="E366" s="9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6">
      <c r="A367" s="7"/>
      <c r="B367" s="13" t="s">
        <v>6471</v>
      </c>
      <c r="C367" s="7"/>
      <c r="D367" s="8"/>
      <c r="E367" s="9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6">
      <c r="A368" s="7"/>
      <c r="B368" s="13" t="s">
        <v>6472</v>
      </c>
      <c r="C368" s="7"/>
      <c r="D368" s="8"/>
      <c r="E368" s="9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6">
      <c r="A369" s="7"/>
      <c r="B369" s="13" t="s">
        <v>6473</v>
      </c>
      <c r="C369" s="7"/>
      <c r="D369" s="8"/>
      <c r="E369" s="9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7">
      <c r="A370" s="7"/>
      <c r="B370" s="11" t="s">
        <v>6474</v>
      </c>
      <c r="C370" s="7"/>
      <c r="D370" s="8"/>
      <c r="E370" s="9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6">
      <c r="A371" s="7"/>
      <c r="B371" s="13" t="s">
        <v>6475</v>
      </c>
      <c r="C371" s="7"/>
      <c r="D371" s="8"/>
      <c r="E371" s="9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6">
      <c r="A372" s="7"/>
      <c r="B372" s="13" t="s">
        <v>6476</v>
      </c>
      <c r="C372" s="7"/>
      <c r="D372" s="8"/>
      <c r="E372" s="9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7">
      <c r="A373" s="7"/>
      <c r="B373" s="11" t="s">
        <v>6477</v>
      </c>
      <c r="C373" s="7"/>
      <c r="D373" s="8"/>
      <c r="E373" s="9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6">
      <c r="A374" s="7"/>
      <c r="B374" s="13" t="s">
        <v>6475</v>
      </c>
      <c r="C374" s="13" t="s">
        <v>6475</v>
      </c>
      <c r="D374" s="8"/>
      <c r="E374" s="9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6">
      <c r="A375" s="7"/>
      <c r="B375" s="13" t="s">
        <v>6476</v>
      </c>
      <c r="C375" s="13" t="s">
        <v>6476</v>
      </c>
      <c r="D375" s="8"/>
      <c r="E375" s="9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6">
      <c r="A376" s="7"/>
      <c r="B376" s="13" t="s">
        <v>6478</v>
      </c>
      <c r="C376" s="13" t="s">
        <v>6479</v>
      </c>
      <c r="D376" s="8"/>
      <c r="E376" s="9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6">
      <c r="A377" s="7"/>
      <c r="B377" s="13" t="s">
        <v>6480</v>
      </c>
      <c r="C377" s="13" t="s">
        <v>6478</v>
      </c>
      <c r="D377" s="8"/>
      <c r="E377" s="9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6">
      <c r="A378" s="7"/>
      <c r="B378" s="13" t="s">
        <v>6481</v>
      </c>
      <c r="C378" s="13" t="s">
        <v>6480</v>
      </c>
      <c r="D378" s="8"/>
      <c r="E378" s="9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6">
      <c r="A379" s="7"/>
      <c r="B379" s="13"/>
      <c r="C379" s="13" t="s">
        <v>6481</v>
      </c>
      <c r="D379" s="8"/>
      <c r="E379" s="9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7">
      <c r="A380" s="7"/>
      <c r="B380" s="11" t="s">
        <v>6482</v>
      </c>
      <c r="C380" s="7"/>
      <c r="D380" s="8"/>
      <c r="E380" s="9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6">
      <c r="A381" s="7"/>
      <c r="B381" s="13" t="s">
        <v>6483</v>
      </c>
      <c r="C381" s="7"/>
      <c r="D381" s="8"/>
      <c r="E381" s="9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6">
      <c r="A382" s="7"/>
      <c r="B382" s="13" t="s">
        <v>6484</v>
      </c>
      <c r="C382" s="7"/>
      <c r="D382" s="8"/>
      <c r="E382" s="9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7">
      <c r="A383" s="7"/>
      <c r="B383" s="11" t="s">
        <v>6485</v>
      </c>
      <c r="C383" s="7"/>
      <c r="D383" s="8"/>
      <c r="E383" s="9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6">
      <c r="A384" s="7"/>
      <c r="B384" s="13" t="s">
        <v>6483</v>
      </c>
      <c r="C384" s="7"/>
      <c r="D384" s="8"/>
      <c r="E384" s="9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7">
      <c r="A385" s="7"/>
      <c r="B385" s="11" t="s">
        <v>6486</v>
      </c>
      <c r="C385" s="7"/>
      <c r="D385" s="8"/>
      <c r="E385" s="9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6">
      <c r="A386" s="7"/>
      <c r="B386" s="13" t="s">
        <v>6487</v>
      </c>
      <c r="C386" s="7"/>
      <c r="D386" s="8"/>
      <c r="E386" s="9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6">
      <c r="A387" s="7"/>
      <c r="B387" s="13" t="s">
        <v>6488</v>
      </c>
      <c r="C387" s="7"/>
      <c r="D387" s="8"/>
      <c r="E387" s="9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6">
      <c r="A388" s="7"/>
      <c r="B388" s="13" t="s">
        <v>6489</v>
      </c>
      <c r="C388" s="7"/>
      <c r="D388" s="8"/>
      <c r="E388" s="9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6">
      <c r="A389" s="7"/>
      <c r="B389" s="13" t="s">
        <v>6490</v>
      </c>
      <c r="C389" s="7"/>
      <c r="D389" s="8"/>
      <c r="E389" s="9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6">
      <c r="A390" s="7"/>
      <c r="B390" s="13" t="s">
        <v>6491</v>
      </c>
      <c r="C390" s="7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6">
      <c r="A391" s="7"/>
      <c r="B391" s="13" t="s">
        <v>6492</v>
      </c>
      <c r="C391" s="7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6">
      <c r="A392" s="7"/>
      <c r="B392" s="13" t="s">
        <v>6493</v>
      </c>
      <c r="C392" s="7"/>
      <c r="D392" s="9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6">
      <c r="A393" s="7"/>
      <c r="B393" s="13" t="s">
        <v>6494</v>
      </c>
      <c r="C393" s="7"/>
      <c r="D393" s="9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6">
      <c r="A394" s="7"/>
      <c r="B394" s="13" t="s">
        <v>6495</v>
      </c>
      <c r="C394" s="7"/>
      <c r="D394" s="9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6">
      <c r="A395" s="7"/>
      <c r="B395" s="13" t="s">
        <v>6496</v>
      </c>
      <c r="C395" s="7"/>
      <c r="D395" s="9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6">
      <c r="A396" s="7"/>
      <c r="B396" s="13" t="s">
        <v>6497</v>
      </c>
      <c r="C396" s="7"/>
      <c r="D396" s="9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6">
      <c r="A397" s="7"/>
      <c r="B397" s="13" t="s">
        <v>6498</v>
      </c>
      <c r="C397" s="7"/>
      <c r="D397" s="9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6">
      <c r="A398" s="7"/>
      <c r="B398" s="13" t="s">
        <v>6499</v>
      </c>
      <c r="C398" s="7"/>
      <c r="D398" s="9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6">
      <c r="A399" s="7"/>
      <c r="B399" s="13" t="s">
        <v>6500</v>
      </c>
      <c r="C399" s="7"/>
      <c r="D399" s="9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6">
      <c r="A400" s="7"/>
      <c r="B400" s="13" t="s">
        <v>6501</v>
      </c>
      <c r="C400" s="7"/>
      <c r="D400" s="9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6">
      <c r="A401" s="7"/>
      <c r="B401" s="13" t="s">
        <v>6502</v>
      </c>
      <c r="C401" s="7"/>
      <c r="D401" s="9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6">
      <c r="A402" s="7"/>
      <c r="B402" s="13" t="s">
        <v>6503</v>
      </c>
      <c r="C402" s="7"/>
      <c r="D402" s="9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6">
      <c r="A403" s="7"/>
      <c r="B403" s="13" t="s">
        <v>6504</v>
      </c>
      <c r="C403" s="7"/>
      <c r="D403" s="9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6">
      <c r="A404" s="7"/>
      <c r="B404" s="13" t="s">
        <v>6505</v>
      </c>
      <c r="C404" s="7"/>
      <c r="D404" s="9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6">
      <c r="A405" s="7"/>
      <c r="B405" s="13" t="s">
        <v>6506</v>
      </c>
      <c r="C405" s="7"/>
      <c r="D405" s="9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6">
      <c r="A406" s="7"/>
      <c r="B406" s="13" t="s">
        <v>6507</v>
      </c>
      <c r="C406" s="7"/>
      <c r="D406" s="9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6">
      <c r="A407" s="7"/>
      <c r="B407" s="13" t="s">
        <v>6508</v>
      </c>
      <c r="C407" s="7"/>
      <c r="D407" s="9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6">
      <c r="A408" s="7"/>
      <c r="B408" s="13" t="s">
        <v>6509</v>
      </c>
      <c r="C408" s="7"/>
      <c r="D408" s="9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6">
      <c r="A409" s="7"/>
      <c r="B409" s="13" t="s">
        <v>6510</v>
      </c>
      <c r="C409" s="7"/>
      <c r="D409" s="9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6">
      <c r="A410" s="7"/>
      <c r="B410" s="13" t="s">
        <v>6511</v>
      </c>
      <c r="C410" s="7"/>
      <c r="D410" s="9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6">
      <c r="A411" s="7"/>
      <c r="B411" s="13" t="s">
        <v>6512</v>
      </c>
      <c r="C411" s="7"/>
      <c r="D411" s="9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6">
      <c r="A412" s="7"/>
      <c r="B412" s="13" t="s">
        <v>6513</v>
      </c>
      <c r="C412" s="7"/>
      <c r="D412" s="9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6">
      <c r="A413" s="7"/>
      <c r="B413" s="13" t="s">
        <v>6514</v>
      </c>
      <c r="C413" s="7"/>
      <c r="D413" s="9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7">
      <c r="A414" s="7"/>
      <c r="B414" s="11" t="s">
        <v>6515</v>
      </c>
      <c r="C414" s="9"/>
      <c r="D414" s="9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6">
      <c r="A415" s="7"/>
      <c r="B415" s="13">
        <v>1</v>
      </c>
      <c r="C415" s="9"/>
      <c r="D415" s="9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6">
      <c r="A416" s="7"/>
      <c r="B416" s="13">
        <v>2</v>
      </c>
      <c r="C416" s="9"/>
      <c r="D416" s="9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6">
      <c r="A417" s="7"/>
      <c r="B417" s="13">
        <v>3</v>
      </c>
      <c r="C417" s="9"/>
      <c r="D417" s="9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6">
      <c r="A418" s="7"/>
      <c r="B418" s="25" t="s">
        <v>6516</v>
      </c>
      <c r="C418" s="9"/>
      <c r="D418" s="9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7">
      <c r="A419" s="7"/>
      <c r="B419" s="26" t="s">
        <v>6517</v>
      </c>
      <c r="C419" s="9"/>
      <c r="D419" s="9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6">
      <c r="A420" s="7"/>
      <c r="B420" s="25" t="s">
        <v>6518</v>
      </c>
      <c r="C420" s="9"/>
      <c r="D420" s="9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6">
      <c r="A421" s="7"/>
      <c r="B421" s="25" t="s">
        <v>6519</v>
      </c>
      <c r="C421" s="7"/>
      <c r="D421" s="9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6">
      <c r="A422" s="7"/>
      <c r="B422" s="25" t="s">
        <v>6520</v>
      </c>
      <c r="C422" s="7"/>
      <c r="D422" s="9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7">
      <c r="A423" s="7"/>
      <c r="B423" s="11" t="s">
        <v>6521</v>
      </c>
      <c r="C423" s="7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6">
      <c r="A424" s="7"/>
      <c r="B424" s="13" t="s">
        <v>6292</v>
      </c>
      <c r="C424" s="7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6">
      <c r="A425" s="7"/>
      <c r="B425" s="13" t="s">
        <v>6295</v>
      </c>
      <c r="C425" s="7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7">
      <c r="A426" s="7"/>
      <c r="B426" s="11" t="s">
        <v>6522</v>
      </c>
      <c r="C426" s="7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6">
      <c r="A427" s="7"/>
      <c r="B427" s="13" t="s">
        <v>6523</v>
      </c>
      <c r="C427" s="7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6">
      <c r="A428" s="7"/>
      <c r="B428" s="13" t="s">
        <v>6524</v>
      </c>
      <c r="C428" s="7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6">
      <c r="A429" s="7"/>
      <c r="B429" s="13" t="s">
        <v>6525</v>
      </c>
      <c r="C429" s="7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6">
      <c r="A430" s="7"/>
      <c r="B430" s="13" t="s">
        <v>6526</v>
      </c>
      <c r="C430" s="7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6">
      <c r="A431" s="7"/>
      <c r="B431" s="13" t="s">
        <v>6527</v>
      </c>
      <c r="C431" s="7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6">
      <c r="A432" s="7"/>
      <c r="B432" s="13" t="s">
        <v>6528</v>
      </c>
      <c r="C432" s="7"/>
      <c r="D432" s="8"/>
      <c r="E432" s="9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6">
      <c r="A433" s="7"/>
      <c r="B433" s="13" t="s">
        <v>6529</v>
      </c>
      <c r="C433" s="7"/>
      <c r="D433" s="8"/>
      <c r="E433" s="9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6">
      <c r="A434" s="7"/>
      <c r="B434" s="13" t="s">
        <v>6530</v>
      </c>
      <c r="C434" s="7"/>
      <c r="D434" s="8"/>
      <c r="E434" s="9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6">
      <c r="A435" s="7"/>
      <c r="B435" s="13" t="s">
        <v>6531</v>
      </c>
      <c r="C435" s="7"/>
      <c r="D435" s="8"/>
      <c r="E435" s="9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6">
      <c r="A436" s="7"/>
      <c r="B436" s="13" t="s">
        <v>6532</v>
      </c>
      <c r="C436" s="7"/>
      <c r="D436" s="8"/>
      <c r="E436" s="9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6">
      <c r="A437" s="7"/>
      <c r="B437" s="13" t="s">
        <v>6533</v>
      </c>
      <c r="C437" s="7"/>
      <c r="D437" s="8"/>
      <c r="E437" s="9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6">
      <c r="A438" s="7"/>
      <c r="B438" s="13" t="s">
        <v>6534</v>
      </c>
      <c r="C438" s="7"/>
      <c r="D438" s="8"/>
      <c r="E438" s="9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6">
      <c r="A439" s="7"/>
      <c r="B439" s="13" t="s">
        <v>6535</v>
      </c>
      <c r="C439" s="7"/>
      <c r="D439" s="8"/>
      <c r="E439" s="9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6">
      <c r="A440" s="7"/>
      <c r="B440" s="13" t="s">
        <v>6536</v>
      </c>
      <c r="C440" s="7"/>
      <c r="D440" s="8"/>
      <c r="E440" s="9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6">
      <c r="A441" s="7"/>
      <c r="B441" s="13" t="s">
        <v>6537</v>
      </c>
      <c r="C441" s="7"/>
      <c r="D441" s="8"/>
      <c r="E441" s="9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6">
      <c r="A442" s="7"/>
      <c r="B442" s="13" t="s">
        <v>6538</v>
      </c>
      <c r="C442" s="7"/>
      <c r="D442" s="8"/>
      <c r="E442" s="9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6">
      <c r="A443" s="7"/>
      <c r="B443" s="13" t="s">
        <v>6539</v>
      </c>
      <c r="C443" s="7"/>
      <c r="D443" s="8"/>
      <c r="E443" s="9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6">
      <c r="A444" s="7"/>
      <c r="B444" s="13" t="s">
        <v>6540</v>
      </c>
      <c r="C444" s="7"/>
      <c r="D444" s="8"/>
      <c r="E444" s="9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6">
      <c r="A445" s="7"/>
      <c r="B445" s="13" t="s">
        <v>6541</v>
      </c>
      <c r="C445" s="7"/>
      <c r="D445" s="8"/>
      <c r="E445" s="9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6">
      <c r="A446" s="7"/>
      <c r="B446" s="13" t="s">
        <v>6542</v>
      </c>
      <c r="C446" s="7"/>
      <c r="D446" s="8"/>
      <c r="E446" s="9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6">
      <c r="A447" s="7"/>
      <c r="B447" s="7"/>
      <c r="C447" s="7"/>
      <c r="D447" s="8"/>
      <c r="E447" s="9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6">
      <c r="A448" s="7"/>
      <c r="B448" s="7"/>
      <c r="C448" s="7"/>
      <c r="D448" s="8"/>
      <c r="E448" s="9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7">
      <c r="A449" s="7"/>
      <c r="B449" s="11" t="s">
        <v>6543</v>
      </c>
      <c r="C449" s="199" t="s">
        <v>6544</v>
      </c>
      <c r="D449" s="200"/>
      <c r="E449" s="9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6">
      <c r="A450" s="7"/>
      <c r="B450" s="13" t="s">
        <v>6294</v>
      </c>
      <c r="C450" s="201" t="s">
        <v>6545</v>
      </c>
      <c r="D450" s="181"/>
      <c r="E450" s="9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6">
      <c r="A451" s="7"/>
      <c r="B451" s="13" t="s">
        <v>6000</v>
      </c>
      <c r="C451" s="201" t="s">
        <v>6546</v>
      </c>
      <c r="D451" s="181"/>
      <c r="E451" s="9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6">
      <c r="A452" s="7"/>
      <c r="B452" s="13" t="s">
        <v>5995</v>
      </c>
      <c r="C452" s="201" t="s">
        <v>6547</v>
      </c>
      <c r="D452" s="181"/>
      <c r="E452" s="9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6">
      <c r="A453" s="7"/>
      <c r="B453" s="13" t="s">
        <v>5997</v>
      </c>
      <c r="C453" s="201" t="s">
        <v>6548</v>
      </c>
      <c r="D453" s="181"/>
      <c r="E453" s="9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6">
      <c r="A454" s="7"/>
      <c r="B454" s="13" t="s">
        <v>6305</v>
      </c>
      <c r="C454" s="201" t="s">
        <v>6549</v>
      </c>
      <c r="D454" s="181"/>
      <c r="E454" s="9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6">
      <c r="A455" s="7"/>
      <c r="B455" s="7"/>
      <c r="C455" s="7"/>
      <c r="D455" s="7"/>
      <c r="E455" s="9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7">
      <c r="A456" s="7"/>
      <c r="B456" s="11" t="s">
        <v>6550</v>
      </c>
      <c r="C456" s="197" t="s">
        <v>6544</v>
      </c>
      <c r="D456" s="181"/>
      <c r="E456" s="9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6">
      <c r="A457" s="7"/>
      <c r="B457" s="13" t="s">
        <v>6314</v>
      </c>
      <c r="C457" s="13" t="s">
        <v>6551</v>
      </c>
      <c r="D457" s="13"/>
      <c r="E457" s="9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6">
      <c r="A458" s="7"/>
      <c r="B458" s="13" t="s">
        <v>6000</v>
      </c>
      <c r="C458" s="198" t="s">
        <v>6552</v>
      </c>
      <c r="D458" s="181"/>
      <c r="E458" s="9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6">
      <c r="A459" s="7"/>
      <c r="B459" s="13" t="s">
        <v>5995</v>
      </c>
      <c r="C459" s="13" t="s">
        <v>6553</v>
      </c>
      <c r="D459" s="13"/>
      <c r="E459" s="9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6">
      <c r="A460" s="7"/>
      <c r="B460" s="13" t="s">
        <v>5997</v>
      </c>
      <c r="C460" s="13" t="s">
        <v>6554</v>
      </c>
      <c r="D460" s="13"/>
      <c r="E460" s="9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6">
      <c r="A461" s="7"/>
      <c r="B461" s="13" t="s">
        <v>6305</v>
      </c>
      <c r="C461" s="13" t="s">
        <v>6555</v>
      </c>
      <c r="D461" s="13"/>
      <c r="E461" s="9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6">
      <c r="A462" s="7"/>
      <c r="B462" s="9"/>
      <c r="C462" s="7"/>
      <c r="D462" s="7"/>
      <c r="E462" s="9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6">
      <c r="A463" s="7"/>
      <c r="B463" s="9"/>
      <c r="C463" s="7"/>
      <c r="D463" s="7"/>
      <c r="E463" s="9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6">
      <c r="A464" s="7"/>
      <c r="B464" s="9"/>
      <c r="C464" s="7"/>
      <c r="D464" s="7"/>
      <c r="E464" s="9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6">
      <c r="A465" s="7"/>
      <c r="B465" s="9"/>
      <c r="C465" s="7"/>
      <c r="D465" s="7"/>
      <c r="E465" s="9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7">
      <c r="A466" s="7"/>
      <c r="B466" s="11" t="s">
        <v>6556</v>
      </c>
      <c r="C466" s="11" t="s">
        <v>6557</v>
      </c>
      <c r="D466" s="11" t="s">
        <v>6558</v>
      </c>
      <c r="E466" s="9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6">
      <c r="A467" s="7"/>
      <c r="B467" s="13" t="s">
        <v>6559</v>
      </c>
      <c r="C467" s="13" t="s">
        <v>6308</v>
      </c>
      <c r="D467" s="13" t="s">
        <v>6308</v>
      </c>
      <c r="E467" s="9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6">
      <c r="A468" s="7"/>
      <c r="B468" s="13" t="s">
        <v>6560</v>
      </c>
      <c r="C468" s="13" t="s">
        <v>6561</v>
      </c>
      <c r="D468" s="13" t="s">
        <v>6561</v>
      </c>
      <c r="E468" s="9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6">
      <c r="A469" s="7"/>
      <c r="B469" s="13"/>
      <c r="C469" s="13" t="s">
        <v>6562</v>
      </c>
      <c r="D469" s="13" t="s">
        <v>6563</v>
      </c>
      <c r="E469" s="9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6">
      <c r="A470" s="7"/>
      <c r="B470" s="13"/>
      <c r="C470" s="13" t="s">
        <v>6564</v>
      </c>
      <c r="D470" s="13"/>
      <c r="E470" s="9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6">
      <c r="A471" s="7"/>
      <c r="B471" s="13"/>
      <c r="C471" s="13" t="s">
        <v>6563</v>
      </c>
      <c r="D471" s="13"/>
      <c r="E471" s="9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6">
      <c r="A472" s="7"/>
      <c r="B472" s="7"/>
      <c r="C472" s="7"/>
      <c r="D472" s="8"/>
      <c r="E472" s="9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7">
      <c r="A473" s="7"/>
      <c r="B473" s="11" t="s">
        <v>6565</v>
      </c>
      <c r="C473" s="7"/>
      <c r="D473" s="8"/>
      <c r="E473" s="9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6">
      <c r="A474" s="7"/>
      <c r="B474" s="19" t="e">
        <f>SUM(
PRODUCT((IF(AND(sizing_w01_chosen="Included",OR(sizing_w01_gm_chosen="Active GM",sizing_w01_gm_chosen="Standby GM")),VLOOKUP(sizing_w01_nsxt_gm_appliance_size,table_nsxt_manager_cpu,2,FALSE),0)),3),
PRODUCT((IF(AND(sizing_w02_chosen="Included",OR(sizing_w02_gm_chosen="Active GM",sizing_w02_gm_chosen="Standby GM")),VLOOKUP(sizing_w02_nsxt_gm_appliance_size,table_nsxt_manager_cpu,2,FALSE),0)),3),
PRODUCT((IF(AND(sizing_w03_chosen="Included",OR(sizing_w03_gm_chosen="Active GM",sizing_w03_gm_chosen="Standby GM")),VLOOKUP(sizing_w03_nsxt_gm_appliance_size,table_nsxt_manager_cpu,2,FALSE),0)),3),
PRODUCT((IF(AND(sizing_w04_chosen="Included",OR(sizing_w04_gm_chosen="Active GM",sizing_w04_gm_chosen="Standby GM")),VLOOKUP(sizing_w04_nsxt_gm_appliance_size,table_nsxt_manager_cpu,2,FALSE),0)),3),
PRODUCT((IF(AND(sizing_w05_chosen="Included",OR(sizing_w05_gm_chosen="Active GM",sizing_w05_gm_chosen="Standby GM")),VLOOKUP(sizing_w05_nsxt_gm_appliance_size,table_nsxt_manager_cpu,2,FALSE),0)),3),
PRODUCT((IF(AND(sizing_w06_chosen="Included",OR(sizing_w06_gm_chosen="Active GM",sizing_w06_gm_chosen="Standby GM")),VLOOKUP(sizing_w06_nsxt_gm_appliance_size,table_nsxt_manager_cpu,2,FALSE),0)),3),
PRODUCT((IF(AND(sizing_w07_chosen="Included",OR(sizing_w07_gm_chosen="Active GM",sizing_w07_gm_chosen="Standby GM")),VLOOKUP(sizing_w07_nsxt_gm_appliance_size,table_nsxt_manager_cpu,2,FALSE),0)),3),
PRODUCT((IF(AND(sizing_w08_chosen="Included",OR(sizing_w08_gm_chosen="Active GM",sizing_w08_gm_chosen="Standby GM")),VLOOKUP(sizing_w08_nsxt_gm_appliance_size,table_nsxt_manager_cpu,2,FALSE),0)),3),
PRODUCT((IF(AND(sizing_w09_chosen="Included",OR(sizing_w09_gm_chosen="Active GM",sizing_w09_gm_chosen="Standby GM")),VLOOKUP(sizing_w09_nsxt_gm_appliance_size,table_nsxt_manager_cpu,2,FALSE),0)),3),
PRODUCT((IF(AND(sizing_w10_chosen="Included",OR(sizing_w10_gm_chosen="Active GM",sizing_w10_gm_chosen="Standby GM")),VLOOKUP(sizing_w10_nsxt_gm_appliance_size,table_nsxt_manager_cpu,2,FALSE),0)),3),
PRODUCT((IF(AND(sizing_w11_chosen="Included",OR(sizing_w11_gm_chosen="Active GM",sizing_w11_gm_chosen="Standby GM")),VLOOKUP(sizing_w11_nsxt_gm_appliance_size,table_nsxt_manager_cpu,2,FALSE),0)),3),
PRODUCT((IF(AND(sizing_w12_chosen="Included",OR(sizing_w12_gm_chosen="Active GM",sizing_w12_gm_chosen="Standby GM")),VLOOKUP(sizing_w12_nsxt_gm_appliance_size,table_nsxt_manager_cpu,2,FALSE),0)),3),
PRODUCT((IF(AND(sizing_w13_chosen="Included",OR(sizing_w13_gm_chosen="Active GM",sizing_w13_gm_chosen="Standby GM")),VLOOKUP(sizing_w13_nsxt_gm_appliance_size,table_nsxt_manager_cpu,2,FALSE),0)),3),
PRODUCT((IF(AND(sizing_w14_chosen="Included",OR(sizing_w14_gm_chosen="Active GM",sizing_w14_gm_chosen="Standby GM")),VLOOKUP(sizing_w14_nsxt_gm_appliance_size,table_nsxt_manager_cpu,2,FALSE),0)),3),
PRODUCT((IF(AND(sizing_w15_chosen="Included",OR(sizing_w15_gm_chosen="Active GM",sizing_w15_gm_chosen="Standby GM")),VLOOKUP(sizing_w15_nsxt_gm_appliance_size,table_nsxt_manager_cpu,2,FALSE),0)),3),
PRODUCT((IF(AND(sizing_w16_chosen="Included",OR(sizing_w16_gm_chosen="Active GM",sizing_w16_gm_chosen="Standby GM")),VLOOKUP(sizing_w16_nsxt_gm_appliance_size,table_nsxt_manager_cpu,2,FALSE),0)),3),
PRODUCT((IF(AND(sizing_w17_chosen="Included",OR(sizing_w17_gm_chosen="Active GM",sizing_w17_gm_chosen="Standby GM")),VLOOKUP(sizing_w17_nsxt_gm_appliance_size,table_nsxt_manager_cpu,2,FALSE),0)),3),
PRODUCT((IF(AND(sizing_w18_chosen="Included",OR(sizing_w18_gm_chosen="Active GM",sizing_w18_gm_chosen="Standby GM")),VLOOKUP(sizing_w18_nsxt_gm_appliance_size,table_nsxt_manager_cpu,2,FALSE),0)),3),
PRODUCT((IF(AND(sizing_w19_chosen="Included",OR(sizing_w19_gm_chosen="Active GM",sizing_w19_gm_chosen="Standby GM")),VLOOKUP(sizing_w19_nsxt_gm_appliance_size,table_nsxt_manager_cpu,2,FALSE),0)),3),
PRODUCT((IF(AND(sizing_w20_chosen="Included",OR(sizing_w20_gm_chosen="Active GM",sizing_w20_gm_chosen="Standby GM")),VLOOKUP(sizing_w20_nsxt_gm_appliance_size,table_nsxt_manager_cpu,2,FALSE),0)),3),
PRODUCT((IF(AND(sizing_w21_chosen="Included",OR(sizing_w21_gm_chosen="Active GM",sizing_w21_gm_chosen="Standby GM")),VLOOKUP(sizing_w21_nsxt_gm_appliance_size,table_nsxt_manager_cpu,2,FALSE),0)),3),
PRODUCT((IF(AND(sizing_w22_chosen="Included",OR(sizing_w22_gm_chosen="Active GM",sizing_w22_gm_chosen="Standby GM")),VLOOKUP(sizing_w22_nsxt_gm_appliance_size,table_nsxt_manager_cpu,2,FALSE),0)),3),
PRODUCT((IF(AND(sizing_w23_chosen="Included",OR(sizing_w23_gm_chosen="Active GM",sizing_w23_gm_chosen="Standby GM")),VLOOKUP(sizing_w23_nsxt_gm_appliance_size,table_nsxt_manager_cpu,2,FALSE),0)),3),
PRODUCT((IF(AND(sizing_w24_chosen="Included",OR(sizing_w24_gm_chosen="Active GM",sizing_w24_gm_chosen="Standby GM")),VLOOKUP(sizing_w24_nsxt_gm_appliance_size,table_nsxt_manager_cpu,2,FALSE),0)),3))</f>
        <v>#REF!</v>
      </c>
      <c r="C474" s="7"/>
      <c r="D474" s="8"/>
      <c r="E474" s="9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6">
      <c r="A475" s="7"/>
      <c r="B475" s="19" t="e">
        <f>SUM(
PRODUCT((IF(AND(sizing_w01_chosen="Included",OR(sizing_w01_gm_chosen="Active GM",sizing_w01_gm_chosen="Standby GM")),VLOOKUP(sizing_w01_nsxt_gm_appliance_size,table_nsxt_manager_ram,2,FALSE),0)),3),
PRODUCT((IF(AND(sizing_w02_chosen="Included",OR(sizing_w02_gm_chosen="Active GM",sizing_w02_gm_chosen="Standby GM")),VLOOKUP(sizing_w02_nsxt_gm_appliance_size,table_nsxt_manager_ram,2,FALSE),0)),3),
PRODUCT((IF(AND(sizing_w03_chosen="Included",OR(sizing_w03_gm_chosen="Active GM",sizing_w03_gm_chosen="Standby GM")),VLOOKUP(sizing_w03_nsxt_gm_appliance_size,table_nsxt_manager_ram,2,FALSE),0)),3),
PRODUCT((IF(AND(sizing_w04_chosen="Included",OR(sizing_w04_gm_chosen="Active GM",sizing_w04_gm_chosen="Standby GM")),VLOOKUP(sizing_w04_nsxt_gm_appliance_size,table_nsxt_manager_ram,2,FALSE),0)),3),
PRODUCT((IF(AND(sizing_w05_chosen="Included",OR(sizing_w05_gm_chosen="Active GM",sizing_w05_gm_chosen="Standby GM")),VLOOKUP(sizing_w05_nsxt_gm_appliance_size,table_nsxt_manager_ram,2,FALSE),0)),3),
PRODUCT((IF(AND(sizing_w06_chosen="Included",OR(sizing_w06_gm_chosen="Active GM",sizing_w06_gm_chosen="Standby GM")),VLOOKUP(sizing_w06_nsxt_gm_appliance_size,table_nsxt_manager_ram,2,FALSE),0)),3),
PRODUCT((IF(AND(sizing_w07_chosen="Included",OR(sizing_w07_gm_chosen="Active GM",sizing_w07_gm_chosen="Standby GM")),VLOOKUP(sizing_w07_nsxt_gm_appliance_size,table_nsxt_manager_ram,2,FALSE),0)),3),
PRODUCT((IF(AND(sizing_w08_chosen="Included",OR(sizing_w08_gm_chosen="Active GM",sizing_w08_gm_chosen="Standby GM")),VLOOKUP(sizing_w08_nsxt_gm_appliance_size,table_nsxt_manager_ram,2,FALSE),0)),3),
PRODUCT((IF(AND(sizing_w09_chosen="Included",OR(sizing_w09_gm_chosen="Active GM",sizing_w09_gm_chosen="Standby GM")),VLOOKUP(sizing_w09_nsxt_gm_appliance_size,table_nsxt_manager_ram,2,FALSE),0)),3),
PRODUCT((IF(AND(sizing_w10_chosen="Included",OR(sizing_w10_gm_chosen="Active GM",sizing_w10_gm_chosen="Standby GM")),VLOOKUP(sizing_w10_nsxt_gm_appliance_size,table_nsxt_manager_ram,2,FALSE),0)),3),
PRODUCT((IF(AND(sizing_w11_chosen="Included",OR(sizing_w11_gm_chosen="Active GM",sizing_w11_gm_chosen="Standby GM")),VLOOKUP(sizing_w11_nsxt_gm_appliance_size,table_nsxt_manager_ram,2,FALSE),0)),3),
PRODUCT((IF(AND(sizing_w12_chosen="Included",OR(sizing_w12_gm_chosen="Active GM",sizing_w12_gm_chosen="Standby GM")),VLOOKUP(sizing_w12_nsxt_gm_appliance_size,table_nsxt_manager_ram,2,FALSE),0)),3),
PRODUCT((IF(AND(sizing_w13_chosen="Included",OR(sizing_w13_gm_chosen="Active GM",sizing_w13_gm_chosen="Standby GM")),VLOOKUP(sizing_w13_nsxt_gm_appliance_size,table_nsxt_manager_ram,2,FALSE),0)),3),
PRODUCT((IF(AND(sizing_w14_chosen="Included",OR(sizing_w14_gm_chosen="Active GM",sizing_w14_gm_chosen="Standby GM")),VLOOKUP(sizing_w14_nsxt_gm_appliance_size,table_nsxt_manager_ram,2,FALSE),0)),3),
PRODUCT((IF(AND(sizing_w15_chosen="Included",OR(sizing_w15_gm_chosen="Active GM",sizing_w15_gm_chosen="Standby GM")),VLOOKUP(sizing_w15_nsxt_gm_appliance_size,table_nsxt_manager_ram,2,FALSE),0)),3),
PRODUCT((IF(AND(sizing_w16_chosen="Included",OR(sizing_w16_gm_chosen="Active GM",sizing_w16_gm_chosen="Standby GM")),VLOOKUP(sizing_w16_nsxt_gm_appliance_size,table_nsxt_manager_ram,2,FALSE),0)),3),
PRODUCT((IF(AND(sizing_w17_chosen="Included",OR(sizing_w17_gm_chosen="Active GM",sizing_w17_gm_chosen="Standby GM")),VLOOKUP(sizing_w17_nsxt_gm_appliance_size,table_nsxt_manager_ram,2,FALSE),0)),3),
PRODUCT((IF(AND(sizing_w18_chosen="Included",OR(sizing_w18_gm_chosen="Active GM",sizing_w18_gm_chosen="Standby GM")),VLOOKUP(sizing_w18_nsxt_gm_appliance_size,table_nsxt_manager_ram,2,FALSE),0)),3),
PRODUCT((IF(AND(sizing_w19_chosen="Included",OR(sizing_w19_gm_chosen="Active GM",sizing_w19_gm_chosen="Standby GM")),VLOOKUP(sizing_w19_nsxt_gm_appliance_size,table_nsxt_manager_ram,2,FALSE),0)),3),
PRODUCT((IF(AND(sizing_w20_chosen="Included",OR(sizing_w20_gm_chosen="Active GM",sizing_w20_gm_chosen="Standby GM")),VLOOKUP(sizing_w20_nsxt_gm_appliance_size,table_nsxt_manager_ram,2,FALSE),0)),3),
PRODUCT((IF(AND(sizing_w21_chosen="Included",OR(sizing_w21_gm_chosen="Active GM",sizing_w21_gm_chosen="Standby GM")),VLOOKUP(sizing_w21_nsxt_gm_appliance_size,table_nsxt_manager_ram,2,FALSE),0)),3),
PRODUCT((IF(AND(sizing_w22_chosen="Included",OR(sizing_w22_gm_chosen="Active GM",sizing_w22_gm_chosen="Standby GM")),VLOOKUP(sizing_w22_nsxt_gm_appliance_size,table_nsxt_manager_ram,2,FALSE),0)),3),
PRODUCT((IF(AND(sizing_w23_chosen="Included",OR(sizing_w23_gm_chosen="Active GM",sizing_w23_gm_chosen="Standby GM")),VLOOKUP(sizing_w23_nsxt_gm_appliance_size,table_nsxt_manager_ram,2,FALSE),0)),3),
PRODUCT((IF(AND(sizing_w24_chosen="Included",OR(sizing_w24_gm_chosen="Active GM",sizing_w24_gm_chosen="Standby GM")),VLOOKUP(sizing_w24_nsxt_gm_appliance_size,table_nsxt_manager_ram,2,FALSE),0)),3))</f>
        <v>#REF!</v>
      </c>
      <c r="C475" s="7"/>
      <c r="D475" s="8"/>
      <c r="E475" s="9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6">
      <c r="A476" s="7"/>
      <c r="B476" s="21" t="e">
        <f>SUM(
PRODUCT((IF(AND(sizing_w01_chosen="Included",OR(sizing_w01_gm_chosen="Active GM",sizing_w01_gm_chosen="Standby GM")),VLOOKUP(sizing_w01_nsxt_gm_appliance_size,table_nsxt_manager_disk_gb,2,FALSE),0)),3),
PRODUCT((IF(AND(sizing_w02_chosen="Included",OR(sizing_w02_gm_chosen="Active GM",sizing_w02_gm_chosen="Standby GM")),VLOOKUP(sizing_w02_nsxt_gm_appliance_size,table_nsxt_manager_disk_gb,2,FALSE),0)),3),
PRODUCT((IF(AND(sizing_w03_chosen="Included",OR(sizing_w03_gm_chosen="Active GM",sizing_w03_gm_chosen="Standby GM")),VLOOKUP(sizing_w03_nsxt_gm_appliance_size,table_nsxt_manager_disk_gb,2,FALSE),0)),3),
PRODUCT((IF(AND(sizing_w04_chosen="Included",OR(sizing_w04_gm_chosen="Active GM",sizing_w04_gm_chosen="Standby GM")),VLOOKUP(sizing_w04_nsxt_gm_appliance_size,table_nsxt_manager_disk_gb,2,FALSE),0)),3),
PRODUCT((IF(AND(sizing_w05_chosen="Included",OR(sizing_w05_gm_chosen="Active GM",sizing_w05_gm_chosen="Standby GM")),VLOOKUP(sizing_w05_nsxt_gm_appliance_size,table_nsxt_manager_disk_gb,2,FALSE),0)),3),
PRODUCT((IF(AND(sizing_w06_chosen="Included",OR(sizing_w06_gm_chosen="Active GM",sizing_w06_gm_chosen="Standby GM")),VLOOKUP(sizing_w06_nsxt_gm_appliance_size,table_nsxt_manager_disk_gb,2,FALSE),0)),3),
PRODUCT((IF(AND(sizing_w07_chosen="Included",OR(sizing_w07_gm_chosen="Active GM",sizing_w07_gm_chosen="Standby GM")),VLOOKUP(sizing_w07_nsxt_gm_appliance_size,table_nsxt_manager_disk_gb,2,FALSE),0)),3),
PRODUCT((IF(AND(sizing_w08_chosen="Included",OR(sizing_w08_gm_chosen="Active GM",sizing_w08_gm_chosen="Standby GM")),VLOOKUP(sizing_w08_nsxt_gm_appliance_size,table_nsxt_manager_disk_gb,2,FALSE),0)),3),
PRODUCT((IF(AND(sizing_w09_chosen="Included",OR(sizing_w09_gm_chosen="Active GM",sizing_w09_gm_chosen="Standby GM")),VLOOKUP(sizing_w09_nsxt_gm_appliance_size,table_nsxt_manager_disk_gb,2,FALSE),0)),3),
PRODUCT((IF(AND(sizing_w10_chosen="Included",OR(sizing_w10_gm_chosen="Active GM",sizing_w10_gm_chosen="Standby GM")),VLOOKUP(sizing_w10_nsxt_gm_appliance_size,table_nsxt_manager_disk_gb,2,FALSE),0)),3),
PRODUCT((IF(AND(sizing_w11_chosen="Included",OR(sizing_w11_gm_chosen="Active GM",sizing_w11_gm_chosen="Standby GM")),VLOOKUP(sizing_w11_nsxt_gm_appliance_size,table_nsxt_manager_disk_gb,2,FALSE),0)),3),
PRODUCT((IF(AND(sizing_w12_chosen="Included",OR(sizing_w12_gm_chosen="Active GM",sizing_w12_gm_chosen="Standby GM")),VLOOKUP(sizing_w12_nsxt_gm_appliance_size,table_nsxt_manager_disk_gb,2,FALSE),0)),3),
PRODUCT((IF(AND(sizing_w13_chosen="Included",OR(sizing_w13_gm_chosen="Active GM",sizing_w13_gm_chosen="Standby GM")),VLOOKUP(sizing_w13_nsxt_gm_appliance_size,table_nsxt_manager_disk_gb,2,FALSE),0)),3),
PRODUCT((IF(AND(sizing_w14_chosen="Included",OR(sizing_w14_gm_chosen="Active GM",sizing_w14_gm_chosen="Standby GM")),VLOOKUP(sizing_w14_nsxt_gm_appliance_size,table_nsxt_manager_disk_gb,2,FALSE),0)),3),
PRODUCT((IF(AND(sizing_w15_chosen="Included",OR(sizing_w15_gm_chosen="Active GM",sizing_w15_gm_chosen="Standby GM")),VLOOKUP(sizing_w15_nsxt_gm_appliance_size,table_nsxt_manager_disk_gb,2,FALSE),0)),3),
PRODUCT((IF(AND(sizing_w16_chosen="Included",OR(sizing_w16_gm_chosen="Active GM",sizing_w16_gm_chosen="Standby GM")),VLOOKUP(sizing_w16_nsxt_gm_appliance_size,table_nsxt_manager_disk_gb,2,FALSE),0)),3),
PRODUCT((IF(AND(sizing_w17_chosen="Included",OR(sizing_w17_gm_chosen="Active GM",sizing_w17_gm_chosen="Standby GM")),VLOOKUP(sizing_w17_nsxt_gm_appliance_size,table_nsxt_manager_disk_gb,2,FALSE),0)),3),
PRODUCT((IF(AND(sizing_w18_chosen="Included",OR(sizing_w18_gm_chosen="Active GM",sizing_w18_gm_chosen="Standby GM")),VLOOKUP(sizing_w18_nsxt_gm_appliance_size,table_nsxt_manager_disk_gb,2,FALSE),0)),3),
PRODUCT((IF(AND(sizing_w19_chosen="Included",OR(sizing_w19_gm_chosen="Active GM",sizing_w19_gm_chosen="Standby GM")),VLOOKUP(sizing_w19_nsxt_gm_appliance_size,table_nsxt_manager_disk_gb,2,FALSE),0)),3),
PRODUCT((IF(AND(sizing_w20_chosen="Included",OR(sizing_w20_gm_chosen="Active GM",sizing_w20_gm_chosen="Standby GM")),VLOOKUP(sizing_w20_nsxt_gm_appliance_size,table_nsxt_manager_disk_gb,2,FALSE),0)),3),
PRODUCT((IF(AND(sizing_w21_chosen="Included",OR(sizing_w21_gm_chosen="Active GM",sizing_w21_gm_chosen="Standby GM")),VLOOKUP(sizing_w21_nsxt_gm_appliance_size,table_nsxt_manager_disk_gb,2,FALSE),0)),3),
PRODUCT((IF(AND(sizing_w22_chosen="Included",OR(sizing_w22_gm_chosen="Active GM",sizing_w22_gm_chosen="Standby GM")),VLOOKUP(sizing_w22_nsxt_gm_appliance_size,table_nsxt_manager_disk_gb,2,FALSE),0)),3),
PRODUCT((IF(AND(sizing_w23_chosen="Included",OR(sizing_w23_gm_chosen="Active GM",sizing_w23_gm_chosen="Standby GM")),VLOOKUP(sizing_w23_nsxt_gm_appliance_size,table_nsxt_manager_disk_gb,2,FALSE),0)),3),
PRODUCT((IF(AND(sizing_w24_chosen="Included",OR(sizing_w24_gm_chosen="Active GM",sizing_w24_gm_chosen="Standby GM")),VLOOKUP(sizing_w24_nsxt_gm_appliance_size,table_nsxt_manager_disk_gb,2,FALSE),0)),3))</f>
        <v>#REF!</v>
      </c>
      <c r="C476" s="7"/>
      <c r="D476" s="8"/>
      <c r="E476" s="9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6">
      <c r="A477" s="7"/>
      <c r="B477" s="7"/>
      <c r="C477" s="7"/>
      <c r="D477" s="8"/>
      <c r="E477" s="9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6">
      <c r="A478" s="7"/>
      <c r="B478" s="7"/>
      <c r="C478" s="7"/>
      <c r="D478" s="8"/>
      <c r="E478" s="9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6">
      <c r="A479" s="7"/>
      <c r="B479" s="7"/>
      <c r="C479" s="7"/>
      <c r="D479" s="8"/>
      <c r="E479" s="9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6">
      <c r="A480" s="7"/>
      <c r="B480" s="7"/>
      <c r="C480" s="7"/>
      <c r="D480" s="8"/>
      <c r="E480" s="9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6">
      <c r="A481" s="7"/>
      <c r="B481" s="7"/>
      <c r="C481" s="7"/>
      <c r="D481" s="8"/>
      <c r="E481" s="9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6">
      <c r="A482" s="7"/>
      <c r="B482" s="7"/>
      <c r="C482" s="7"/>
      <c r="D482" s="8"/>
      <c r="E482" s="9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6">
      <c r="A483" s="7"/>
      <c r="B483" s="7"/>
      <c r="C483" s="7"/>
      <c r="D483" s="8"/>
      <c r="E483" s="9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6">
      <c r="A484" s="7"/>
      <c r="B484" s="7"/>
      <c r="C484" s="7"/>
      <c r="D484" s="8"/>
      <c r="E484" s="9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6">
      <c r="A485" s="7"/>
      <c r="B485" s="7"/>
      <c r="C485" s="7"/>
      <c r="D485" s="8"/>
      <c r="E485" s="9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6">
      <c r="A486" s="7"/>
      <c r="B486" s="7"/>
      <c r="C486" s="7"/>
      <c r="D486" s="8"/>
      <c r="E486" s="9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6">
      <c r="A487" s="7"/>
      <c r="B487" s="7"/>
      <c r="C487" s="7"/>
      <c r="D487" s="8"/>
      <c r="E487" s="9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6">
      <c r="A488" s="7"/>
      <c r="B488" s="7"/>
      <c r="C488" s="7"/>
      <c r="D488" s="8"/>
      <c r="E488" s="9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6">
      <c r="A489" s="7"/>
      <c r="B489" s="7"/>
      <c r="C489" s="7"/>
      <c r="D489" s="8"/>
      <c r="E489" s="9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6">
      <c r="A490" s="7"/>
      <c r="B490" s="7"/>
      <c r="C490" s="7"/>
      <c r="D490" s="8"/>
      <c r="E490" s="9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6">
      <c r="A491" s="7"/>
      <c r="B491" s="7"/>
      <c r="C491" s="7"/>
      <c r="D491" s="8"/>
      <c r="E491" s="9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6">
      <c r="A492" s="7"/>
      <c r="B492" s="7"/>
      <c r="C492" s="7"/>
      <c r="D492" s="8"/>
      <c r="E492" s="9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6">
      <c r="A493" s="7"/>
      <c r="B493" s="7"/>
      <c r="C493" s="7"/>
      <c r="D493" s="8"/>
      <c r="E493" s="9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9.5" customHeight="1">
      <c r="A494" s="7"/>
      <c r="B494" s="7"/>
      <c r="C494" s="7"/>
      <c r="D494" s="8"/>
      <c r="E494" s="9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9.5" customHeight="1">
      <c r="A495" s="7"/>
      <c r="B495" s="7"/>
      <c r="C495" s="7"/>
      <c r="D495" s="8"/>
      <c r="E495" s="9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9.5" customHeight="1">
      <c r="A496" s="7"/>
      <c r="B496" s="7"/>
      <c r="C496" s="7"/>
      <c r="D496" s="8"/>
      <c r="E496" s="9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9.5" customHeight="1">
      <c r="A497" s="7"/>
      <c r="B497" s="7"/>
      <c r="C497" s="7"/>
      <c r="D497" s="8"/>
      <c r="E497" s="9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9.5" customHeight="1">
      <c r="A498" s="7"/>
      <c r="B498" s="7"/>
      <c r="C498" s="7"/>
      <c r="D498" s="8"/>
      <c r="E498" s="9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9.5" customHeight="1">
      <c r="A499" s="7"/>
      <c r="B499" s="7"/>
      <c r="C499" s="7"/>
      <c r="D499" s="8"/>
      <c r="E499" s="9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9.5" customHeight="1">
      <c r="A500" s="7"/>
      <c r="B500" s="7"/>
      <c r="C500" s="7"/>
      <c r="D500" s="8"/>
      <c r="E500" s="9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9.5" customHeight="1">
      <c r="A501" s="7"/>
      <c r="B501" s="7"/>
      <c r="C501" s="7"/>
      <c r="D501" s="8"/>
      <c r="E501" s="9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9.5" customHeight="1">
      <c r="A502" s="7"/>
      <c r="B502" s="7"/>
      <c r="C502" s="7"/>
      <c r="D502" s="8"/>
      <c r="E502" s="9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9.5" customHeight="1">
      <c r="A503" s="7"/>
      <c r="B503" s="7"/>
      <c r="C503" s="7"/>
      <c r="D503" s="8"/>
      <c r="E503" s="9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9.5" customHeight="1">
      <c r="A504" s="7"/>
      <c r="B504" s="7"/>
      <c r="C504" s="7"/>
      <c r="D504" s="8"/>
      <c r="E504" s="9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9.5" customHeight="1">
      <c r="A505" s="7"/>
      <c r="B505" s="7"/>
      <c r="C505" s="7"/>
      <c r="D505" s="8"/>
      <c r="E505" s="9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9.5" customHeight="1">
      <c r="A506" s="7"/>
      <c r="B506" s="7"/>
      <c r="C506" s="7"/>
      <c r="D506" s="8"/>
      <c r="E506" s="9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6">
      <c r="A507" s="7"/>
      <c r="B507" s="7"/>
      <c r="C507" s="7"/>
      <c r="D507" s="8"/>
      <c r="E507" s="9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6">
      <c r="A508" s="7"/>
      <c r="B508" s="7"/>
      <c r="C508" s="7"/>
      <c r="D508" s="8"/>
      <c r="E508" s="9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6">
      <c r="A509" s="7"/>
      <c r="B509" s="7"/>
      <c r="C509" s="7"/>
      <c r="D509" s="8"/>
      <c r="E509" s="9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6">
      <c r="A510" s="7"/>
      <c r="B510" s="7"/>
      <c r="C510" s="7"/>
      <c r="D510" s="8"/>
      <c r="E510" s="9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6">
      <c r="A511" s="7"/>
      <c r="B511" s="7"/>
      <c r="C511" s="7"/>
      <c r="D511" s="8"/>
      <c r="E511" s="9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6">
      <c r="A512" s="7"/>
      <c r="B512" s="7"/>
      <c r="C512" s="7"/>
      <c r="D512" s="8"/>
      <c r="E512" s="9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6">
      <c r="A513" s="7"/>
      <c r="B513" s="7"/>
      <c r="C513" s="7"/>
      <c r="D513" s="8"/>
      <c r="E513" s="9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6">
      <c r="A514" s="7"/>
      <c r="B514" s="7"/>
      <c r="C514" s="7"/>
      <c r="D514" s="8"/>
      <c r="E514" s="9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6">
      <c r="A515" s="7"/>
      <c r="B515" s="7"/>
      <c r="C515" s="7"/>
      <c r="D515" s="8"/>
      <c r="E515" s="9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6">
      <c r="A516" s="7"/>
      <c r="B516" s="7"/>
      <c r="C516" s="7"/>
      <c r="D516" s="8"/>
      <c r="E516" s="9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6">
      <c r="A517" s="7"/>
      <c r="B517" s="7"/>
      <c r="C517" s="7"/>
      <c r="D517" s="8"/>
      <c r="E517" s="9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6">
      <c r="A518" s="7"/>
      <c r="B518" s="7"/>
      <c r="C518" s="7"/>
      <c r="D518" s="8"/>
      <c r="E518" s="9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6">
      <c r="A519" s="7"/>
      <c r="B519" s="7"/>
      <c r="C519" s="7"/>
      <c r="D519" s="8"/>
      <c r="E519" s="9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6">
      <c r="A520" s="7"/>
      <c r="B520" s="7"/>
      <c r="C520" s="7"/>
      <c r="D520" s="8"/>
      <c r="E520" s="9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6">
      <c r="A521" s="7"/>
      <c r="B521" s="7"/>
      <c r="C521" s="7"/>
      <c r="D521" s="8"/>
      <c r="E521" s="9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6">
      <c r="A522" s="7"/>
      <c r="B522" s="7"/>
      <c r="C522" s="7"/>
      <c r="D522" s="8"/>
      <c r="E522" s="9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6">
      <c r="A523" s="7"/>
      <c r="B523" s="7"/>
      <c r="C523" s="7"/>
      <c r="D523" s="8"/>
      <c r="E523" s="9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6">
      <c r="A524" s="7"/>
      <c r="B524" s="7"/>
      <c r="C524" s="7"/>
      <c r="D524" s="8"/>
      <c r="E524" s="9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6">
      <c r="A525" s="7"/>
      <c r="B525" s="7"/>
      <c r="C525" s="7"/>
      <c r="D525" s="8"/>
      <c r="E525" s="9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6">
      <c r="A526" s="7"/>
      <c r="B526" s="7"/>
      <c r="C526" s="7"/>
      <c r="D526" s="8"/>
      <c r="E526" s="9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6">
      <c r="A527" s="7"/>
      <c r="B527" s="7"/>
      <c r="C527" s="7"/>
      <c r="D527" s="8"/>
      <c r="E527" s="9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6">
      <c r="A528" s="7"/>
      <c r="B528" s="7"/>
      <c r="C528" s="7"/>
      <c r="D528" s="8"/>
      <c r="E528" s="9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6">
      <c r="A529" s="7"/>
      <c r="B529" s="7"/>
      <c r="C529" s="7"/>
      <c r="D529" s="8"/>
      <c r="E529" s="9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6">
      <c r="A530" s="7"/>
      <c r="B530" s="7"/>
      <c r="C530" s="7"/>
      <c r="D530" s="8"/>
      <c r="E530" s="9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6">
      <c r="A531" s="7"/>
      <c r="B531" s="7"/>
      <c r="C531" s="7"/>
      <c r="D531" s="8"/>
      <c r="E531" s="9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6">
      <c r="A532" s="7"/>
      <c r="B532" s="7"/>
      <c r="C532" s="7"/>
      <c r="D532" s="8"/>
      <c r="E532" s="9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6">
      <c r="A533" s="7"/>
      <c r="B533" s="7"/>
      <c r="C533" s="7"/>
      <c r="D533" s="8"/>
      <c r="E533" s="9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6">
      <c r="A534" s="7"/>
      <c r="B534" s="7"/>
      <c r="C534" s="7"/>
      <c r="D534" s="8"/>
      <c r="E534" s="9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6">
      <c r="A535" s="7"/>
      <c r="B535" s="7"/>
      <c r="C535" s="7"/>
      <c r="D535" s="8"/>
      <c r="E535" s="9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6">
      <c r="A536" s="7"/>
      <c r="B536" s="7"/>
      <c r="C536" s="7"/>
      <c r="D536" s="8"/>
      <c r="E536" s="9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6">
      <c r="A537" s="7"/>
      <c r="B537" s="7"/>
      <c r="C537" s="7"/>
      <c r="D537" s="8"/>
      <c r="E537" s="9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6">
      <c r="A538" s="7"/>
      <c r="B538" s="7"/>
      <c r="C538" s="7"/>
      <c r="D538" s="8"/>
      <c r="E538" s="9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6">
      <c r="A539" s="7"/>
      <c r="B539" s="7"/>
      <c r="C539" s="7"/>
      <c r="D539" s="8"/>
      <c r="E539" s="9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6">
      <c r="A540" s="7"/>
      <c r="B540" s="7"/>
      <c r="C540" s="7"/>
      <c r="D540" s="8"/>
      <c r="E540" s="9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6">
      <c r="A541" s="7"/>
      <c r="B541" s="7"/>
      <c r="C541" s="7"/>
      <c r="D541" s="8"/>
      <c r="E541" s="9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6">
      <c r="A542" s="7"/>
      <c r="B542" s="7"/>
      <c r="C542" s="7"/>
      <c r="D542" s="8"/>
      <c r="E542" s="9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6">
      <c r="A543" s="7"/>
      <c r="B543" s="7"/>
      <c r="C543" s="7"/>
      <c r="D543" s="8"/>
      <c r="E543" s="9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6">
      <c r="A544" s="7"/>
      <c r="B544" s="7"/>
      <c r="C544" s="7"/>
      <c r="D544" s="8"/>
      <c r="E544" s="9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6">
      <c r="A545" s="7"/>
      <c r="B545" s="7"/>
      <c r="C545" s="7"/>
      <c r="D545" s="8"/>
      <c r="E545" s="9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6">
      <c r="A546" s="7"/>
      <c r="B546" s="7"/>
      <c r="C546" s="7"/>
      <c r="D546" s="8"/>
      <c r="E546" s="9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6">
      <c r="A547" s="7"/>
      <c r="B547" s="7"/>
      <c r="C547" s="7"/>
      <c r="D547" s="8"/>
      <c r="E547" s="9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6">
      <c r="A548" s="7"/>
      <c r="B548" s="7"/>
      <c r="C548" s="7"/>
      <c r="D548" s="8"/>
      <c r="E548" s="9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6">
      <c r="A549" s="7"/>
      <c r="B549" s="7"/>
      <c r="C549" s="7"/>
      <c r="D549" s="8"/>
      <c r="E549" s="9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6">
      <c r="A550" s="7"/>
      <c r="B550" s="7"/>
      <c r="C550" s="7"/>
      <c r="D550" s="8"/>
      <c r="E550" s="9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6">
      <c r="A551" s="7"/>
      <c r="B551" s="7"/>
      <c r="C551" s="7"/>
      <c r="D551" s="8"/>
      <c r="E551" s="9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6">
      <c r="A552" s="7"/>
      <c r="B552" s="7"/>
      <c r="C552" s="7"/>
      <c r="D552" s="8"/>
      <c r="E552" s="9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6">
      <c r="A553" s="7"/>
      <c r="B553" s="7"/>
      <c r="C553" s="7"/>
      <c r="D553" s="8"/>
      <c r="E553" s="9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6">
      <c r="A554" s="7"/>
      <c r="B554" s="7"/>
      <c r="C554" s="7"/>
      <c r="D554" s="8"/>
      <c r="E554" s="9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6">
      <c r="A555" s="7"/>
      <c r="B555" s="7"/>
      <c r="C555" s="7"/>
      <c r="D555" s="8"/>
      <c r="E555" s="9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6">
      <c r="A556" s="7"/>
      <c r="B556" s="7"/>
      <c r="C556" s="7"/>
      <c r="D556" s="8"/>
      <c r="E556" s="9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6">
      <c r="A557" s="7"/>
      <c r="B557" s="7"/>
      <c r="C557" s="7"/>
      <c r="D557" s="8"/>
      <c r="E557" s="9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6">
      <c r="A558" s="7"/>
      <c r="B558" s="7"/>
      <c r="C558" s="7"/>
      <c r="D558" s="8"/>
      <c r="E558" s="9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6">
      <c r="A559" s="7"/>
      <c r="B559" s="7"/>
      <c r="C559" s="7"/>
      <c r="D559" s="8"/>
      <c r="E559" s="9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6">
      <c r="A560" s="7"/>
      <c r="B560" s="7"/>
      <c r="C560" s="7"/>
      <c r="D560" s="8"/>
      <c r="E560" s="9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6">
      <c r="A561" s="7"/>
      <c r="B561" s="7"/>
      <c r="C561" s="7"/>
      <c r="D561" s="8"/>
      <c r="E561" s="9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6">
      <c r="A562" s="7"/>
      <c r="B562" s="7"/>
      <c r="C562" s="7"/>
      <c r="D562" s="8"/>
      <c r="E562" s="9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6">
      <c r="A563" s="7"/>
      <c r="B563" s="7"/>
      <c r="C563" s="7"/>
      <c r="D563" s="8"/>
      <c r="E563" s="9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6">
      <c r="A564" s="7"/>
      <c r="B564" s="7"/>
      <c r="C564" s="7"/>
      <c r="D564" s="8"/>
      <c r="E564" s="9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6">
      <c r="A565" s="7"/>
      <c r="B565" s="7"/>
      <c r="C565" s="7"/>
      <c r="D565" s="8"/>
      <c r="E565" s="9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6">
      <c r="A566" s="7"/>
      <c r="B566" s="7"/>
      <c r="C566" s="7"/>
      <c r="D566" s="8"/>
      <c r="E566" s="9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6">
      <c r="A567" s="7"/>
      <c r="B567" s="7"/>
      <c r="C567" s="7"/>
      <c r="D567" s="8"/>
      <c r="E567" s="9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6">
      <c r="A568" s="7"/>
      <c r="B568" s="7"/>
      <c r="C568" s="7"/>
      <c r="D568" s="8"/>
      <c r="E568" s="9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6">
      <c r="A569" s="7"/>
      <c r="B569" s="7"/>
      <c r="C569" s="7"/>
      <c r="D569" s="8"/>
      <c r="E569" s="9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6">
      <c r="A570" s="7"/>
      <c r="B570" s="7"/>
      <c r="C570" s="7"/>
      <c r="D570" s="8"/>
      <c r="E570" s="9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6">
      <c r="A571" s="7"/>
      <c r="B571" s="7"/>
      <c r="C571" s="7"/>
      <c r="D571" s="8"/>
      <c r="E571" s="9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6">
      <c r="A572" s="7"/>
      <c r="B572" s="7"/>
      <c r="C572" s="7"/>
      <c r="D572" s="8"/>
      <c r="E572" s="9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6">
      <c r="A573" s="7"/>
      <c r="B573" s="7"/>
      <c r="C573" s="7"/>
      <c r="D573" s="8"/>
      <c r="E573" s="9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6">
      <c r="A574" s="7"/>
      <c r="B574" s="7"/>
      <c r="C574" s="7"/>
      <c r="D574" s="8"/>
      <c r="E574" s="9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6">
      <c r="A575" s="7"/>
      <c r="B575" s="7"/>
      <c r="C575" s="7"/>
      <c r="D575" s="8"/>
      <c r="E575" s="9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6">
      <c r="A576" s="7"/>
      <c r="B576" s="7"/>
      <c r="C576" s="7"/>
      <c r="D576" s="8"/>
      <c r="E576" s="9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6">
      <c r="A577" s="7"/>
      <c r="B577" s="7"/>
      <c r="C577" s="7"/>
      <c r="D577" s="8"/>
      <c r="E577" s="9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6">
      <c r="A578" s="7"/>
      <c r="B578" s="7"/>
      <c r="C578" s="7"/>
      <c r="D578" s="8"/>
      <c r="E578" s="9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6">
      <c r="A579" s="7"/>
      <c r="B579" s="7"/>
      <c r="C579" s="7"/>
      <c r="D579" s="8"/>
      <c r="E579" s="9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6">
      <c r="A580" s="7"/>
      <c r="B580" s="7"/>
      <c r="C580" s="7"/>
      <c r="D580" s="8"/>
      <c r="E580" s="9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6">
      <c r="A581" s="7"/>
      <c r="B581" s="7"/>
      <c r="C581" s="7"/>
      <c r="D581" s="8"/>
      <c r="E581" s="9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6">
      <c r="A582" s="7"/>
      <c r="B582" s="7"/>
      <c r="C582" s="7"/>
      <c r="D582" s="8"/>
      <c r="E582" s="9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6">
      <c r="A583" s="7"/>
      <c r="B583" s="7"/>
      <c r="C583" s="7"/>
      <c r="D583" s="8"/>
      <c r="E583" s="9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6">
      <c r="A584" s="7"/>
      <c r="B584" s="7"/>
      <c r="C584" s="7"/>
      <c r="D584" s="8"/>
      <c r="E584" s="9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6">
      <c r="A585" s="7"/>
      <c r="B585" s="7"/>
      <c r="C585" s="7"/>
      <c r="D585" s="8"/>
      <c r="E585" s="9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6">
      <c r="A586" s="7"/>
      <c r="B586" s="7"/>
      <c r="C586" s="7"/>
      <c r="D586" s="8"/>
      <c r="E586" s="9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6">
      <c r="A587" s="7"/>
      <c r="B587" s="7"/>
      <c r="C587" s="7"/>
      <c r="D587" s="8"/>
      <c r="E587" s="9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6">
      <c r="A588" s="7"/>
      <c r="B588" s="7"/>
      <c r="C588" s="7"/>
      <c r="D588" s="8"/>
      <c r="E588" s="9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6">
      <c r="A589" s="7"/>
      <c r="B589" s="7"/>
      <c r="C589" s="7"/>
      <c r="D589" s="8"/>
      <c r="E589" s="9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6">
      <c r="A590" s="7"/>
      <c r="B590" s="7"/>
      <c r="C590" s="7"/>
      <c r="D590" s="8"/>
      <c r="E590" s="9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6">
      <c r="A591" s="7"/>
      <c r="B591" s="7"/>
      <c r="C591" s="7"/>
      <c r="D591" s="8"/>
      <c r="E591" s="9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6">
      <c r="A592" s="7"/>
      <c r="B592" s="7"/>
      <c r="C592" s="7"/>
      <c r="D592" s="8"/>
      <c r="E592" s="9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6">
      <c r="A593" s="7"/>
      <c r="B593" s="7"/>
      <c r="C593" s="7"/>
      <c r="D593" s="8"/>
      <c r="E593" s="9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6">
      <c r="A594" s="7"/>
      <c r="B594" s="7"/>
      <c r="C594" s="7"/>
      <c r="D594" s="8"/>
      <c r="E594" s="9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6">
      <c r="A595" s="7"/>
      <c r="B595" s="7"/>
      <c r="C595" s="7"/>
      <c r="D595" s="8"/>
      <c r="E595" s="9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6">
      <c r="A596" s="7"/>
      <c r="B596" s="7"/>
      <c r="C596" s="7"/>
      <c r="D596" s="8"/>
      <c r="E596" s="9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6">
      <c r="A597" s="7"/>
      <c r="B597" s="7"/>
      <c r="C597" s="7"/>
      <c r="D597" s="8"/>
      <c r="E597" s="9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6">
      <c r="A598" s="7"/>
      <c r="B598" s="7"/>
      <c r="C598" s="7"/>
      <c r="D598" s="8"/>
      <c r="E598" s="9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6">
      <c r="A599" s="7"/>
      <c r="B599" s="7"/>
      <c r="C599" s="7"/>
      <c r="D599" s="8"/>
      <c r="E599" s="9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6">
      <c r="A600" s="7"/>
      <c r="B600" s="7"/>
      <c r="C600" s="7"/>
      <c r="D600" s="8"/>
      <c r="E600" s="9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6">
      <c r="A601" s="7"/>
      <c r="B601" s="7"/>
      <c r="C601" s="7"/>
      <c r="D601" s="8"/>
      <c r="E601" s="9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6">
      <c r="A602" s="7"/>
      <c r="B602" s="7"/>
      <c r="C602" s="7"/>
      <c r="D602" s="8"/>
      <c r="E602" s="9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6">
      <c r="A603" s="7"/>
      <c r="B603" s="7"/>
      <c r="C603" s="7"/>
      <c r="D603" s="8"/>
      <c r="E603" s="9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6">
      <c r="A604" s="7"/>
      <c r="B604" s="7"/>
      <c r="C604" s="7"/>
      <c r="D604" s="8"/>
      <c r="E604" s="9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6">
      <c r="A605" s="7"/>
      <c r="B605" s="7"/>
      <c r="C605" s="7"/>
      <c r="D605" s="8"/>
      <c r="E605" s="9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6">
      <c r="A606" s="7"/>
      <c r="B606" s="7"/>
      <c r="C606" s="7"/>
      <c r="D606" s="8"/>
      <c r="E606" s="9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6">
      <c r="A607" s="7"/>
      <c r="B607" s="7"/>
      <c r="C607" s="7"/>
      <c r="D607" s="8"/>
      <c r="E607" s="9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6">
      <c r="A608" s="7"/>
      <c r="B608" s="7"/>
      <c r="C608" s="7"/>
      <c r="D608" s="8"/>
      <c r="E608" s="9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6">
      <c r="A609" s="7"/>
      <c r="B609" s="7"/>
      <c r="C609" s="7"/>
      <c r="D609" s="8"/>
      <c r="E609" s="9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6">
      <c r="A610" s="7"/>
      <c r="B610" s="7"/>
      <c r="C610" s="7"/>
      <c r="D610" s="8"/>
      <c r="E610" s="9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6">
      <c r="A611" s="7"/>
      <c r="B611" s="7"/>
      <c r="C611" s="7"/>
      <c r="D611" s="8"/>
      <c r="E611" s="9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6">
      <c r="A612" s="7"/>
      <c r="B612" s="7"/>
      <c r="C612" s="7"/>
      <c r="D612" s="8"/>
      <c r="E612" s="9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6">
      <c r="A613" s="7"/>
      <c r="B613" s="7"/>
      <c r="C613" s="7"/>
      <c r="D613" s="8"/>
      <c r="E613" s="9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6">
      <c r="A614" s="7"/>
      <c r="B614" s="7"/>
      <c r="C614" s="7"/>
      <c r="D614" s="8"/>
      <c r="E614" s="9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6">
      <c r="A615" s="7"/>
      <c r="B615" s="7"/>
      <c r="C615" s="7"/>
      <c r="D615" s="8"/>
      <c r="E615" s="9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6">
      <c r="A616" s="7"/>
      <c r="B616" s="7"/>
      <c r="C616" s="7"/>
      <c r="D616" s="8"/>
      <c r="E616" s="9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6">
      <c r="A617" s="7"/>
      <c r="B617" s="7"/>
      <c r="C617" s="7"/>
      <c r="D617" s="8"/>
      <c r="E617" s="9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6">
      <c r="A618" s="7"/>
      <c r="B618" s="7"/>
      <c r="C618" s="7"/>
      <c r="D618" s="8"/>
      <c r="E618" s="9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6">
      <c r="A619" s="7"/>
      <c r="B619" s="7"/>
      <c r="C619" s="7"/>
      <c r="D619" s="8"/>
      <c r="E619" s="9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6">
      <c r="A620" s="7"/>
      <c r="B620" s="7"/>
      <c r="C620" s="7"/>
      <c r="D620" s="8"/>
      <c r="E620" s="9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6">
      <c r="A621" s="7"/>
      <c r="B621" s="7"/>
      <c r="C621" s="7"/>
      <c r="D621" s="8"/>
      <c r="E621" s="9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6">
      <c r="A622" s="7"/>
      <c r="B622" s="7"/>
      <c r="C622" s="7"/>
      <c r="D622" s="8"/>
      <c r="E622" s="9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6">
      <c r="A623" s="7"/>
      <c r="B623" s="7"/>
      <c r="C623" s="7"/>
      <c r="D623" s="8"/>
      <c r="E623" s="9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6">
      <c r="A624" s="7"/>
      <c r="B624" s="7"/>
      <c r="C624" s="7"/>
      <c r="D624" s="8"/>
      <c r="E624" s="9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6">
      <c r="A625" s="7"/>
      <c r="B625" s="7"/>
      <c r="C625" s="7"/>
      <c r="D625" s="8"/>
      <c r="E625" s="9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6">
      <c r="A626" s="7"/>
      <c r="B626" s="7"/>
      <c r="C626" s="7"/>
      <c r="D626" s="8"/>
      <c r="E626" s="9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6">
      <c r="A627" s="7"/>
      <c r="B627" s="7"/>
      <c r="C627" s="7"/>
      <c r="D627" s="8"/>
      <c r="E627" s="9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6">
      <c r="A628" s="7"/>
      <c r="B628" s="7"/>
      <c r="C628" s="7"/>
      <c r="D628" s="8"/>
      <c r="E628" s="9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6">
      <c r="A629" s="7"/>
      <c r="B629" s="7"/>
      <c r="C629" s="7"/>
      <c r="D629" s="8"/>
      <c r="E629" s="9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6">
      <c r="A630" s="7"/>
      <c r="B630" s="7"/>
      <c r="C630" s="7"/>
      <c r="D630" s="8"/>
      <c r="E630" s="9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6">
      <c r="A631" s="7"/>
      <c r="B631" s="7"/>
      <c r="C631" s="7"/>
      <c r="D631" s="8"/>
      <c r="E631" s="9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6">
      <c r="A632" s="7"/>
      <c r="B632" s="7"/>
      <c r="C632" s="7"/>
      <c r="D632" s="8"/>
      <c r="E632" s="9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6">
      <c r="A633" s="7"/>
      <c r="B633" s="7"/>
      <c r="C633" s="7"/>
      <c r="D633" s="8"/>
      <c r="E633" s="9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6">
      <c r="A634" s="7"/>
      <c r="B634" s="7"/>
      <c r="C634" s="7"/>
      <c r="D634" s="8"/>
      <c r="E634" s="9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6">
      <c r="A635" s="7"/>
      <c r="B635" s="7"/>
      <c r="C635" s="7"/>
      <c r="D635" s="8"/>
      <c r="E635" s="9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6">
      <c r="A636" s="7"/>
      <c r="B636" s="7"/>
      <c r="C636" s="7"/>
      <c r="D636" s="8"/>
      <c r="E636" s="9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6">
      <c r="A637" s="7"/>
      <c r="B637" s="7"/>
      <c r="C637" s="7"/>
      <c r="D637" s="8"/>
      <c r="E637" s="9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6">
      <c r="A638" s="7"/>
      <c r="B638" s="7"/>
      <c r="C638" s="7"/>
      <c r="D638" s="8"/>
      <c r="E638" s="9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6">
      <c r="A639" s="7"/>
      <c r="B639" s="7"/>
      <c r="C639" s="7"/>
      <c r="D639" s="8"/>
      <c r="E639" s="9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6">
      <c r="A640" s="7"/>
      <c r="B640" s="7"/>
      <c r="C640" s="7"/>
      <c r="D640" s="8"/>
      <c r="E640" s="9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6">
      <c r="A641" s="7"/>
      <c r="B641" s="7"/>
      <c r="C641" s="7"/>
      <c r="D641" s="8"/>
      <c r="E641" s="9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6">
      <c r="A642" s="7"/>
      <c r="B642" s="7"/>
      <c r="C642" s="7"/>
      <c r="D642" s="8"/>
      <c r="E642" s="9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6">
      <c r="A643" s="7"/>
      <c r="B643" s="7"/>
      <c r="C643" s="7"/>
      <c r="D643" s="8"/>
      <c r="E643" s="9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6">
      <c r="A644" s="7"/>
      <c r="B644" s="7"/>
      <c r="C644" s="7"/>
      <c r="D644" s="8"/>
      <c r="E644" s="9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6">
      <c r="A645" s="7"/>
      <c r="B645" s="7"/>
      <c r="C645" s="7"/>
      <c r="D645" s="8"/>
      <c r="E645" s="9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6">
      <c r="A646" s="7"/>
      <c r="B646" s="7"/>
      <c r="C646" s="7"/>
      <c r="D646" s="8"/>
      <c r="E646" s="9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6">
      <c r="A647" s="7"/>
      <c r="B647" s="7"/>
      <c r="C647" s="7"/>
      <c r="D647" s="8"/>
      <c r="E647" s="9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6">
      <c r="A648" s="7"/>
      <c r="B648" s="7"/>
      <c r="C648" s="7"/>
      <c r="D648" s="8"/>
      <c r="E648" s="9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6">
      <c r="A649" s="7"/>
      <c r="B649" s="7"/>
      <c r="C649" s="7"/>
      <c r="D649" s="8"/>
      <c r="E649" s="9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6">
      <c r="A650" s="7"/>
      <c r="B650" s="7"/>
      <c r="C650" s="7"/>
      <c r="D650" s="8"/>
      <c r="E650" s="9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6">
      <c r="A651" s="7"/>
      <c r="B651" s="7"/>
      <c r="C651" s="7"/>
      <c r="D651" s="8"/>
      <c r="E651" s="9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6">
      <c r="A652" s="7"/>
      <c r="B652" s="7"/>
      <c r="C652" s="7"/>
      <c r="D652" s="8"/>
      <c r="E652" s="9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6">
      <c r="A653" s="7"/>
      <c r="B653" s="7"/>
      <c r="C653" s="7"/>
      <c r="D653" s="8"/>
      <c r="E653" s="9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6">
      <c r="A654" s="7"/>
      <c r="B654" s="7"/>
      <c r="C654" s="7"/>
      <c r="D654" s="8"/>
      <c r="E654" s="9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6">
      <c r="A655" s="7"/>
      <c r="B655" s="7"/>
      <c r="C655" s="7"/>
      <c r="D655" s="8"/>
      <c r="E655" s="9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6">
      <c r="A656" s="7"/>
      <c r="B656" s="7"/>
      <c r="C656" s="7"/>
      <c r="D656" s="8"/>
      <c r="E656" s="9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6">
      <c r="A657" s="7"/>
      <c r="B657" s="7"/>
      <c r="C657" s="7"/>
      <c r="D657" s="8"/>
      <c r="E657" s="9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6">
      <c r="A658" s="7"/>
      <c r="B658" s="7"/>
      <c r="C658" s="7"/>
      <c r="D658" s="8"/>
      <c r="E658" s="9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6">
      <c r="A659" s="7"/>
      <c r="B659" s="7"/>
      <c r="C659" s="7"/>
      <c r="D659" s="8"/>
      <c r="E659" s="9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6">
      <c r="A660" s="7"/>
      <c r="B660" s="7"/>
      <c r="C660" s="7"/>
      <c r="D660" s="8"/>
      <c r="E660" s="9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6">
      <c r="A661" s="7"/>
      <c r="B661" s="7"/>
      <c r="C661" s="7"/>
      <c r="D661" s="8"/>
      <c r="E661" s="9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6">
      <c r="A662" s="7"/>
      <c r="B662" s="7"/>
      <c r="C662" s="7"/>
      <c r="D662" s="8"/>
      <c r="E662" s="9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6">
      <c r="A663" s="7"/>
      <c r="B663" s="7"/>
      <c r="C663" s="7"/>
      <c r="D663" s="8"/>
      <c r="E663" s="9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6">
      <c r="A664" s="7"/>
      <c r="B664" s="7"/>
      <c r="C664" s="7"/>
      <c r="D664" s="8"/>
      <c r="E664" s="9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6">
      <c r="A665" s="7"/>
      <c r="B665" s="7"/>
      <c r="C665" s="7"/>
      <c r="D665" s="8"/>
      <c r="E665" s="9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6">
      <c r="A666" s="7"/>
      <c r="B666" s="7"/>
      <c r="C666" s="7"/>
      <c r="D666" s="8"/>
      <c r="E666" s="9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6">
      <c r="A667" s="7"/>
      <c r="B667" s="7"/>
      <c r="C667" s="7"/>
      <c r="D667" s="8"/>
      <c r="E667" s="9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6">
      <c r="A668" s="7"/>
      <c r="B668" s="7"/>
      <c r="C668" s="7"/>
      <c r="D668" s="8"/>
      <c r="E668" s="9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6">
      <c r="A669" s="7"/>
      <c r="B669" s="7"/>
      <c r="C669" s="7"/>
      <c r="D669" s="8"/>
      <c r="E669" s="9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6">
      <c r="A670" s="7"/>
      <c r="B670" s="7"/>
      <c r="C670" s="7"/>
      <c r="D670" s="8"/>
      <c r="E670" s="9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6">
      <c r="A671" s="7"/>
      <c r="B671" s="7"/>
      <c r="C671" s="7"/>
      <c r="D671" s="8"/>
      <c r="E671" s="9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6">
      <c r="A672" s="7"/>
      <c r="B672" s="7"/>
      <c r="C672" s="7"/>
      <c r="D672" s="8"/>
      <c r="E672" s="9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6">
      <c r="A673" s="7"/>
      <c r="B673" s="7"/>
      <c r="C673" s="7"/>
      <c r="D673" s="8"/>
      <c r="E673" s="9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6">
      <c r="A674" s="7"/>
      <c r="B674" s="7"/>
      <c r="C674" s="7"/>
      <c r="D674" s="8"/>
      <c r="E674" s="9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6">
      <c r="A675" s="7"/>
      <c r="B675" s="7"/>
      <c r="C675" s="7"/>
      <c r="D675" s="8"/>
      <c r="E675" s="9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6">
      <c r="A676" s="7"/>
      <c r="B676" s="7"/>
      <c r="C676" s="7"/>
      <c r="D676" s="8"/>
      <c r="E676" s="9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6">
      <c r="A677" s="7"/>
      <c r="B677" s="7"/>
      <c r="C677" s="7"/>
      <c r="D677" s="8"/>
      <c r="E677" s="9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6">
      <c r="A678" s="7"/>
      <c r="B678" s="7"/>
      <c r="C678" s="7"/>
      <c r="D678" s="8"/>
      <c r="E678" s="9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6">
      <c r="A679" s="7"/>
      <c r="B679" s="7"/>
      <c r="C679" s="7"/>
      <c r="D679" s="8"/>
      <c r="E679" s="9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6">
      <c r="A680" s="7"/>
      <c r="B680" s="7"/>
      <c r="C680" s="7"/>
      <c r="D680" s="8"/>
      <c r="E680" s="9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6">
      <c r="A681" s="7"/>
      <c r="B681" s="7"/>
      <c r="C681" s="7"/>
      <c r="D681" s="8"/>
      <c r="E681" s="9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6">
      <c r="A682" s="7"/>
      <c r="B682" s="7"/>
      <c r="C682" s="7"/>
      <c r="D682" s="8"/>
      <c r="E682" s="9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6">
      <c r="A683" s="7"/>
      <c r="B683" s="7"/>
      <c r="C683" s="7"/>
      <c r="D683" s="8"/>
      <c r="E683" s="9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6">
      <c r="A684" s="7"/>
      <c r="B684" s="7"/>
      <c r="C684" s="7"/>
      <c r="D684" s="8"/>
      <c r="E684" s="9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6">
      <c r="A685" s="7"/>
      <c r="B685" s="7"/>
      <c r="C685" s="7"/>
      <c r="D685" s="8"/>
      <c r="E685" s="9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6">
      <c r="A686" s="7"/>
      <c r="B686" s="7"/>
      <c r="C686" s="7"/>
      <c r="D686" s="8"/>
      <c r="E686" s="9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6">
      <c r="A687" s="7"/>
      <c r="B687" s="7"/>
      <c r="C687" s="7"/>
      <c r="D687" s="8"/>
      <c r="E687" s="9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6">
      <c r="A688" s="7"/>
      <c r="B688" s="7"/>
      <c r="C688" s="7"/>
      <c r="D688" s="8"/>
      <c r="E688" s="9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6">
      <c r="A689" s="7"/>
      <c r="B689" s="7"/>
      <c r="C689" s="7"/>
      <c r="D689" s="8"/>
      <c r="E689" s="9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6">
      <c r="A690" s="7"/>
      <c r="B690" s="7"/>
      <c r="C690" s="7"/>
      <c r="D690" s="8"/>
      <c r="E690" s="9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6">
      <c r="A691" s="7"/>
      <c r="B691" s="7"/>
      <c r="C691" s="7"/>
      <c r="D691" s="8"/>
      <c r="E691" s="9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6">
      <c r="A692" s="7"/>
      <c r="B692" s="7"/>
      <c r="C692" s="7"/>
      <c r="D692" s="8"/>
      <c r="E692" s="9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6">
      <c r="A693" s="7"/>
      <c r="B693" s="7"/>
      <c r="C693" s="7"/>
      <c r="D693" s="8"/>
      <c r="E693" s="9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6">
      <c r="A694" s="7"/>
      <c r="B694" s="7"/>
      <c r="C694" s="7"/>
      <c r="D694" s="8"/>
      <c r="E694" s="9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6">
      <c r="A695" s="7"/>
      <c r="B695" s="7"/>
      <c r="C695" s="7"/>
      <c r="D695" s="8"/>
      <c r="E695" s="9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6">
      <c r="A696" s="7"/>
      <c r="B696" s="7"/>
      <c r="C696" s="7"/>
      <c r="D696" s="8"/>
      <c r="E696" s="9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6">
      <c r="A697" s="7"/>
      <c r="B697" s="7"/>
      <c r="C697" s="7"/>
      <c r="D697" s="8"/>
      <c r="E697" s="9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6">
      <c r="A698" s="7"/>
      <c r="B698" s="7"/>
      <c r="C698" s="7"/>
      <c r="D698" s="8"/>
      <c r="E698" s="9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6">
      <c r="A699" s="7"/>
      <c r="B699" s="7"/>
      <c r="C699" s="7"/>
      <c r="D699" s="8"/>
      <c r="E699" s="9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6">
      <c r="A700" s="7"/>
      <c r="B700" s="7"/>
      <c r="C700" s="7"/>
      <c r="D700" s="8"/>
      <c r="E700" s="9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6">
      <c r="A701" s="7"/>
      <c r="B701" s="7"/>
      <c r="C701" s="7"/>
      <c r="D701" s="8"/>
      <c r="E701" s="9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6">
      <c r="A702" s="7"/>
      <c r="B702" s="7"/>
      <c r="C702" s="7"/>
      <c r="D702" s="8"/>
      <c r="E702" s="9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6">
      <c r="A703" s="7"/>
      <c r="B703" s="7"/>
      <c r="C703" s="7"/>
      <c r="D703" s="8"/>
      <c r="E703" s="9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6">
      <c r="A704" s="7"/>
      <c r="B704" s="7"/>
      <c r="C704" s="7"/>
      <c r="D704" s="8"/>
      <c r="E704" s="9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6">
      <c r="A705" s="7"/>
      <c r="B705" s="7"/>
      <c r="C705" s="7"/>
      <c r="D705" s="8"/>
      <c r="E705" s="9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6">
      <c r="A706" s="7"/>
      <c r="B706" s="7"/>
      <c r="C706" s="7"/>
      <c r="D706" s="8"/>
      <c r="E706" s="9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6">
      <c r="A707" s="7"/>
      <c r="B707" s="7"/>
      <c r="C707" s="7"/>
      <c r="D707" s="8"/>
      <c r="E707" s="9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6">
      <c r="A708" s="7"/>
      <c r="B708" s="7"/>
      <c r="C708" s="7"/>
      <c r="D708" s="8"/>
      <c r="E708" s="9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6">
      <c r="A709" s="7"/>
      <c r="B709" s="7"/>
      <c r="C709" s="7"/>
      <c r="D709" s="8"/>
      <c r="E709" s="9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6">
      <c r="A710" s="7"/>
      <c r="B710" s="7"/>
      <c r="C710" s="7"/>
      <c r="D710" s="8"/>
      <c r="E710" s="9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6">
      <c r="A711" s="7"/>
      <c r="B711" s="7"/>
      <c r="C711" s="7"/>
      <c r="D711" s="8"/>
      <c r="E711" s="9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6">
      <c r="A712" s="7"/>
      <c r="B712" s="7"/>
      <c r="C712" s="7"/>
      <c r="D712" s="8"/>
      <c r="E712" s="9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6">
      <c r="A713" s="7"/>
      <c r="B713" s="7"/>
      <c r="C713" s="7"/>
      <c r="D713" s="8"/>
      <c r="E713" s="9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6">
      <c r="A714" s="7"/>
      <c r="B714" s="7"/>
      <c r="C714" s="7"/>
      <c r="D714" s="8"/>
      <c r="E714" s="9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6">
      <c r="A715" s="7"/>
      <c r="B715" s="7"/>
      <c r="C715" s="7"/>
      <c r="D715" s="8"/>
      <c r="E715" s="9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6">
      <c r="A716" s="7"/>
      <c r="B716" s="7"/>
      <c r="C716" s="7"/>
      <c r="D716" s="8"/>
      <c r="E716" s="9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6">
      <c r="A717" s="7"/>
      <c r="B717" s="7"/>
      <c r="C717" s="7"/>
      <c r="D717" s="8"/>
      <c r="E717" s="9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6">
      <c r="A718" s="7"/>
      <c r="B718" s="7"/>
      <c r="C718" s="7"/>
      <c r="D718" s="8"/>
      <c r="E718" s="9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6">
      <c r="A719" s="7"/>
      <c r="B719" s="7"/>
      <c r="C719" s="7"/>
      <c r="D719" s="8"/>
      <c r="E719" s="9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6">
      <c r="A720" s="7"/>
      <c r="B720" s="7"/>
      <c r="C720" s="7"/>
      <c r="D720" s="8"/>
      <c r="E720" s="9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6">
      <c r="A721" s="7"/>
      <c r="B721" s="7"/>
      <c r="C721" s="7"/>
      <c r="D721" s="8"/>
      <c r="E721" s="9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6">
      <c r="A722" s="7"/>
      <c r="B722" s="7"/>
      <c r="C722" s="7"/>
      <c r="D722" s="8"/>
      <c r="E722" s="9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6">
      <c r="A723" s="7"/>
      <c r="B723" s="7"/>
      <c r="C723" s="7"/>
      <c r="D723" s="8"/>
      <c r="E723" s="9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6">
      <c r="A724" s="7"/>
      <c r="B724" s="7"/>
      <c r="C724" s="7"/>
      <c r="D724" s="8"/>
      <c r="E724" s="9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6">
      <c r="A725" s="7"/>
      <c r="B725" s="7"/>
      <c r="C725" s="7"/>
      <c r="D725" s="8"/>
      <c r="E725" s="9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6">
      <c r="A726" s="7"/>
      <c r="B726" s="7"/>
      <c r="C726" s="7"/>
      <c r="D726" s="8"/>
      <c r="E726" s="9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6">
      <c r="A727" s="7"/>
      <c r="B727" s="7"/>
      <c r="C727" s="7"/>
      <c r="D727" s="8"/>
      <c r="E727" s="9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6">
      <c r="A728" s="7"/>
      <c r="B728" s="7"/>
      <c r="C728" s="7"/>
      <c r="D728" s="8"/>
      <c r="E728" s="9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6">
      <c r="A729" s="7"/>
      <c r="B729" s="7"/>
      <c r="C729" s="7"/>
      <c r="D729" s="8"/>
      <c r="E729" s="9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6">
      <c r="A730" s="7"/>
      <c r="B730" s="7"/>
      <c r="C730" s="7"/>
      <c r="D730" s="8"/>
      <c r="E730" s="9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6">
      <c r="A731" s="7"/>
      <c r="B731" s="7"/>
      <c r="C731" s="7"/>
      <c r="D731" s="8"/>
      <c r="E731" s="9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6">
      <c r="A732" s="7"/>
      <c r="B732" s="7"/>
      <c r="C732" s="7"/>
      <c r="D732" s="8"/>
      <c r="E732" s="9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6">
      <c r="A733" s="7"/>
      <c r="B733" s="7"/>
      <c r="C733" s="7"/>
      <c r="D733" s="8"/>
      <c r="E733" s="9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6">
      <c r="A734" s="7"/>
      <c r="B734" s="7"/>
      <c r="C734" s="7"/>
      <c r="D734" s="8"/>
      <c r="E734" s="9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6">
      <c r="A735" s="7"/>
      <c r="B735" s="7"/>
      <c r="C735" s="7"/>
      <c r="D735" s="8"/>
      <c r="E735" s="9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6">
      <c r="A736" s="7"/>
      <c r="B736" s="7"/>
      <c r="C736" s="7"/>
      <c r="D736" s="8"/>
      <c r="E736" s="9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6">
      <c r="A737" s="7"/>
      <c r="B737" s="7"/>
      <c r="C737" s="7"/>
      <c r="D737" s="8"/>
      <c r="E737" s="9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6">
      <c r="A738" s="7"/>
      <c r="B738" s="7"/>
      <c r="C738" s="7"/>
      <c r="D738" s="8"/>
      <c r="E738" s="9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6">
      <c r="A739" s="7"/>
      <c r="B739" s="7"/>
      <c r="C739" s="7"/>
      <c r="D739" s="8"/>
      <c r="E739" s="9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6">
      <c r="A740" s="7"/>
      <c r="B740" s="7"/>
      <c r="C740" s="7"/>
      <c r="D740" s="8"/>
      <c r="E740" s="9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6">
      <c r="A741" s="7"/>
      <c r="B741" s="7"/>
      <c r="C741" s="7"/>
      <c r="D741" s="8"/>
      <c r="E741" s="9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6">
      <c r="A742" s="7"/>
      <c r="B742" s="7"/>
      <c r="C742" s="7"/>
      <c r="D742" s="8"/>
      <c r="E742" s="9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6">
      <c r="A743" s="7"/>
      <c r="B743" s="7"/>
      <c r="C743" s="7"/>
      <c r="D743" s="8"/>
      <c r="E743" s="9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6">
      <c r="A744" s="7"/>
      <c r="B744" s="7"/>
      <c r="C744" s="7"/>
      <c r="D744" s="8"/>
      <c r="E744" s="9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6">
      <c r="A745" s="7"/>
      <c r="B745" s="7"/>
      <c r="C745" s="7"/>
      <c r="D745" s="8"/>
      <c r="E745" s="9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6">
      <c r="A746" s="7"/>
      <c r="B746" s="7"/>
      <c r="C746" s="7"/>
      <c r="D746" s="8"/>
      <c r="E746" s="9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6">
      <c r="A747" s="7"/>
      <c r="B747" s="7"/>
      <c r="C747" s="7"/>
      <c r="D747" s="8"/>
      <c r="E747" s="9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6">
      <c r="A748" s="7"/>
      <c r="B748" s="7"/>
      <c r="C748" s="7"/>
      <c r="D748" s="8"/>
      <c r="E748" s="9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6">
      <c r="A749" s="7"/>
      <c r="B749" s="7"/>
      <c r="C749" s="7"/>
      <c r="D749" s="8"/>
      <c r="E749" s="9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6">
      <c r="A750" s="7"/>
      <c r="B750" s="7"/>
      <c r="C750" s="7"/>
      <c r="D750" s="8"/>
      <c r="E750" s="9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6">
      <c r="A751" s="7"/>
      <c r="B751" s="7"/>
      <c r="C751" s="7"/>
      <c r="D751" s="8"/>
      <c r="E751" s="9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6">
      <c r="A752" s="7"/>
      <c r="B752" s="7"/>
      <c r="C752" s="7"/>
      <c r="D752" s="8"/>
      <c r="E752" s="9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6">
      <c r="A753" s="7"/>
      <c r="B753" s="7"/>
      <c r="C753" s="7"/>
      <c r="D753" s="8"/>
      <c r="E753" s="9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6">
      <c r="A754" s="7"/>
      <c r="B754" s="7"/>
      <c r="C754" s="7"/>
      <c r="D754" s="8"/>
      <c r="E754" s="9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6">
      <c r="A755" s="7"/>
      <c r="B755" s="7"/>
      <c r="C755" s="7"/>
      <c r="D755" s="8"/>
      <c r="E755" s="9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6">
      <c r="A756" s="7"/>
      <c r="B756" s="7"/>
      <c r="C756" s="7"/>
      <c r="D756" s="8"/>
      <c r="E756" s="9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6">
      <c r="A757" s="7"/>
      <c r="B757" s="7"/>
      <c r="C757" s="7"/>
      <c r="D757" s="8"/>
      <c r="E757" s="9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6">
      <c r="A758" s="7"/>
      <c r="B758" s="7"/>
      <c r="C758" s="7"/>
      <c r="D758" s="8"/>
      <c r="E758" s="9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6">
      <c r="A759" s="7"/>
      <c r="B759" s="7"/>
      <c r="C759" s="7"/>
      <c r="D759" s="8"/>
      <c r="E759" s="9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6">
      <c r="A760" s="7"/>
      <c r="B760" s="7"/>
      <c r="C760" s="7"/>
      <c r="D760" s="8"/>
      <c r="E760" s="9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6">
      <c r="A761" s="7"/>
      <c r="B761" s="7"/>
      <c r="C761" s="7"/>
      <c r="D761" s="8"/>
      <c r="E761" s="9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6">
      <c r="A762" s="7"/>
      <c r="B762" s="7"/>
      <c r="C762" s="7"/>
      <c r="D762" s="8"/>
      <c r="E762" s="9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6">
      <c r="A763" s="7"/>
      <c r="B763" s="7"/>
      <c r="C763" s="7"/>
      <c r="D763" s="8"/>
      <c r="E763" s="9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6">
      <c r="A764" s="7"/>
      <c r="B764" s="7"/>
      <c r="C764" s="7"/>
      <c r="D764" s="8"/>
      <c r="E764" s="9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6">
      <c r="A765" s="7"/>
      <c r="B765" s="7"/>
      <c r="C765" s="7"/>
      <c r="D765" s="8"/>
      <c r="E765" s="9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6">
      <c r="A766" s="7"/>
      <c r="B766" s="7"/>
      <c r="C766" s="7"/>
      <c r="D766" s="8"/>
      <c r="E766" s="9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6">
      <c r="A767" s="7"/>
      <c r="B767" s="7"/>
      <c r="C767" s="7"/>
      <c r="D767" s="8"/>
      <c r="E767" s="9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6">
      <c r="A768" s="7"/>
      <c r="B768" s="7"/>
      <c r="C768" s="7"/>
      <c r="D768" s="8"/>
      <c r="E768" s="9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6">
      <c r="A769" s="7"/>
      <c r="B769" s="7"/>
      <c r="C769" s="7"/>
      <c r="D769" s="8"/>
      <c r="E769" s="9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6">
      <c r="A770" s="7"/>
      <c r="B770" s="7"/>
      <c r="C770" s="7"/>
      <c r="D770" s="8"/>
      <c r="E770" s="9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6">
      <c r="A771" s="7"/>
      <c r="B771" s="7"/>
      <c r="C771" s="7"/>
      <c r="D771" s="8"/>
      <c r="E771" s="9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6">
      <c r="A772" s="7"/>
      <c r="B772" s="7"/>
      <c r="C772" s="7"/>
      <c r="D772" s="8"/>
      <c r="E772" s="9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6">
      <c r="A773" s="7"/>
      <c r="B773" s="7"/>
      <c r="C773" s="7"/>
      <c r="D773" s="8"/>
      <c r="E773" s="9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6">
      <c r="A774" s="7"/>
      <c r="B774" s="7"/>
      <c r="C774" s="7"/>
      <c r="D774" s="8"/>
      <c r="E774" s="9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6">
      <c r="A775" s="7"/>
      <c r="B775" s="7"/>
      <c r="C775" s="7"/>
      <c r="D775" s="8"/>
      <c r="E775" s="9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6">
      <c r="A776" s="7"/>
      <c r="B776" s="7"/>
      <c r="C776" s="7"/>
      <c r="D776" s="8"/>
      <c r="E776" s="9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6">
      <c r="A777" s="7"/>
      <c r="B777" s="7"/>
      <c r="C777" s="7"/>
      <c r="D777" s="8"/>
      <c r="E777" s="9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6">
      <c r="A778" s="7"/>
      <c r="B778" s="7"/>
      <c r="C778" s="7"/>
      <c r="D778" s="8"/>
      <c r="E778" s="9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6">
      <c r="A779" s="7"/>
      <c r="B779" s="7"/>
      <c r="C779" s="7"/>
      <c r="D779" s="8"/>
      <c r="E779" s="9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6">
      <c r="A780" s="7"/>
      <c r="B780" s="7"/>
      <c r="C780" s="7"/>
      <c r="D780" s="8"/>
      <c r="E780" s="9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6">
      <c r="A781" s="7"/>
      <c r="B781" s="7"/>
      <c r="C781" s="7"/>
      <c r="D781" s="8"/>
      <c r="E781" s="9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6">
      <c r="A782" s="7"/>
      <c r="B782" s="7"/>
      <c r="C782" s="7"/>
      <c r="D782" s="8"/>
      <c r="E782" s="9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6">
      <c r="A783" s="7"/>
      <c r="B783" s="7"/>
      <c r="C783" s="7"/>
      <c r="D783" s="8"/>
      <c r="E783" s="9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6">
      <c r="A784" s="7"/>
      <c r="B784" s="7"/>
      <c r="C784" s="7"/>
      <c r="D784" s="8"/>
      <c r="E784" s="9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6">
      <c r="A785" s="7"/>
      <c r="B785" s="7"/>
      <c r="C785" s="7"/>
      <c r="D785" s="8"/>
      <c r="E785" s="9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6">
      <c r="A786" s="7"/>
      <c r="B786" s="7"/>
      <c r="C786" s="7"/>
      <c r="D786" s="8"/>
      <c r="E786" s="9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6">
      <c r="A787" s="7"/>
      <c r="B787" s="7"/>
      <c r="C787" s="7"/>
      <c r="D787" s="8"/>
      <c r="E787" s="9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6">
      <c r="A788" s="7"/>
      <c r="B788" s="7"/>
      <c r="C788" s="7"/>
      <c r="D788" s="8"/>
      <c r="E788" s="9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6">
      <c r="A789" s="7"/>
      <c r="B789" s="7"/>
      <c r="C789" s="7"/>
      <c r="D789" s="8"/>
      <c r="E789" s="9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6">
      <c r="A790" s="7"/>
      <c r="B790" s="7"/>
      <c r="C790" s="7"/>
      <c r="D790" s="8"/>
      <c r="E790" s="9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6">
      <c r="A791" s="7"/>
      <c r="B791" s="7"/>
      <c r="C791" s="7"/>
      <c r="D791" s="8"/>
      <c r="E791" s="9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6">
      <c r="A792" s="7"/>
      <c r="B792" s="7"/>
      <c r="C792" s="7"/>
      <c r="D792" s="8"/>
      <c r="E792" s="9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6">
      <c r="A793" s="7"/>
      <c r="B793" s="7"/>
      <c r="C793" s="7"/>
      <c r="D793" s="8"/>
      <c r="E793" s="9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6">
      <c r="A794" s="7"/>
      <c r="B794" s="7"/>
      <c r="C794" s="7"/>
      <c r="D794" s="8"/>
      <c r="E794" s="9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6">
      <c r="A795" s="7"/>
      <c r="B795" s="7"/>
      <c r="C795" s="7"/>
      <c r="D795" s="8"/>
      <c r="E795" s="9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6">
      <c r="A796" s="7"/>
      <c r="B796" s="7"/>
      <c r="C796" s="7"/>
      <c r="D796" s="8"/>
      <c r="E796" s="9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6">
      <c r="A797" s="7"/>
      <c r="B797" s="7"/>
      <c r="C797" s="7"/>
      <c r="D797" s="8"/>
      <c r="E797" s="9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6">
      <c r="A798" s="7"/>
      <c r="B798" s="7"/>
      <c r="C798" s="7"/>
      <c r="D798" s="8"/>
      <c r="E798" s="9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6">
      <c r="A799" s="7"/>
      <c r="B799" s="7"/>
      <c r="C799" s="7"/>
      <c r="D799" s="8"/>
      <c r="E799" s="9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6">
      <c r="A800" s="7"/>
      <c r="B800" s="7"/>
      <c r="C800" s="7"/>
      <c r="D800" s="8"/>
      <c r="E800" s="9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6">
      <c r="A801" s="7"/>
      <c r="B801" s="7"/>
      <c r="C801" s="7"/>
      <c r="D801" s="8"/>
      <c r="E801" s="9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6">
      <c r="A802" s="7"/>
      <c r="B802" s="7"/>
      <c r="C802" s="7"/>
      <c r="D802" s="8"/>
      <c r="E802" s="9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6">
      <c r="A803" s="7"/>
      <c r="B803" s="7"/>
      <c r="C803" s="7"/>
      <c r="D803" s="8"/>
      <c r="E803" s="9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6">
      <c r="A804" s="7"/>
      <c r="B804" s="7"/>
      <c r="C804" s="7"/>
      <c r="D804" s="8"/>
      <c r="E804" s="9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6">
      <c r="A805" s="7"/>
      <c r="B805" s="7"/>
      <c r="C805" s="7"/>
      <c r="D805" s="8"/>
      <c r="E805" s="9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6">
      <c r="A806" s="7"/>
      <c r="B806" s="7"/>
      <c r="C806" s="7"/>
      <c r="D806" s="8"/>
      <c r="E806" s="9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6">
      <c r="A807" s="7"/>
      <c r="B807" s="7"/>
      <c r="C807" s="7"/>
      <c r="D807" s="8"/>
      <c r="E807" s="9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6">
      <c r="A808" s="7"/>
      <c r="B808" s="7"/>
      <c r="C808" s="7"/>
      <c r="D808" s="8"/>
      <c r="E808" s="9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6">
      <c r="A809" s="7"/>
      <c r="B809" s="7"/>
      <c r="C809" s="7"/>
      <c r="D809" s="8"/>
      <c r="E809" s="9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6">
      <c r="A810" s="7"/>
      <c r="B810" s="7"/>
      <c r="C810" s="7"/>
      <c r="D810" s="8"/>
      <c r="E810" s="9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6">
      <c r="A811" s="7"/>
      <c r="B811" s="7"/>
      <c r="C811" s="7"/>
      <c r="D811" s="8"/>
      <c r="E811" s="9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6">
      <c r="A812" s="7"/>
      <c r="B812" s="7"/>
      <c r="C812" s="7"/>
      <c r="D812" s="8"/>
      <c r="E812" s="9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6">
      <c r="A813" s="7"/>
      <c r="B813" s="7"/>
      <c r="C813" s="7"/>
      <c r="D813" s="8"/>
      <c r="E813" s="9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6">
      <c r="A814" s="7"/>
      <c r="B814" s="7"/>
      <c r="C814" s="7"/>
      <c r="D814" s="8"/>
      <c r="E814" s="9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6">
      <c r="A815" s="7"/>
      <c r="B815" s="7"/>
      <c r="C815" s="7"/>
      <c r="D815" s="8"/>
      <c r="E815" s="9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6">
      <c r="A816" s="7"/>
      <c r="B816" s="7"/>
      <c r="C816" s="7"/>
      <c r="D816" s="8"/>
      <c r="E816" s="9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6">
      <c r="A817" s="7"/>
      <c r="B817" s="7"/>
      <c r="C817" s="7"/>
      <c r="D817" s="8"/>
      <c r="E817" s="9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6">
      <c r="A818" s="7"/>
      <c r="B818" s="7"/>
      <c r="C818" s="7"/>
      <c r="D818" s="8"/>
      <c r="E818" s="9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6">
      <c r="A819" s="7"/>
      <c r="B819" s="7"/>
      <c r="C819" s="7"/>
      <c r="D819" s="8"/>
      <c r="E819" s="9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6">
      <c r="A820" s="7"/>
      <c r="B820" s="7"/>
      <c r="C820" s="7"/>
      <c r="D820" s="8"/>
      <c r="E820" s="9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6">
      <c r="A821" s="7"/>
      <c r="B821" s="7"/>
      <c r="C821" s="7"/>
      <c r="D821" s="8"/>
      <c r="E821" s="9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6">
      <c r="A822" s="7"/>
      <c r="B822" s="7"/>
      <c r="C822" s="7"/>
      <c r="D822" s="8"/>
      <c r="E822" s="9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6">
      <c r="A823" s="7"/>
      <c r="B823" s="7"/>
      <c r="C823" s="7"/>
      <c r="D823" s="8"/>
      <c r="E823" s="9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6">
      <c r="A824" s="7"/>
      <c r="B824" s="7"/>
      <c r="C824" s="7"/>
      <c r="D824" s="8"/>
      <c r="E824" s="9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6">
      <c r="A825" s="7"/>
      <c r="B825" s="7"/>
      <c r="C825" s="7"/>
      <c r="D825" s="8"/>
      <c r="E825" s="9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6">
      <c r="A826" s="7"/>
      <c r="B826" s="7"/>
      <c r="C826" s="7"/>
      <c r="D826" s="8"/>
      <c r="E826" s="9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6">
      <c r="A827" s="7"/>
      <c r="B827" s="7"/>
      <c r="C827" s="7"/>
      <c r="D827" s="8"/>
      <c r="E827" s="9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6">
      <c r="A828" s="7"/>
      <c r="B828" s="7"/>
      <c r="C828" s="7"/>
      <c r="D828" s="8"/>
      <c r="E828" s="9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6">
      <c r="A829" s="7"/>
      <c r="B829" s="7"/>
      <c r="C829" s="7"/>
      <c r="D829" s="8"/>
      <c r="E829" s="9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6">
      <c r="A830" s="7"/>
      <c r="B830" s="7"/>
      <c r="C830" s="7"/>
      <c r="D830" s="8"/>
      <c r="E830" s="9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6">
      <c r="A831" s="7"/>
      <c r="B831" s="7"/>
      <c r="C831" s="7"/>
      <c r="D831" s="8"/>
      <c r="E831" s="9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6">
      <c r="A832" s="7"/>
      <c r="B832" s="7"/>
      <c r="C832" s="7"/>
      <c r="D832" s="8"/>
      <c r="E832" s="9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6">
      <c r="A833" s="7"/>
      <c r="B833" s="7"/>
      <c r="C833" s="7"/>
      <c r="D833" s="8"/>
      <c r="E833" s="9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6">
      <c r="A834" s="7"/>
      <c r="B834" s="7"/>
      <c r="C834" s="7"/>
      <c r="D834" s="8"/>
      <c r="E834" s="9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6">
      <c r="A835" s="7"/>
      <c r="B835" s="7"/>
      <c r="C835" s="7"/>
      <c r="D835" s="8"/>
      <c r="E835" s="9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6">
      <c r="A836" s="7"/>
      <c r="B836" s="7"/>
      <c r="C836" s="7"/>
      <c r="D836" s="8"/>
      <c r="E836" s="9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6">
      <c r="A837" s="7"/>
      <c r="B837" s="7"/>
      <c r="C837" s="7"/>
      <c r="D837" s="8"/>
      <c r="E837" s="9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6">
      <c r="A838" s="7"/>
      <c r="B838" s="7"/>
      <c r="C838" s="7"/>
      <c r="D838" s="8"/>
      <c r="E838" s="9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6">
      <c r="A839" s="7"/>
      <c r="B839" s="7"/>
      <c r="C839" s="7"/>
      <c r="D839" s="8"/>
      <c r="E839" s="9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6">
      <c r="A840" s="7"/>
      <c r="B840" s="7"/>
      <c r="C840" s="7"/>
      <c r="D840" s="8"/>
      <c r="E840" s="9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6">
      <c r="A841" s="7"/>
      <c r="B841" s="7"/>
      <c r="C841" s="7"/>
      <c r="D841" s="8"/>
      <c r="E841" s="9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6">
      <c r="A842" s="7"/>
      <c r="B842" s="7"/>
      <c r="C842" s="7"/>
      <c r="D842" s="8"/>
      <c r="E842" s="9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6">
      <c r="A843" s="7"/>
      <c r="B843" s="7"/>
      <c r="C843" s="7"/>
      <c r="D843" s="8"/>
      <c r="E843" s="9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6">
      <c r="A844" s="7"/>
      <c r="B844" s="7"/>
      <c r="C844" s="7"/>
      <c r="D844" s="8"/>
      <c r="E844" s="9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6">
      <c r="A845" s="7"/>
      <c r="B845" s="7"/>
      <c r="C845" s="7"/>
      <c r="D845" s="8"/>
      <c r="E845" s="9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6">
      <c r="A846" s="7"/>
      <c r="B846" s="7"/>
      <c r="C846" s="7"/>
      <c r="D846" s="8"/>
      <c r="E846" s="9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6">
      <c r="A847" s="7"/>
      <c r="B847" s="7"/>
      <c r="C847" s="7"/>
      <c r="D847" s="8"/>
      <c r="E847" s="9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6">
      <c r="A848" s="7"/>
      <c r="B848" s="7"/>
      <c r="C848" s="7"/>
      <c r="D848" s="8"/>
      <c r="E848" s="9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6">
      <c r="A849" s="7"/>
      <c r="B849" s="7"/>
      <c r="C849" s="7"/>
      <c r="D849" s="8"/>
      <c r="E849" s="9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6">
      <c r="A850" s="7"/>
      <c r="B850" s="7"/>
      <c r="C850" s="7"/>
      <c r="D850" s="8"/>
      <c r="E850" s="9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6">
      <c r="A851" s="7"/>
      <c r="B851" s="7"/>
      <c r="C851" s="7"/>
      <c r="D851" s="8"/>
      <c r="E851" s="9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6">
      <c r="A852" s="7"/>
      <c r="B852" s="7"/>
      <c r="C852" s="7"/>
      <c r="D852" s="8"/>
      <c r="E852" s="9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6">
      <c r="A853" s="7"/>
      <c r="B853" s="7"/>
      <c r="C853" s="7"/>
      <c r="D853" s="8"/>
      <c r="E853" s="9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6">
      <c r="A854" s="7"/>
      <c r="B854" s="7"/>
      <c r="C854" s="7"/>
      <c r="D854" s="8"/>
      <c r="E854" s="9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6">
      <c r="A855" s="7"/>
      <c r="B855" s="7"/>
      <c r="C855" s="7"/>
      <c r="D855" s="8"/>
      <c r="E855" s="9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6">
      <c r="A856" s="7"/>
      <c r="B856" s="7"/>
      <c r="C856" s="7"/>
      <c r="D856" s="8"/>
      <c r="E856" s="9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6">
      <c r="A857" s="7"/>
      <c r="B857" s="7"/>
      <c r="C857" s="7"/>
      <c r="D857" s="8"/>
      <c r="E857" s="9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6">
      <c r="A858" s="7"/>
      <c r="B858" s="7"/>
      <c r="C858" s="7"/>
      <c r="D858" s="8"/>
      <c r="E858" s="9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6">
      <c r="A859" s="7"/>
      <c r="B859" s="7"/>
      <c r="C859" s="7"/>
      <c r="D859" s="8"/>
      <c r="E859" s="9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6">
      <c r="A860" s="7"/>
      <c r="B860" s="7"/>
      <c r="C860" s="7"/>
      <c r="D860" s="8"/>
      <c r="E860" s="9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6">
      <c r="A861" s="7"/>
      <c r="B861" s="7"/>
      <c r="C861" s="7"/>
      <c r="D861" s="8"/>
      <c r="E861" s="9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6">
      <c r="A862" s="7"/>
      <c r="B862" s="7"/>
      <c r="C862" s="7"/>
      <c r="D862" s="8"/>
      <c r="E862" s="9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6">
      <c r="A863" s="7"/>
      <c r="B863" s="7"/>
      <c r="C863" s="7"/>
      <c r="D863" s="8"/>
      <c r="E863" s="9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6">
      <c r="A864" s="7"/>
      <c r="B864" s="7"/>
      <c r="C864" s="7"/>
      <c r="D864" s="8"/>
      <c r="E864" s="9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6">
      <c r="A865" s="7"/>
      <c r="B865" s="7"/>
      <c r="C865" s="7"/>
      <c r="D865" s="8"/>
      <c r="E865" s="9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6">
      <c r="A866" s="7"/>
      <c r="B866" s="7"/>
      <c r="C866" s="7"/>
      <c r="D866" s="8"/>
      <c r="E866" s="9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6">
      <c r="A867" s="7"/>
      <c r="B867" s="7"/>
      <c r="C867" s="7"/>
      <c r="D867" s="8"/>
      <c r="E867" s="9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6">
      <c r="A868" s="7"/>
      <c r="B868" s="7"/>
      <c r="C868" s="7"/>
      <c r="D868" s="8"/>
      <c r="E868" s="9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6">
      <c r="A869" s="7"/>
      <c r="B869" s="7"/>
      <c r="C869" s="7"/>
      <c r="D869" s="8"/>
      <c r="E869" s="9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6">
      <c r="A870" s="7"/>
      <c r="B870" s="7"/>
      <c r="C870" s="7"/>
      <c r="D870" s="8"/>
      <c r="E870" s="9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6">
      <c r="A871" s="7"/>
      <c r="B871" s="7"/>
      <c r="C871" s="7"/>
      <c r="D871" s="8"/>
      <c r="E871" s="9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6">
      <c r="A872" s="7"/>
      <c r="B872" s="7"/>
      <c r="C872" s="7"/>
      <c r="D872" s="8"/>
      <c r="E872" s="9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6">
      <c r="A873" s="7"/>
      <c r="B873" s="7"/>
      <c r="C873" s="7"/>
      <c r="D873" s="8"/>
      <c r="E873" s="9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6">
      <c r="A874" s="7"/>
      <c r="B874" s="7"/>
      <c r="C874" s="7"/>
      <c r="D874" s="8"/>
      <c r="E874" s="9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6">
      <c r="A875" s="7"/>
      <c r="B875" s="7"/>
      <c r="C875" s="7"/>
      <c r="D875" s="8"/>
      <c r="E875" s="9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6">
      <c r="A876" s="7"/>
      <c r="B876" s="7"/>
      <c r="C876" s="7"/>
      <c r="D876" s="8"/>
      <c r="E876" s="9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6">
      <c r="A877" s="7"/>
      <c r="B877" s="7"/>
      <c r="C877" s="7"/>
      <c r="D877" s="8"/>
      <c r="E877" s="9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6">
      <c r="A878" s="7"/>
      <c r="B878" s="7"/>
      <c r="C878" s="7"/>
      <c r="D878" s="8"/>
      <c r="E878" s="9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6">
      <c r="A879" s="7"/>
      <c r="B879" s="7"/>
      <c r="C879" s="7"/>
      <c r="D879" s="8"/>
      <c r="E879" s="9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6">
      <c r="A880" s="7"/>
      <c r="B880" s="7"/>
      <c r="C880" s="7"/>
      <c r="D880" s="8"/>
      <c r="E880" s="9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6">
      <c r="A881" s="7"/>
      <c r="B881" s="7"/>
      <c r="C881" s="7"/>
      <c r="D881" s="8"/>
      <c r="E881" s="9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6">
      <c r="A882" s="7"/>
      <c r="B882" s="7"/>
      <c r="C882" s="7"/>
      <c r="D882" s="8"/>
      <c r="E882" s="9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6">
      <c r="A883" s="7"/>
      <c r="B883" s="7"/>
      <c r="C883" s="7"/>
      <c r="D883" s="8"/>
      <c r="E883" s="9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6">
      <c r="A884" s="7"/>
      <c r="B884" s="7"/>
      <c r="C884" s="7"/>
      <c r="D884" s="8"/>
      <c r="E884" s="9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6">
      <c r="A885" s="7"/>
      <c r="B885" s="7"/>
      <c r="C885" s="7"/>
      <c r="D885" s="8"/>
      <c r="E885" s="9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6">
      <c r="A886" s="7"/>
      <c r="B886" s="7"/>
      <c r="C886" s="7"/>
      <c r="D886" s="8"/>
      <c r="E886" s="9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6">
      <c r="A887" s="7"/>
      <c r="B887" s="7"/>
      <c r="C887" s="7"/>
      <c r="D887" s="8"/>
      <c r="E887" s="9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6">
      <c r="A888" s="7"/>
      <c r="B888" s="7"/>
      <c r="C888" s="7"/>
      <c r="D888" s="8"/>
      <c r="E888" s="9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6">
      <c r="A889" s="7"/>
      <c r="B889" s="7"/>
      <c r="C889" s="7"/>
      <c r="D889" s="8"/>
      <c r="E889" s="9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6">
      <c r="A890" s="7"/>
      <c r="B890" s="7"/>
      <c r="C890" s="7"/>
      <c r="D890" s="8"/>
      <c r="E890" s="9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6">
      <c r="A891" s="7"/>
      <c r="B891" s="7"/>
      <c r="C891" s="7"/>
      <c r="D891" s="8"/>
      <c r="E891" s="9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6">
      <c r="A892" s="7"/>
      <c r="B892" s="7"/>
      <c r="C892" s="7"/>
      <c r="D892" s="8"/>
      <c r="E892" s="9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6">
      <c r="A893" s="7"/>
      <c r="B893" s="7"/>
      <c r="C893" s="7"/>
      <c r="D893" s="8"/>
      <c r="E893" s="9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6">
      <c r="A894" s="7"/>
      <c r="B894" s="7"/>
      <c r="C894" s="7"/>
      <c r="D894" s="8"/>
      <c r="E894" s="9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6">
      <c r="A895" s="7"/>
      <c r="B895" s="7"/>
      <c r="C895" s="7"/>
      <c r="D895" s="8"/>
      <c r="E895" s="9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6">
      <c r="A896" s="7"/>
      <c r="B896" s="7"/>
      <c r="C896" s="7"/>
      <c r="D896" s="8"/>
      <c r="E896" s="9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6">
      <c r="A897" s="7"/>
      <c r="B897" s="7"/>
      <c r="C897" s="7"/>
      <c r="D897" s="8"/>
      <c r="E897" s="9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6">
      <c r="A898" s="7"/>
      <c r="B898" s="7"/>
      <c r="C898" s="7"/>
      <c r="D898" s="8"/>
      <c r="E898" s="9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6">
      <c r="A899" s="7"/>
      <c r="B899" s="7"/>
      <c r="C899" s="7"/>
      <c r="D899" s="8"/>
      <c r="E899" s="9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6">
      <c r="A900" s="7"/>
      <c r="B900" s="7"/>
      <c r="C900" s="7"/>
      <c r="D900" s="8"/>
      <c r="E900" s="9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6">
      <c r="A901" s="7"/>
      <c r="B901" s="7"/>
      <c r="C901" s="7"/>
      <c r="D901" s="8"/>
      <c r="E901" s="9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6">
      <c r="A902" s="7"/>
      <c r="B902" s="7"/>
      <c r="C902" s="7"/>
      <c r="D902" s="8"/>
      <c r="E902" s="9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6">
      <c r="A903" s="7"/>
      <c r="B903" s="7"/>
      <c r="C903" s="7"/>
      <c r="D903" s="8"/>
      <c r="E903" s="9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6">
      <c r="A904" s="7"/>
      <c r="B904" s="7"/>
      <c r="C904" s="7"/>
      <c r="D904" s="8"/>
      <c r="E904" s="9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6">
      <c r="A905" s="7"/>
      <c r="B905" s="7"/>
      <c r="C905" s="7"/>
      <c r="D905" s="8"/>
      <c r="E905" s="9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6">
      <c r="A906" s="7"/>
      <c r="B906" s="7"/>
      <c r="C906" s="7"/>
      <c r="D906" s="8"/>
      <c r="E906" s="9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6">
      <c r="A907" s="7"/>
      <c r="B907" s="7"/>
      <c r="C907" s="7"/>
      <c r="D907" s="8"/>
      <c r="E907" s="9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6">
      <c r="A908" s="7"/>
      <c r="B908" s="7"/>
      <c r="C908" s="7"/>
      <c r="D908" s="8"/>
      <c r="E908" s="9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6">
      <c r="A909" s="7"/>
      <c r="B909" s="7"/>
      <c r="C909" s="7"/>
      <c r="D909" s="8"/>
      <c r="E909" s="9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6">
      <c r="A910" s="7"/>
      <c r="B910" s="7"/>
      <c r="C910" s="7"/>
      <c r="D910" s="8"/>
      <c r="E910" s="9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6">
      <c r="A911" s="7"/>
      <c r="B911" s="7"/>
      <c r="C911" s="7"/>
      <c r="D911" s="8"/>
      <c r="E911" s="9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6">
      <c r="A912" s="7"/>
      <c r="B912" s="7"/>
      <c r="C912" s="7"/>
      <c r="D912" s="8"/>
      <c r="E912" s="9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6">
      <c r="A913" s="7"/>
      <c r="B913" s="7"/>
      <c r="C913" s="7"/>
      <c r="D913" s="8"/>
      <c r="E913" s="9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6">
      <c r="A914" s="7"/>
      <c r="B914" s="7"/>
      <c r="C914" s="7"/>
      <c r="D914" s="8"/>
      <c r="E914" s="9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6">
      <c r="A915" s="7"/>
      <c r="B915" s="7"/>
      <c r="C915" s="7"/>
      <c r="D915" s="8"/>
      <c r="E915" s="9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6">
      <c r="A916" s="7"/>
      <c r="B916" s="7"/>
      <c r="C916" s="7"/>
      <c r="D916" s="8"/>
      <c r="E916" s="9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6">
      <c r="A917" s="7"/>
      <c r="B917" s="7"/>
      <c r="C917" s="7"/>
      <c r="D917" s="8"/>
      <c r="E917" s="9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6">
      <c r="A918" s="7"/>
      <c r="B918" s="7"/>
      <c r="C918" s="7"/>
      <c r="D918" s="8"/>
      <c r="E918" s="9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6">
      <c r="A919" s="7"/>
      <c r="B919" s="7"/>
      <c r="C919" s="7"/>
      <c r="D919" s="8"/>
      <c r="E919" s="9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6">
      <c r="A920" s="7"/>
      <c r="B920" s="7"/>
      <c r="C920" s="7"/>
      <c r="D920" s="8"/>
      <c r="E920" s="9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6">
      <c r="A921" s="7"/>
      <c r="B921" s="7"/>
      <c r="C921" s="7"/>
      <c r="D921" s="8"/>
      <c r="E921" s="9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6">
      <c r="A922" s="7"/>
      <c r="B922" s="7"/>
      <c r="C922" s="7"/>
      <c r="D922" s="8"/>
      <c r="E922" s="9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6">
      <c r="A923" s="7"/>
      <c r="B923" s="7"/>
      <c r="C923" s="7"/>
      <c r="D923" s="8"/>
      <c r="E923" s="9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6">
      <c r="A924" s="7"/>
      <c r="B924" s="7"/>
      <c r="C924" s="7"/>
      <c r="D924" s="8"/>
      <c r="E924" s="9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6">
      <c r="A925" s="7"/>
      <c r="B925" s="7"/>
      <c r="C925" s="7"/>
      <c r="D925" s="8"/>
      <c r="E925" s="9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6">
      <c r="A926" s="7"/>
      <c r="B926" s="7"/>
      <c r="C926" s="7"/>
      <c r="D926" s="8"/>
      <c r="E926" s="9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6">
      <c r="A927" s="7"/>
      <c r="B927" s="7"/>
      <c r="C927" s="7"/>
      <c r="D927" s="8"/>
      <c r="E927" s="9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6">
      <c r="A928" s="7"/>
      <c r="B928" s="7"/>
      <c r="C928" s="7"/>
      <c r="D928" s="8"/>
      <c r="E928" s="9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6">
      <c r="A929" s="7"/>
      <c r="B929" s="7"/>
      <c r="C929" s="7"/>
      <c r="D929" s="8"/>
      <c r="E929" s="9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6">
      <c r="A930" s="7"/>
      <c r="B930" s="7"/>
      <c r="C930" s="7"/>
      <c r="D930" s="8"/>
      <c r="E930" s="9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6">
      <c r="A931" s="7"/>
      <c r="B931" s="7"/>
      <c r="C931" s="7"/>
      <c r="D931" s="8"/>
      <c r="E931" s="9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6">
      <c r="A932" s="7"/>
      <c r="B932" s="7"/>
      <c r="C932" s="7"/>
      <c r="D932" s="8"/>
      <c r="E932" s="9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6">
      <c r="A933" s="7"/>
      <c r="B933" s="7"/>
      <c r="C933" s="7"/>
      <c r="D933" s="8"/>
      <c r="E933" s="9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6">
      <c r="A934" s="7"/>
      <c r="B934" s="7"/>
      <c r="C934" s="7"/>
      <c r="D934" s="8"/>
      <c r="E934" s="9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6">
      <c r="A935" s="7"/>
      <c r="B935" s="7"/>
      <c r="C935" s="7"/>
      <c r="D935" s="8"/>
      <c r="E935" s="9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6">
      <c r="A936" s="7"/>
      <c r="B936" s="7"/>
      <c r="C936" s="7"/>
      <c r="D936" s="8"/>
      <c r="E936" s="9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6">
      <c r="A937" s="7"/>
      <c r="B937" s="7"/>
      <c r="C937" s="7"/>
      <c r="D937" s="8"/>
      <c r="E937" s="9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6">
      <c r="A938" s="7"/>
      <c r="B938" s="7"/>
      <c r="C938" s="7"/>
      <c r="D938" s="8"/>
      <c r="E938" s="9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6">
      <c r="A939" s="7"/>
      <c r="B939" s="7"/>
      <c r="C939" s="7"/>
      <c r="D939" s="8"/>
      <c r="E939" s="9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6">
      <c r="A940" s="7"/>
      <c r="B940" s="7"/>
      <c r="C940" s="7"/>
      <c r="D940" s="8"/>
      <c r="E940" s="9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6">
      <c r="A941" s="7"/>
      <c r="B941" s="7"/>
      <c r="C941" s="7"/>
      <c r="D941" s="8"/>
      <c r="E941" s="9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6">
      <c r="A942" s="7"/>
      <c r="B942" s="7"/>
      <c r="C942" s="7"/>
      <c r="D942" s="8"/>
      <c r="E942" s="9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6">
      <c r="A943" s="7"/>
      <c r="B943" s="7"/>
      <c r="C943" s="7"/>
      <c r="D943" s="8"/>
      <c r="E943" s="9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6">
      <c r="A944" s="7"/>
      <c r="B944" s="7"/>
      <c r="C944" s="7"/>
      <c r="D944" s="8"/>
      <c r="E944" s="9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6">
      <c r="A945" s="7"/>
      <c r="B945" s="7"/>
      <c r="C945" s="7"/>
      <c r="D945" s="8"/>
      <c r="E945" s="9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6">
      <c r="A946" s="7"/>
      <c r="B946" s="7"/>
      <c r="C946" s="7"/>
      <c r="D946" s="8"/>
      <c r="E946" s="9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6">
      <c r="A947" s="7"/>
      <c r="B947" s="7"/>
      <c r="C947" s="7"/>
      <c r="D947" s="8"/>
      <c r="E947" s="9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6">
      <c r="A948" s="7"/>
      <c r="B948" s="7"/>
      <c r="C948" s="7"/>
      <c r="D948" s="8"/>
      <c r="E948" s="9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6">
      <c r="A949" s="7"/>
      <c r="B949" s="7"/>
      <c r="C949" s="7"/>
      <c r="D949" s="8"/>
      <c r="E949" s="9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6">
      <c r="A950" s="7"/>
      <c r="B950" s="7"/>
      <c r="C950" s="7"/>
      <c r="D950" s="8"/>
      <c r="E950" s="9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6">
      <c r="A951" s="7"/>
      <c r="B951" s="7"/>
      <c r="C951" s="7"/>
      <c r="D951" s="8"/>
      <c r="E951" s="9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6">
      <c r="A952" s="7"/>
      <c r="B952" s="7"/>
      <c r="C952" s="7"/>
      <c r="D952" s="8"/>
      <c r="E952" s="9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6">
      <c r="A953" s="7"/>
      <c r="B953" s="7"/>
      <c r="C953" s="7"/>
      <c r="D953" s="8"/>
      <c r="E953" s="9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6">
      <c r="A954" s="7"/>
      <c r="B954" s="7"/>
      <c r="C954" s="7"/>
      <c r="D954" s="8"/>
      <c r="E954" s="9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6">
      <c r="A955" s="7"/>
      <c r="B955" s="7"/>
      <c r="C955" s="7"/>
      <c r="D955" s="8"/>
      <c r="E955" s="9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6">
      <c r="A956" s="7"/>
      <c r="B956" s="7"/>
      <c r="C956" s="7"/>
      <c r="D956" s="8"/>
      <c r="E956" s="9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6">
      <c r="A957" s="7"/>
      <c r="B957" s="7"/>
      <c r="C957" s="7"/>
      <c r="D957" s="8"/>
      <c r="E957" s="9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6">
      <c r="A958" s="7"/>
      <c r="B958" s="7"/>
      <c r="C958" s="7"/>
      <c r="D958" s="8"/>
      <c r="E958" s="9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6">
      <c r="A959" s="7"/>
      <c r="B959" s="7"/>
      <c r="C959" s="7"/>
      <c r="D959" s="8"/>
      <c r="E959" s="9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6">
      <c r="A960" s="7"/>
      <c r="B960" s="7"/>
      <c r="C960" s="7"/>
      <c r="D960" s="8"/>
      <c r="E960" s="9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6">
      <c r="A961" s="7"/>
      <c r="B961" s="7"/>
      <c r="C961" s="7"/>
      <c r="D961" s="8"/>
      <c r="E961" s="9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6">
      <c r="A962" s="7"/>
      <c r="B962" s="7"/>
      <c r="C962" s="7"/>
      <c r="D962" s="8"/>
      <c r="E962" s="9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6">
      <c r="A963" s="7"/>
      <c r="B963" s="7"/>
      <c r="C963" s="7"/>
      <c r="D963" s="8"/>
      <c r="E963" s="9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6">
      <c r="A964" s="7"/>
      <c r="B964" s="7"/>
      <c r="C964" s="7"/>
      <c r="D964" s="8"/>
      <c r="E964" s="9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6">
      <c r="A965" s="7"/>
      <c r="B965" s="7"/>
      <c r="C965" s="7"/>
      <c r="D965" s="8"/>
      <c r="E965" s="9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6">
      <c r="A966" s="7"/>
      <c r="B966" s="7"/>
      <c r="C966" s="7"/>
      <c r="D966" s="8"/>
      <c r="E966" s="9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6">
      <c r="A967" s="7"/>
      <c r="B967" s="7"/>
      <c r="C967" s="7"/>
      <c r="D967" s="8"/>
      <c r="E967" s="9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6">
      <c r="A968" s="7"/>
      <c r="B968" s="7"/>
      <c r="C968" s="7"/>
      <c r="D968" s="8"/>
      <c r="E968" s="9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6">
      <c r="A969" s="7"/>
      <c r="B969" s="7"/>
      <c r="C969" s="7"/>
      <c r="D969" s="8"/>
      <c r="E969" s="9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6">
      <c r="A970" s="7"/>
      <c r="B970" s="7"/>
      <c r="C970" s="7"/>
      <c r="D970" s="8"/>
      <c r="E970" s="9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6">
      <c r="A971" s="7"/>
      <c r="B971" s="7"/>
      <c r="C971" s="7"/>
      <c r="D971" s="8"/>
      <c r="E971" s="9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6">
      <c r="A972" s="7"/>
      <c r="B972" s="7"/>
      <c r="C972" s="7"/>
      <c r="D972" s="8"/>
      <c r="E972" s="9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6">
      <c r="A973" s="7"/>
      <c r="B973" s="7"/>
      <c r="C973" s="7"/>
      <c r="D973" s="8"/>
      <c r="E973" s="9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6">
      <c r="A974" s="7"/>
      <c r="B974" s="7"/>
      <c r="C974" s="7"/>
      <c r="D974" s="8"/>
      <c r="E974" s="9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6">
      <c r="A975" s="7"/>
      <c r="B975" s="7"/>
      <c r="C975" s="7"/>
      <c r="D975" s="8"/>
      <c r="E975" s="9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6">
      <c r="A976" s="7"/>
      <c r="B976" s="7"/>
      <c r="C976" s="7"/>
      <c r="D976" s="8"/>
      <c r="E976" s="9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6">
      <c r="A977" s="7"/>
      <c r="B977" s="7"/>
      <c r="C977" s="7"/>
      <c r="D977" s="8"/>
      <c r="E977" s="9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6">
      <c r="A978" s="7"/>
      <c r="B978" s="7"/>
      <c r="C978" s="7"/>
      <c r="D978" s="8"/>
      <c r="E978" s="9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6">
      <c r="A979" s="7"/>
      <c r="B979" s="7"/>
      <c r="C979" s="7"/>
      <c r="D979" s="8"/>
      <c r="E979" s="9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6">
      <c r="A980" s="7"/>
      <c r="B980" s="7"/>
      <c r="C980" s="7"/>
      <c r="D980" s="8"/>
      <c r="E980" s="9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6">
      <c r="A981" s="7"/>
      <c r="B981" s="7"/>
      <c r="C981" s="7"/>
      <c r="D981" s="8"/>
      <c r="E981" s="9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6">
      <c r="A982" s="7"/>
      <c r="B982" s="7"/>
      <c r="C982" s="7"/>
      <c r="D982" s="8"/>
      <c r="E982" s="9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6">
      <c r="A983" s="7"/>
      <c r="B983" s="7"/>
      <c r="C983" s="7"/>
      <c r="D983" s="8"/>
      <c r="E983" s="9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6">
      <c r="A984" s="7"/>
      <c r="B984" s="7"/>
      <c r="C984" s="7"/>
      <c r="D984" s="8"/>
      <c r="E984" s="9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6">
      <c r="A985" s="7"/>
      <c r="B985" s="7"/>
      <c r="C985" s="7"/>
      <c r="D985" s="8"/>
      <c r="E985" s="9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6">
      <c r="A986" s="7"/>
      <c r="B986" s="7"/>
      <c r="C986" s="7"/>
      <c r="D986" s="8"/>
      <c r="E986" s="9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6">
      <c r="A987" s="7"/>
      <c r="B987" s="7"/>
      <c r="C987" s="7"/>
      <c r="D987" s="8"/>
      <c r="E987" s="9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6">
      <c r="A988" s="7"/>
      <c r="B988" s="7"/>
      <c r="C988" s="7"/>
      <c r="D988" s="8"/>
      <c r="E988" s="9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6">
      <c r="A989" s="7"/>
      <c r="B989" s="7"/>
      <c r="C989" s="7"/>
      <c r="D989" s="8"/>
      <c r="E989" s="9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6">
      <c r="A990" s="7"/>
      <c r="B990" s="7"/>
      <c r="C990" s="7"/>
      <c r="D990" s="8"/>
      <c r="E990" s="9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6">
      <c r="A991" s="7"/>
      <c r="B991" s="7"/>
      <c r="C991" s="7"/>
      <c r="D991" s="8"/>
      <c r="E991" s="9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6">
      <c r="A992" s="7"/>
      <c r="B992" s="7"/>
      <c r="C992" s="7"/>
      <c r="D992" s="8"/>
      <c r="E992" s="9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6">
      <c r="A993" s="7"/>
      <c r="B993" s="7"/>
      <c r="C993" s="7"/>
      <c r="D993" s="8"/>
      <c r="E993" s="9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6">
      <c r="A994" s="7"/>
      <c r="B994" s="7"/>
      <c r="C994" s="7"/>
      <c r="D994" s="8"/>
      <c r="E994" s="9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6">
      <c r="A995" s="7"/>
      <c r="B995" s="7"/>
      <c r="C995" s="7"/>
      <c r="D995" s="8"/>
      <c r="E995" s="9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6">
      <c r="A996" s="7"/>
      <c r="B996" s="7"/>
      <c r="C996" s="7"/>
      <c r="D996" s="8"/>
      <c r="E996" s="9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6">
      <c r="A997" s="7"/>
      <c r="B997" s="7"/>
      <c r="C997" s="7"/>
      <c r="D997" s="8"/>
      <c r="E997" s="9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6">
      <c r="A998" s="7"/>
      <c r="B998" s="7"/>
      <c r="C998" s="7"/>
      <c r="D998" s="8"/>
      <c r="E998" s="9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6">
      <c r="A999" s="7"/>
      <c r="B999" s="7"/>
      <c r="C999" s="7"/>
      <c r="D999" s="8"/>
      <c r="E999" s="9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6">
      <c r="A1000" s="7"/>
      <c r="B1000" s="7"/>
      <c r="C1000" s="7"/>
      <c r="D1000" s="8"/>
      <c r="E1000" s="9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6">
    <mergeCell ref="C456:D456"/>
    <mergeCell ref="C458:D458"/>
    <mergeCell ref="B31:C31"/>
    <mergeCell ref="C449:D449"/>
    <mergeCell ref="C450:D450"/>
    <mergeCell ref="C451:D451"/>
    <mergeCell ref="C452:D452"/>
    <mergeCell ref="C453:D453"/>
    <mergeCell ref="C454:D454"/>
    <mergeCell ref="B2:U2"/>
    <mergeCell ref="B3:U3"/>
    <mergeCell ref="B6:C6"/>
    <mergeCell ref="L6:P6"/>
    <mergeCell ref="L7:L71"/>
    <mergeCell ref="M7:P71"/>
    <mergeCell ref="F25:G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37"/>
  <sheetViews>
    <sheetView workbookViewId="0"/>
  </sheetViews>
  <sheetFormatPr baseColWidth="10" defaultColWidth="12.6640625" defaultRowHeight="13"/>
  <cols>
    <col min="1" max="1" width="11.83203125" customWidth="1"/>
    <col min="2" max="2" width="51.5" customWidth="1"/>
    <col min="3" max="3" width="49.1640625" customWidth="1"/>
    <col min="4" max="26" width="11.83203125" customWidth="1"/>
  </cols>
  <sheetData>
    <row r="1" spans="2:3" ht="21" customHeight="1">
      <c r="B1" s="2" t="s">
        <v>6566</v>
      </c>
      <c r="C1" s="2" t="s">
        <v>6567</v>
      </c>
    </row>
    <row r="2" spans="2:3" ht="16">
      <c r="B2" s="27" t="s">
        <v>6568</v>
      </c>
      <c r="C2" s="27" t="s">
        <v>6569</v>
      </c>
    </row>
    <row r="3" spans="2:3" ht="16">
      <c r="B3" s="27" t="s">
        <v>6570</v>
      </c>
      <c r="C3" s="27" t="s">
        <v>6571</v>
      </c>
    </row>
    <row r="4" spans="2:3" ht="16">
      <c r="B4" s="27" t="s">
        <v>6572</v>
      </c>
      <c r="C4" s="27" t="s">
        <v>6573</v>
      </c>
    </row>
    <row r="5" spans="2:3" ht="16">
      <c r="B5" s="27" t="s">
        <v>6574</v>
      </c>
      <c r="C5" s="27" t="s">
        <v>6575</v>
      </c>
    </row>
    <row r="6" spans="2:3" ht="16">
      <c r="B6" s="27" t="s">
        <v>6576</v>
      </c>
      <c r="C6" s="27" t="s">
        <v>6577</v>
      </c>
    </row>
    <row r="7" spans="2:3" ht="16">
      <c r="B7" s="27" t="s">
        <v>6578</v>
      </c>
      <c r="C7" s="27" t="s">
        <v>6579</v>
      </c>
    </row>
    <row r="8" spans="2:3" ht="16">
      <c r="B8" s="27" t="s">
        <v>6580</v>
      </c>
      <c r="C8" s="27" t="s">
        <v>6581</v>
      </c>
    </row>
    <row r="9" spans="2:3" ht="16">
      <c r="B9" s="27" t="s">
        <v>6582</v>
      </c>
      <c r="C9" s="27" t="s">
        <v>6583</v>
      </c>
    </row>
    <row r="10" spans="2:3" ht="16">
      <c r="B10" s="27" t="s">
        <v>6584</v>
      </c>
      <c r="C10" s="27" t="s">
        <v>6585</v>
      </c>
    </row>
    <row r="11" spans="2:3" ht="16">
      <c r="B11" s="27" t="s">
        <v>6586</v>
      </c>
      <c r="C11" s="27" t="s">
        <v>6587</v>
      </c>
    </row>
    <row r="12" spans="2:3" ht="16">
      <c r="B12" s="27" t="s">
        <v>6586</v>
      </c>
      <c r="C12" s="27" t="s">
        <v>6588</v>
      </c>
    </row>
    <row r="13" spans="2:3" ht="16">
      <c r="B13" s="27" t="s">
        <v>6589</v>
      </c>
      <c r="C13" s="27" t="s">
        <v>6590</v>
      </c>
    </row>
    <row r="14" spans="2:3" ht="16">
      <c r="B14" s="27" t="s">
        <v>6591</v>
      </c>
      <c r="C14" s="27" t="s">
        <v>6592</v>
      </c>
    </row>
    <row r="15" spans="2:3" ht="16">
      <c r="B15" s="27" t="s">
        <v>6593</v>
      </c>
      <c r="C15" s="27" t="s">
        <v>6570</v>
      </c>
    </row>
    <row r="16" spans="2:3" ht="16">
      <c r="B16" s="27" t="s">
        <v>6594</v>
      </c>
      <c r="C16" s="27" t="s">
        <v>6576</v>
      </c>
    </row>
    <row r="17" spans="2:3" ht="16">
      <c r="B17" s="27" t="s">
        <v>6595</v>
      </c>
      <c r="C17" s="27" t="s">
        <v>6596</v>
      </c>
    </row>
    <row r="18" spans="2:3" ht="16">
      <c r="B18" s="27" t="s">
        <v>6597</v>
      </c>
      <c r="C18" s="27" t="s">
        <v>6598</v>
      </c>
    </row>
    <row r="19" spans="2:3" ht="16">
      <c r="B19" s="27" t="s">
        <v>6599</v>
      </c>
      <c r="C19" s="27" t="s">
        <v>6600</v>
      </c>
    </row>
    <row r="20" spans="2:3" ht="16">
      <c r="B20" s="27" t="s">
        <v>6601</v>
      </c>
      <c r="C20" s="27" t="s">
        <v>6602</v>
      </c>
    </row>
    <row r="21" spans="2:3" ht="16">
      <c r="B21" s="27" t="s">
        <v>6603</v>
      </c>
      <c r="C21" s="27" t="s">
        <v>6604</v>
      </c>
    </row>
    <row r="22" spans="2:3" ht="16">
      <c r="B22" s="27" t="s">
        <v>6605</v>
      </c>
      <c r="C22" s="27" t="s">
        <v>6606</v>
      </c>
    </row>
    <row r="23" spans="2:3" ht="16">
      <c r="B23" s="27" t="s">
        <v>6607</v>
      </c>
      <c r="C23" s="27" t="s">
        <v>6608</v>
      </c>
    </row>
    <row r="24" spans="2:3" ht="16">
      <c r="B24" s="27" t="s">
        <v>6609</v>
      </c>
      <c r="C24" s="27" t="s">
        <v>6610</v>
      </c>
    </row>
    <row r="25" spans="2:3" ht="16">
      <c r="B25" s="27" t="s">
        <v>6611</v>
      </c>
      <c r="C25" s="27" t="s">
        <v>6612</v>
      </c>
    </row>
    <row r="26" spans="2:3" ht="16">
      <c r="B26" s="27" t="s">
        <v>6613</v>
      </c>
      <c r="C26" s="27" t="s">
        <v>6614</v>
      </c>
    </row>
    <row r="27" spans="2:3" ht="16">
      <c r="B27" s="27" t="s">
        <v>6615</v>
      </c>
      <c r="C27" s="27" t="s">
        <v>6616</v>
      </c>
    </row>
    <row r="28" spans="2:3" ht="16">
      <c r="B28" s="27" t="s">
        <v>6617</v>
      </c>
      <c r="C28" s="27" t="s">
        <v>6618</v>
      </c>
    </row>
    <row r="29" spans="2:3" ht="16">
      <c r="B29" s="27" t="s">
        <v>6619</v>
      </c>
      <c r="C29" s="27" t="s">
        <v>6620</v>
      </c>
    </row>
    <row r="30" spans="2:3" ht="16">
      <c r="B30" s="27" t="s">
        <v>6621</v>
      </c>
      <c r="C30" s="27" t="s">
        <v>6622</v>
      </c>
    </row>
    <row r="31" spans="2:3" ht="16">
      <c r="B31" s="27" t="s">
        <v>6623</v>
      </c>
      <c r="C31" s="27" t="s">
        <v>6624</v>
      </c>
    </row>
    <row r="32" spans="2:3" ht="16">
      <c r="B32" s="27" t="s">
        <v>6625</v>
      </c>
      <c r="C32" s="27" t="s">
        <v>6626</v>
      </c>
    </row>
    <row r="33" spans="2:3" ht="16">
      <c r="B33" s="27" t="s">
        <v>6627</v>
      </c>
      <c r="C33" s="27" t="s">
        <v>6628</v>
      </c>
    </row>
    <row r="34" spans="2:3" ht="16">
      <c r="B34" s="27" t="s">
        <v>6629</v>
      </c>
      <c r="C34" s="27" t="s">
        <v>6630</v>
      </c>
    </row>
    <row r="35" spans="2:3" ht="16">
      <c r="B35" s="27" t="s">
        <v>6631</v>
      </c>
      <c r="C35" s="27" t="s">
        <v>6632</v>
      </c>
    </row>
    <row r="36" spans="2:3" ht="16">
      <c r="B36" s="27" t="s">
        <v>6633</v>
      </c>
      <c r="C36" s="27" t="s">
        <v>6634</v>
      </c>
    </row>
    <row r="37" spans="2:3" ht="16">
      <c r="C37" s="2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2.6640625" defaultRowHeight="13"/>
  <cols>
    <col min="1" max="1" width="51.5" customWidth="1"/>
    <col min="2" max="2" width="28.1640625" customWidth="1"/>
    <col min="3" max="3" width="17.33203125" customWidth="1"/>
    <col min="4" max="4" width="13.1640625" customWidth="1"/>
    <col min="5" max="22" width="12.1640625" customWidth="1"/>
    <col min="23" max="23" width="26.6640625" customWidth="1"/>
    <col min="24" max="24" width="34.5" customWidth="1"/>
    <col min="25" max="25" width="12.1640625" customWidth="1"/>
    <col min="26" max="26" width="68.33203125" customWidth="1"/>
  </cols>
  <sheetData>
    <row r="1" spans="1:26" ht="16">
      <c r="A1" s="28" t="s">
        <v>6635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6">
      <c r="A2" s="27" t="s">
        <v>6636</v>
      </c>
      <c r="B2" s="29">
        <v>91001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 t="s">
        <v>6637</v>
      </c>
      <c r="X2" s="27"/>
      <c r="Y2" s="27"/>
      <c r="Z2" s="27"/>
    </row>
    <row r="3" spans="1:26" ht="18">
      <c r="A3" s="27" t="s">
        <v>6638</v>
      </c>
      <c r="B3" s="27" t="e">
        <f>IF(flt_custom_network_chosen="Shared Management Network",IF(mgmt_dpg_reuse_result="Included",CONCATENATE(prefix_mgmt_az1_cidr,"10.0/24"),CONCATENATE(prefix_mgmt_az1_cidr,"11.0/24")),IF(flt_custom_network_chosen="Overlay",CONCATENATE(prefix_xreg_cidr,".0/24"),CONCATENATE(prefix_flt_shared_cidr,".0/24")))</f>
        <v>#REF!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03" t="s">
        <v>6639</v>
      </c>
      <c r="X3" s="183"/>
      <c r="Y3" s="183"/>
      <c r="Z3" s="181"/>
    </row>
    <row r="4" spans="1:26" ht="16">
      <c r="A4" s="27" t="s">
        <v>6640</v>
      </c>
      <c r="B4" s="27" t="e">
        <f>IF(flt_custom_network_chosen="Shared Management Network",IF(mgmt_dpg_reuse_result="Included",CONCATENATE(prefix_mgmt_az1_cidr,"10.0"),CONCATENATE(prefix_mgmt_az1_cidr,"11.0")),IF(flt_custom_network_chosen="Overlay",CONCATENATE(prefix_xreg_cidr,".0"),CONCATENATE(prefix_flt_shared_cidr,".0")))</f>
        <v>#REF!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02" t="s">
        <v>6641</v>
      </c>
      <c r="X4" s="183"/>
      <c r="Y4" s="183"/>
      <c r="Z4" s="181"/>
    </row>
    <row r="5" spans="1:26" ht="16">
      <c r="A5" s="27" t="s">
        <v>6642</v>
      </c>
      <c r="B5" s="27" t="e">
        <f>IF(flt_custom_network_chosen="Shared Management Network",IF(mgmt_dpg_reuse_result="Included",CONCATENATE(prefix_mgmt_az1_cidr,"10.1"),CONCATENATE(prefix_mgmt_az1_cidr,"11.1")),IF(flt_custom_network_chosen="Overlay",CONCATENATE(prefix_xreg_cidr,".1"),CONCATENATE(prefix_flt_shared_cidr,".1")))</f>
        <v>#REF!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30" t="s">
        <v>6643</v>
      </c>
      <c r="X5" s="31" t="e">
        <f>CONCATENATE("overlay-tz-",this_instance,"-m01-nsx01")</f>
        <v>#REF!</v>
      </c>
      <c r="Y5" s="13"/>
      <c r="Z5" s="13" t="e">
        <f>IF(mgmt_domain_existing_vcenter_chosen="Selected","Inputs are masked out as you have opted to import an existing vCenter Server",
IF(mgmt_cl01_vds_profile_chosen="Storage Traffic Separation","Overlay Traffic will be configured on Primary Distributed Switch",
IF(mgmt_cl01_vds_profile_chosen="NSX Traffic Separation","Overlay Traffic will be configured on Secondary Distributed Switch",
IF(mgmt_cl01_vds_profile_chosen="Storage Traffic and NSX Traffic Separation","Overlay Traffic will be configured on Tertiary Distributed Switch",
IF(mgmt_cl01_vds_profile_chosen="Custom","","Overlay Traffic will be configured on Primary Distributed Switch")))))</f>
        <v>#REF!</v>
      </c>
    </row>
    <row r="6" spans="1:26" ht="16">
      <c r="A6" s="27" t="s">
        <v>6644</v>
      </c>
      <c r="B6" s="27" t="s">
        <v>6420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30" t="s">
        <v>6645</v>
      </c>
      <c r="X6" s="33" t="e">
        <f>CONCATENATE(this_instance,"01-m01","-r01-ip-pool01-host")</f>
        <v>#REF!</v>
      </c>
      <c r="Y6" s="13"/>
      <c r="Z6" s="30" t="e">
        <f t="shared" ref="Z6:Z7" si="0">IF(mgmt_host_overlay_addressing_chosen&lt;&gt;"IP Pool","This input is masked out and only required if configuring IP Pools for Host Overlay","")</f>
        <v>#REF!</v>
      </c>
    </row>
    <row r="7" spans="1:26" ht="16">
      <c r="A7" s="27" t="s">
        <v>6646</v>
      </c>
      <c r="B7" s="27">
        <v>9000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30" t="s">
        <v>6647</v>
      </c>
      <c r="X7" s="34" t="s">
        <v>6648</v>
      </c>
      <c r="Y7" s="13"/>
      <c r="Z7" s="30" t="e">
        <f t="shared" si="0"/>
        <v>#REF!</v>
      </c>
    </row>
    <row r="8" spans="1:26" ht="16">
      <c r="A8" s="27" t="s">
        <v>6649</v>
      </c>
      <c r="B8" s="27" t="e">
        <f>CONCATENATE(MID(B5, FIND(".",B5)+1, FIND(".",B5,FIND(".",B5)+1) - FIND(".",B5) - 1),MID(B5, FIND(".", B5, FIND(".", B5)+1)+1, FIND(".", B5, FIND(".", B5, FIND(".", B5)+1)+1) - (FIND(".", B5, FIND(".", B5)+1)+1) ))</f>
        <v>#REF!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6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02" t="s">
        <v>6650</v>
      </c>
      <c r="X9" s="183"/>
      <c r="Y9" s="183"/>
      <c r="Z9" s="181"/>
    </row>
    <row r="10" spans="1:26" ht="16">
      <c r="A10" s="28" t="s">
        <v>6651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30" t="s">
        <v>6652</v>
      </c>
      <c r="X10" s="31" t="s">
        <v>6653</v>
      </c>
      <c r="Y10" s="13" t="s">
        <v>6653</v>
      </c>
      <c r="Z10" s="13" t="e">
        <f>IF(mgmt_domain_password_creation_chosen="Selected","Inputs are masked out as you have opted to deploy with system generated passwords","")</f>
        <v>#REF!</v>
      </c>
    </row>
    <row r="11" spans="1:26" ht="16">
      <c r="A11" s="30" t="s">
        <v>6654</v>
      </c>
      <c r="B11" s="34" t="e">
        <f>CONCATENATE(this_instance,".rainpole.io")</f>
        <v>#REF!</v>
      </c>
      <c r="C11" s="13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6">
      <c r="A12" s="30" t="s">
        <v>6655</v>
      </c>
      <c r="B12" s="34" t="e">
        <f>CONCATENATE(other_instance,".rainpole.io")</f>
        <v>#REF!</v>
      </c>
      <c r="C12" s="13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 t="s">
        <v>6656</v>
      </c>
      <c r="X12" s="27"/>
      <c r="Y12" s="27"/>
      <c r="Z12" s="27"/>
    </row>
    <row r="13" spans="1:26" ht="16">
      <c r="A13" s="30" t="s">
        <v>6657</v>
      </c>
      <c r="B13" s="34" t="e">
        <f>IF(mgmt_dpg_reuse_result="Included",CONCATENATE(prefix_mgmt_az1_cidr,"10.4"),CONCATENATE(prefix_mgmt_az1_cidr,"11.4"))</f>
        <v>#REF!</v>
      </c>
      <c r="C13" s="13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02" t="s">
        <v>6658</v>
      </c>
      <c r="X13" s="183"/>
      <c r="Y13" s="183"/>
      <c r="Z13" s="181"/>
    </row>
    <row r="14" spans="1:26" ht="16">
      <c r="A14" s="30" t="s">
        <v>6659</v>
      </c>
      <c r="B14" s="34" t="e">
        <f>IF(mgmt_dpg_reuse_result="Included",CONCATENATE(prefix_mgmt_az1_cidr,"10.5"),CONCATENATE(prefix_mgmt_az1_cidr,"11.5"))</f>
        <v>#REF!</v>
      </c>
      <c r="C14" s="13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30" t="s">
        <v>6660</v>
      </c>
      <c r="X14" s="35" t="s">
        <v>6661</v>
      </c>
      <c r="Y14" s="13" t="s">
        <v>6661</v>
      </c>
      <c r="Z14" s="13" t="str">
        <f>IF(vcf_automation_cert_type_chosen="Generate Certificate","Create a self signed cert in VMware Cloud Foundation Operations",IF(vcf_automation_cert_type_chosen="Import Certificate","Import a signed cert from your CA",""))</f>
        <v>Create a self signed cert in VMware Cloud Foundation Operations</v>
      </c>
    </row>
    <row r="15" spans="1:26" ht="16">
      <c r="A15" s="30" t="s">
        <v>6662</v>
      </c>
      <c r="B15" s="34" t="e">
        <f>CONCATENATE(this_instance,"-ad01")</f>
        <v>#REF!</v>
      </c>
      <c r="C15" s="13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30" t="s">
        <v>6663</v>
      </c>
      <c r="X15" s="35" t="str">
        <f>CONCATENATE(prefix_portable_component,"-auto01","-cert")</f>
        <v>flt-auto01-cert</v>
      </c>
      <c r="Y15" s="13"/>
      <c r="Z15" s="13"/>
    </row>
    <row r="16" spans="1:26" ht="16">
      <c r="A16" s="30" t="s">
        <v>6664</v>
      </c>
      <c r="B16" s="34" t="s">
        <v>6665</v>
      </c>
      <c r="C16" s="13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30" t="s">
        <v>6666</v>
      </c>
      <c r="X16" s="35" t="str">
        <f>CONCATENATE(prefix_portable_component,"-auto01","-cert.pem")</f>
        <v>flt-auto01-cert.pem</v>
      </c>
      <c r="Y16" s="13"/>
      <c r="Z16" s="13"/>
    </row>
    <row r="17" spans="1:26" ht="16">
      <c r="A17" s="30" t="s">
        <v>6667</v>
      </c>
      <c r="B17" s="34">
        <v>25</v>
      </c>
      <c r="C17" s="13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30" t="s">
        <v>6668</v>
      </c>
      <c r="X17" s="35" t="e">
        <f>CONCATENATE(prefix_portable_component,"-auto01.",sample_parent_dns_zone)</f>
        <v>#REF!</v>
      </c>
      <c r="Y17" s="13"/>
      <c r="Z17" s="13"/>
    </row>
    <row r="18" spans="1:26" ht="16">
      <c r="A18" s="30" t="s">
        <v>6669</v>
      </c>
      <c r="B18" s="34" t="e">
        <f>CONCATENATE("ntp.",this_instance,".rainpole.io")</f>
        <v>#REF!</v>
      </c>
      <c r="C18" s="13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30" t="s">
        <v>6670</v>
      </c>
      <c r="X18" s="35" t="s">
        <v>6671</v>
      </c>
      <c r="Y18" s="13"/>
      <c r="Z18" s="13"/>
    </row>
    <row r="19" spans="1:26" ht="16">
      <c r="A19" s="30" t="s">
        <v>6672</v>
      </c>
      <c r="B19" s="34" t="e">
        <f>CONCATENATE("ntp.",other_instance,".rainpole.io")</f>
        <v>#REF!</v>
      </c>
      <c r="C19" s="36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30" t="s">
        <v>6673</v>
      </c>
      <c r="X19" s="35" t="s">
        <v>6674</v>
      </c>
      <c r="Y19" s="13"/>
      <c r="Z19" s="13"/>
    </row>
    <row r="20" spans="1:26" ht="16">
      <c r="A20" s="7"/>
      <c r="B20" s="37" t="e">
        <f>CONCATENATE(prefix_wld_az1_rack_cidr,"23.0/24")</f>
        <v>#REF!</v>
      </c>
      <c r="C20" s="13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30" t="s">
        <v>6675</v>
      </c>
      <c r="X20" s="35" t="s">
        <v>6676</v>
      </c>
      <c r="Y20" s="13"/>
      <c r="Z20" s="13"/>
    </row>
    <row r="21" spans="1:26" ht="16">
      <c r="A21" s="7"/>
      <c r="B21" s="37" t="e">
        <f>CONCATENATE(prefix_wld_az1_rack_cidr,"24.0/24")</f>
        <v>#REF!</v>
      </c>
      <c r="C21" s="13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30" t="s">
        <v>6677</v>
      </c>
      <c r="X21" s="35" t="s">
        <v>6678</v>
      </c>
      <c r="Y21" s="13"/>
      <c r="Z21" s="13"/>
    </row>
    <row r="22" spans="1:26" ht="16">
      <c r="A22" s="7"/>
      <c r="B22" s="37" t="e">
        <f>CONCATENATE(prefix_wld_az1_rack_cidr,"26.0/24")</f>
        <v>#REF!</v>
      </c>
      <c r="C22" s="13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30" t="s">
        <v>6679</v>
      </c>
      <c r="X22" s="35" t="s">
        <v>6680</v>
      </c>
      <c r="Y22" s="13"/>
      <c r="Z22" s="13"/>
    </row>
    <row r="23" spans="1:26" ht="16">
      <c r="A23" s="7"/>
      <c r="B23" s="37" t="e">
        <f>CONCATENATE(prefix_wld_az1_rack_cidr,"25.0/24")</f>
        <v>#REF!</v>
      </c>
      <c r="C23" s="13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30" t="s">
        <v>6681</v>
      </c>
      <c r="X23" s="35">
        <v>4096</v>
      </c>
      <c r="Y23" s="13" t="s">
        <v>6682</v>
      </c>
      <c r="Z23" s="13"/>
    </row>
    <row r="24" spans="1:26" ht="16">
      <c r="A24" s="7"/>
      <c r="B24" s="37" t="e">
        <f>CONCATENATE(prefix_wld_az1_rack_cidr,"34.0/24")</f>
        <v>#REF!</v>
      </c>
      <c r="C24" s="13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30" t="s">
        <v>6683</v>
      </c>
      <c r="X24" s="31" t="str">
        <f>sample_vcf_automation_cert_alias</f>
        <v>flt-auto01-cert</v>
      </c>
      <c r="Y24" s="13"/>
      <c r="Z24" s="13"/>
    </row>
    <row r="25" spans="1:26" ht="16">
      <c r="A25" s="7"/>
      <c r="B25" s="37" t="e">
        <f>CONCATENATE(prefix_wld_az1_rack_cidr,"35.0/24")</f>
        <v>#REF!</v>
      </c>
      <c r="C25" s="13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02" t="s">
        <v>6684</v>
      </c>
      <c r="X25" s="183"/>
      <c r="Y25" s="183"/>
      <c r="Z25" s="181"/>
    </row>
    <row r="26" spans="1:26" ht="16">
      <c r="A26" s="7"/>
      <c r="B26" s="37" t="e">
        <f>CONCATENATE(prefix_wld_az1_rack_cidr,"37.0/24")</f>
        <v>#REF!</v>
      </c>
      <c r="C26" s="13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30" t="s">
        <v>6685</v>
      </c>
      <c r="X26" s="31" t="e">
        <f>sample_mgmt_vc_fqdn</f>
        <v>#REF!</v>
      </c>
      <c r="Y26" s="13" t="e">
        <f>mgmt_vc_fqdn</f>
        <v>#REF!</v>
      </c>
      <c r="Z26" s="13"/>
    </row>
    <row r="27" spans="1:26" ht="16">
      <c r="A27" s="7"/>
      <c r="B27" s="37" t="e">
        <f>CONCATENATE(prefix_wld_az1_rack_cidr,"36.0/24")</f>
        <v>#REF!</v>
      </c>
      <c r="C27" s="13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30" t="s">
        <v>6686</v>
      </c>
      <c r="X27" s="31" t="e">
        <f>CONCATENATE(sample_mgmt_datacenter,"#",sample_mgmt_cl01_cluster)</f>
        <v>#REF!</v>
      </c>
      <c r="Y27" s="13"/>
      <c r="Z27" s="13"/>
    </row>
    <row r="28" spans="1:26" ht="16">
      <c r="A28" s="7"/>
      <c r="B28" s="37" t="e">
        <f>CONCATENATE(prefix_wld_az1_rack_cidr,"45.0/24")</f>
        <v>#REF!</v>
      </c>
      <c r="C28" s="13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30" t="s">
        <v>6687</v>
      </c>
      <c r="X28" s="31" t="e">
        <f>CONCATENATE(this_instance,"-m01-cl01-fd-vcfauto01")</f>
        <v>#REF!</v>
      </c>
      <c r="Y28" s="13"/>
      <c r="Z28" s="13" t="s">
        <v>6688</v>
      </c>
    </row>
    <row r="29" spans="1:26" ht="16">
      <c r="A29" s="7"/>
      <c r="B29" s="37" t="e">
        <f>CONCATENATE(prefix_wld_az1_rack_cidr,"46.0/24")</f>
        <v>#REF!</v>
      </c>
      <c r="C29" s="13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30" t="s">
        <v>6689</v>
      </c>
      <c r="X29" s="31" t="e">
        <f>CONCATENATE(this_instance,"-m01-cl01-rp-vcfauto01")</f>
        <v>#REF!</v>
      </c>
      <c r="Y29" s="13"/>
      <c r="Z29" s="13" t="s">
        <v>6688</v>
      </c>
    </row>
    <row r="30" spans="1:26" ht="16">
      <c r="A30" s="7"/>
      <c r="B30" s="37" t="e">
        <f>CONCATENATE(prefix_wld_az1_rack_cidr,"48.0/24")</f>
        <v>#REF!</v>
      </c>
      <c r="C30" s="13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30" t="s">
        <v>6690</v>
      </c>
      <c r="X30" s="31" t="e">
        <f>IF(OR(flt_custom_network_chosen="NSX Overlay segment",flt_custom_network_chosen="NSX VLAN segment"),CONCATENATE(prefix_portable_component,"-m01-seg01"),IF(flt_custom_network_chosen="Dedicated Management Network",CONCATENATE(this_instance,"-m01-cl01-vds01-pg-flt-mgmt"),CONCATENATE(this_instance,"-m01-cl01-vds01-pg-vm-mgmt")))</f>
        <v>#REF!</v>
      </c>
      <c r="Y30" s="13"/>
      <c r="Z30" s="13" t="s">
        <v>6688</v>
      </c>
    </row>
    <row r="31" spans="1:26" ht="16">
      <c r="A31" s="7"/>
      <c r="B31" s="37" t="e">
        <f>CONCATENATE(prefix_wld_az1_rack_cidr,"47.0/24")</f>
        <v>#REF!</v>
      </c>
      <c r="C31" s="13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30" t="s">
        <v>6691</v>
      </c>
      <c r="X31" s="31" t="e">
        <f>sample_mgmt_cl01_vsan_datastore</f>
        <v>#REF!</v>
      </c>
      <c r="Y31" s="13"/>
      <c r="Z31" s="13"/>
    </row>
    <row r="32" spans="1:26" ht="16">
      <c r="A32" s="7"/>
      <c r="B32" s="37" t="e">
        <f>CONCATENATE(prefix_wld_az1_rack_cidr,"56.0/24")</f>
        <v>#REF!</v>
      </c>
      <c r="C32" s="13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02" t="s">
        <v>334</v>
      </c>
      <c r="X32" s="183"/>
      <c r="Y32" s="183"/>
      <c r="Z32" s="181"/>
    </row>
    <row r="33" spans="1:26" ht="16">
      <c r="A33" s="7"/>
      <c r="B33" s="37" t="e">
        <f>CONCATENATE(prefix_wld_az1_rack_cidr,"57.0/24")</f>
        <v>#REF!</v>
      </c>
      <c r="C33" s="13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30" t="s">
        <v>6692</v>
      </c>
      <c r="X33" s="31" t="e">
        <f t="shared" ref="X33:X34" si="1">sample_parent_dns_zone</f>
        <v>#REF!</v>
      </c>
      <c r="Y33" s="13" t="e">
        <f>parent_dns_zone</f>
        <v>#REF!</v>
      </c>
      <c r="Z33" s="13"/>
    </row>
    <row r="34" spans="1:26" ht="16">
      <c r="A34" s="7"/>
      <c r="B34" s="37" t="e">
        <f>CONCATENATE(prefix_wld_az1_rack_cidr,"59.0/24")</f>
        <v>#REF!</v>
      </c>
      <c r="C34" s="13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30" t="s">
        <v>6693</v>
      </c>
      <c r="X34" s="31" t="e">
        <f t="shared" si="1"/>
        <v>#REF!</v>
      </c>
      <c r="Y34" s="13" t="e">
        <f>parent_dns_zone</f>
        <v>#REF!</v>
      </c>
      <c r="Z34" s="13"/>
    </row>
    <row r="35" spans="1:26" ht="16">
      <c r="A35" s="7"/>
      <c r="B35" s="37" t="e">
        <f>CONCATENATE(prefix_wld_az1_rack_cidr,"58.0/24")</f>
        <v>#REF!</v>
      </c>
      <c r="C35" s="13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30" t="s">
        <v>6694</v>
      </c>
      <c r="X35" s="38" t="e">
        <f>CONCATENATE(sample_region_dns1_ip,",",sample_region_dns2_ip)</f>
        <v>#REF!</v>
      </c>
      <c r="Y35" s="13" t="e">
        <f>CONCATENATE(region_dns1_ip,",",region_dns2_ip)</f>
        <v>#REF!</v>
      </c>
      <c r="Z35" s="13"/>
    </row>
    <row r="36" spans="1:26" ht="17">
      <c r="A36" s="7"/>
      <c r="B36" s="37" t="e">
        <f>CONCATENATE(prefix_wld_az1_rack_cidr,"67.0/24")</f>
        <v>#REF!</v>
      </c>
      <c r="C36" s="13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30" t="s">
        <v>6695</v>
      </c>
      <c r="X36" s="38" t="s">
        <v>6696</v>
      </c>
      <c r="Y36" s="13" t="s">
        <v>6696</v>
      </c>
      <c r="Z36" s="13"/>
    </row>
    <row r="37" spans="1:26" ht="16">
      <c r="A37" s="7"/>
      <c r="B37" s="37" t="e">
        <f>CONCATENATE(prefix_wld_az1_rack_cidr,"68.0/24")</f>
        <v>#REF!</v>
      </c>
      <c r="C37" s="13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30" t="s">
        <v>6697</v>
      </c>
      <c r="X37" s="31" t="e">
        <f>CONCATENATE(sample_region_ntp1_server,",",sample_region_ntp2_server)</f>
        <v>#REF!</v>
      </c>
      <c r="Y37" s="13" t="e">
        <f>CONCATENATE(region_ntp1_server,",",region_ntp2_server)</f>
        <v>#REF!</v>
      </c>
      <c r="Z37" s="13"/>
    </row>
    <row r="38" spans="1:26" ht="16">
      <c r="A38" s="7"/>
      <c r="B38" s="37" t="e">
        <f>CONCATENATE(prefix_wld_az1_rack_cidr,"70.0/24")</f>
        <v>#REF!</v>
      </c>
      <c r="C38" s="13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30" t="s">
        <v>6698</v>
      </c>
      <c r="X38" s="31" t="e">
        <f>IF(flt_custom_network_chosen="Shared Management Network",IF(mgmt_dpg_reuse_result="Included",CONCATENATE(prefix_mgmt_az1_cidr,"10.1"),CONCATENATE(prefix_mgmt_az1_cidr,"11.1")),IF(flt_custom_network_chosen="NSX Overlay Segment",CONCATENATE(prefix_xreg_cidr,".1"),CONCATENATE(prefix_flt_shared_cidr,".1")))</f>
        <v>#REF!</v>
      </c>
      <c r="Y38" s="13"/>
      <c r="Z38" s="13"/>
    </row>
    <row r="39" spans="1:26" ht="16">
      <c r="A39" s="7"/>
      <c r="B39" s="37" t="e">
        <f>CONCATENATE(prefix_wld_az1_rack_cidr,"69.0/24")</f>
        <v>#REF!</v>
      </c>
      <c r="C39" s="13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30" t="s">
        <v>6699</v>
      </c>
      <c r="X39" s="31" t="s">
        <v>6420</v>
      </c>
      <c r="Y39" s="13"/>
      <c r="Z39" s="13"/>
    </row>
    <row r="40" spans="1:26" ht="16">
      <c r="A40" s="7"/>
      <c r="B40" s="37" t="e">
        <f>CONCATENATE(prefix_wld_az1_rack_cidr,"78.0/24")</f>
        <v>#REF!</v>
      </c>
      <c r="C40" s="13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02" t="s">
        <v>6700</v>
      </c>
      <c r="X40" s="183"/>
      <c r="Y40" s="183"/>
      <c r="Z40" s="181"/>
    </row>
    <row r="41" spans="1:26" ht="16">
      <c r="A41" s="7"/>
      <c r="B41" s="37" t="e">
        <f>CONCATENATE(prefix_wld_az1_rack_cidr,"79.0/24")</f>
        <v>#REF!</v>
      </c>
      <c r="C41" s="13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39" t="s">
        <v>6701</v>
      </c>
      <c r="X41" s="40" t="s">
        <v>6702</v>
      </c>
      <c r="Y41" s="41"/>
      <c r="Z41" s="13"/>
    </row>
    <row r="42" spans="1:26" ht="16">
      <c r="A42" s="7"/>
      <c r="B42" s="37" t="e">
        <f>CONCATENATE(prefix_wld_az1_rack_cidr,"81.0/24")</f>
        <v>#REF!</v>
      </c>
      <c r="C42" s="13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42" t="s">
        <v>6703</v>
      </c>
      <c r="X42" s="43" t="s">
        <v>6704</v>
      </c>
      <c r="Y42" s="41"/>
      <c r="Z42" s="13"/>
    </row>
    <row r="43" spans="1:26" ht="16">
      <c r="A43" s="7"/>
      <c r="B43" s="37" t="e">
        <f>CONCATENATE(prefix_wld_az1_rack_cidr,"80.0/24")</f>
        <v>#REF!</v>
      </c>
      <c r="C43" s="13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42" t="s">
        <v>6705</v>
      </c>
      <c r="X43" s="43" t="s">
        <v>6706</v>
      </c>
      <c r="Y43" s="41"/>
      <c r="Z43" s="13"/>
    </row>
    <row r="44" spans="1:26" ht="16">
      <c r="A44" s="7"/>
      <c r="B44" s="37" t="e">
        <f>CONCATENATE(prefix_wld_az1_rack_cidr,"89.0/24")</f>
        <v>#REF!</v>
      </c>
      <c r="C44" s="13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30" t="s">
        <v>6707</v>
      </c>
      <c r="X44" s="35" t="str">
        <f>CONCATENATE(prefix_portable_component,"-auto01","-password")</f>
        <v>flt-auto01-password</v>
      </c>
      <c r="Y44" s="13"/>
      <c r="Z44" s="13"/>
    </row>
    <row r="45" spans="1:26" ht="16">
      <c r="A45" s="7"/>
      <c r="B45" s="37" t="e">
        <f>CONCATENATE(prefix_wld_az1_rack_cidr,"90.0/24")</f>
        <v>#REF!</v>
      </c>
      <c r="C45" s="13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30" t="s">
        <v>6708</v>
      </c>
      <c r="X45" s="35" t="s">
        <v>6709</v>
      </c>
      <c r="Y45" s="13"/>
      <c r="Z45" s="13"/>
    </row>
    <row r="46" spans="1:26" ht="16">
      <c r="A46" s="7"/>
      <c r="B46" s="37" t="e">
        <f>CONCATENATE(prefix_wld_az1_rack_cidr,"92.0/24")</f>
        <v>#REF!</v>
      </c>
      <c r="C46" s="13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30" t="s">
        <v>6710</v>
      </c>
      <c r="X46" s="35" t="s">
        <v>6711</v>
      </c>
      <c r="Y46" s="13"/>
      <c r="Z46" s="13"/>
    </row>
    <row r="47" spans="1:26" ht="16">
      <c r="A47" s="7"/>
      <c r="B47" s="37" t="e">
        <f>CONCATENATE(prefix_wld_az1_rack_cidr,"91.0/24")</f>
        <v>#REF!</v>
      </c>
      <c r="C47" s="13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30" t="s">
        <v>6712</v>
      </c>
      <c r="X47" s="44" t="s">
        <v>6713</v>
      </c>
      <c r="Y47" s="45"/>
      <c r="Z47" s="13"/>
    </row>
    <row r="48" spans="1:26" ht="16">
      <c r="A48" s="7"/>
      <c r="B48" s="7"/>
      <c r="C48" s="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30" t="s">
        <v>6714</v>
      </c>
      <c r="X48" s="35" t="e">
        <f>sample_mgmt_vc_fqdn</f>
        <v>#REF!</v>
      </c>
      <c r="Y48" s="45"/>
      <c r="Z48" s="13"/>
    </row>
    <row r="49" spans="1:26" ht="16">
      <c r="A49" s="7"/>
      <c r="B49" s="7" t="s">
        <v>6715</v>
      </c>
      <c r="C49" s="7" t="e">
        <f>IF(ISBLANK(input_mgmt_existing_active_nsx_gm),"Value Missing",input_mgmt_existing_active_nsx_gm)</f>
        <v>#REF!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42" t="s">
        <v>6716</v>
      </c>
      <c r="X49" s="44" t="e">
        <f>sample_vcf_automation_vip_fqdn</f>
        <v>#REF!</v>
      </c>
      <c r="Y49" s="13" t="e">
        <f t="array" ref="Y49">vcf_automation_vip_fqdn</f>
        <v>#REF!</v>
      </c>
      <c r="Z49" s="13"/>
    </row>
    <row r="50" spans="1:26" ht="16">
      <c r="A50" s="7"/>
      <c r="B50" s="7" t="s">
        <v>6717</v>
      </c>
      <c r="C50" s="7" t="e">
        <f>IF(ISBLANK(input_mgmt_existing_cross_instance_t0_name),"Value Missing",input_mgmt_existing_cross_instance_t0_name)</f>
        <v>#REF!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42" t="s">
        <v>6658</v>
      </c>
      <c r="X50" s="44" t="str">
        <f>sample_vcf_automation_cert_alias</f>
        <v>flt-auto01-cert</v>
      </c>
      <c r="Y50" s="13" t="str">
        <f t="array" ref="Y50">vcf_automation_cert_alias</f>
        <v>Value Missing</v>
      </c>
      <c r="Z50" s="13"/>
    </row>
    <row r="51" spans="1:26" ht="16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42" t="s">
        <v>6716</v>
      </c>
      <c r="X51" s="44" t="e">
        <f>sample_vcf_automation_vip_fqdn</f>
        <v>#REF!</v>
      </c>
      <c r="Y51" s="13" t="e">
        <f t="array" ref="Y51">vcf_automation_vip_fqdn</f>
        <v>#REF!</v>
      </c>
      <c r="Z51" s="13"/>
    </row>
    <row r="52" spans="1:26" ht="16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42" t="s">
        <v>6718</v>
      </c>
      <c r="X52" s="44" t="s">
        <v>6719</v>
      </c>
      <c r="Y52" s="13" t="s">
        <v>6719</v>
      </c>
      <c r="Z52" s="13"/>
    </row>
    <row r="53" spans="1:26" ht="16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42" t="s">
        <v>6720</v>
      </c>
      <c r="X53" s="44" t="str">
        <f>CONCATENATE(prefix_portable_component,"-auto")</f>
        <v>flt-auto</v>
      </c>
      <c r="Y53" s="13" t="s">
        <v>6721</v>
      </c>
      <c r="Z53" s="13" t="s">
        <v>6722</v>
      </c>
    </row>
    <row r="54" spans="1:26" ht="16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42" t="s">
        <v>6723</v>
      </c>
      <c r="X54" s="31" t="e">
        <f>sample_vcf_automation_vip_ip</f>
        <v>#REF!</v>
      </c>
      <c r="Y54" s="13" t="e">
        <f t="array" ref="Y54">vcf_automation_vip_ip</f>
        <v>#REF!</v>
      </c>
      <c r="Z54" s="13"/>
    </row>
    <row r="55" spans="1:26" ht="16">
      <c r="A55" s="27"/>
      <c r="B55" s="27" t="s">
        <v>6724</v>
      </c>
      <c r="C55" s="27" t="s">
        <v>6725</v>
      </c>
      <c r="D55" s="27"/>
      <c r="E55" s="27" t="s">
        <v>6726</v>
      </c>
      <c r="F55" s="27" t="s">
        <v>6725</v>
      </c>
      <c r="G55" s="27"/>
      <c r="H55" s="46" t="s">
        <v>6727</v>
      </c>
      <c r="I55" s="27" t="s">
        <v>6725</v>
      </c>
      <c r="J55" s="27"/>
      <c r="K55" s="46" t="s">
        <v>6728</v>
      </c>
      <c r="L55" s="27" t="s">
        <v>6725</v>
      </c>
      <c r="M55" s="27"/>
      <c r="N55" s="46" t="s">
        <v>6729</v>
      </c>
      <c r="O55" s="27" t="s">
        <v>6725</v>
      </c>
      <c r="P55" s="27"/>
      <c r="Q55" s="46" t="s">
        <v>6730</v>
      </c>
      <c r="R55" s="27" t="s">
        <v>6725</v>
      </c>
      <c r="S55" s="27"/>
      <c r="T55" s="46" t="s">
        <v>6731</v>
      </c>
      <c r="U55" s="27" t="s">
        <v>6725</v>
      </c>
      <c r="V55" s="27"/>
      <c r="W55" s="42" t="s">
        <v>6732</v>
      </c>
      <c r="X55" s="44" t="s">
        <v>6733</v>
      </c>
      <c r="Y55" s="13" t="s">
        <v>6733</v>
      </c>
      <c r="Z55" s="13" t="s">
        <v>6734</v>
      </c>
    </row>
    <row r="56" spans="1:26" ht="16">
      <c r="A56" s="27" t="s">
        <v>6735</v>
      </c>
      <c r="B56" s="27" t="e">
        <f>IF(cluster_wld_domain_chosen="VI Workload Domain",(CONCATENATE(prefix_wld_az1_vlan,"28")),(CONCATENATE(prefix_mgmt_az1_vlan,"28")))</f>
        <v>#REF!</v>
      </c>
      <c r="C56" s="27"/>
      <c r="D56" s="27"/>
      <c r="E56" s="27" t="e">
        <f>IF(cluster_wld_domain_chosen="VI Workload Domain",(CONCATENATE(prefix_wld_az1_vlan,"39")),(CONCATENATE(prefix_mgmt_az1_vlan,"39")))</f>
        <v>#REF!</v>
      </c>
      <c r="F56" s="27"/>
      <c r="G56" s="27"/>
      <c r="H56" s="27" t="e">
        <f>IF(cluster_wld_domain_chosen="VI Workload Domain",(CONCATENATE(prefix_wld_az1_vlan,"50")),(CONCATENATE(prefix_mgmt_az1_vlan,"50")))</f>
        <v>#REF!</v>
      </c>
      <c r="I56" s="27"/>
      <c r="J56" s="27"/>
      <c r="K56" s="27" t="e">
        <f>IF(cluster_wld_domain_chosen="VI Workload Domain",(CONCATENATE(prefix_wld_az1_vlan,"61")),(CONCATENATE(prefix_mgmt_az1_vlan,"61")))</f>
        <v>#REF!</v>
      </c>
      <c r="L56" s="27"/>
      <c r="M56" s="27"/>
      <c r="N56" s="27" t="e">
        <f>IF(cluster_wld_domain_chosen="VI Workload Domain",(CONCATENATE(prefix_wld_az1_vlan,"72")),(CONCATENATE(prefix_mgmt_az1_vlan,"72")))</f>
        <v>#REF!</v>
      </c>
      <c r="O56" s="27"/>
      <c r="P56" s="27"/>
      <c r="Q56" s="27" t="e">
        <f>IF(cluster_wld_domain_chosen="VI Workload Domain",(CONCATENATE(prefix_wld_az1_vlan,"83")),(CONCATENATE(prefix_mgmt_az1_vlan,"83")))</f>
        <v>#REF!</v>
      </c>
      <c r="R56" s="27"/>
      <c r="S56" s="27"/>
      <c r="T56" s="27" t="e">
        <f>IF(cluster_wld_domain_chosen="VI Workload Domain",(CONCATENATE(prefix_wld_az1_vlan,"94")),(CONCATENATE(prefix_mgmt_az1_vlan,"94")))</f>
        <v>#REF!</v>
      </c>
      <c r="U56" s="27"/>
      <c r="V56" s="27"/>
      <c r="W56" s="42" t="s">
        <v>6736</v>
      </c>
      <c r="X56" s="44" t="s">
        <v>6450</v>
      </c>
      <c r="Y56" s="13"/>
      <c r="Z56" s="13"/>
    </row>
    <row r="57" spans="1:26" ht="16">
      <c r="A57" s="27" t="s">
        <v>6737</v>
      </c>
      <c r="B57" s="27" t="e">
        <f>IF(cluster_wld_domain_chosen="VI Workload Domain",(CONCATENATE(prefix_wld_az1_vlan,"29")),(CONCATENATE(prefix_mgmt_az1_vlan,"29")))</f>
        <v>#REF!</v>
      </c>
      <c r="C57" s="27"/>
      <c r="D57" s="27"/>
      <c r="E57" s="27" t="e">
        <f>IF(cluster_wld_domain_chosen="VI Workload Domain",(CONCATENATE(prefix_wld_az1_vlan,"40")),(CONCATENATE(prefix_mgmt_az1_vlan,"40")))</f>
        <v>#REF!</v>
      </c>
      <c r="F57" s="27"/>
      <c r="G57" s="27"/>
      <c r="H57" s="27" t="e">
        <f>IF(cluster_wld_domain_chosen="VI Workload Domain",(CONCATENATE(prefix_wld_az1_vlan,"51")),(CONCATENATE(prefix_mgmt_az1_vlan,"51")))</f>
        <v>#REF!</v>
      </c>
      <c r="I57" s="27"/>
      <c r="J57" s="27"/>
      <c r="K57" s="27" t="e">
        <f>IF(cluster_wld_domain_chosen="VI Workload Domain",(CONCATENATE(prefix_wld_az1_vlan,"62")),(CONCATENATE(prefix_mgmt_az1_vlan,"62")))</f>
        <v>#REF!</v>
      </c>
      <c r="L57" s="27"/>
      <c r="M57" s="27"/>
      <c r="N57" s="27" t="e">
        <f>IF(cluster_wld_domain_chosen="VI Workload Domain",(CONCATENATE(prefix_wld_az1_vlan,"73")),(CONCATENATE(prefix_mgmt_az1_vlan,"73")))</f>
        <v>#REF!</v>
      </c>
      <c r="O57" s="27"/>
      <c r="P57" s="27"/>
      <c r="Q57" s="27" t="e">
        <f>IF(cluster_wld_domain_chosen="VI Workload Domain",(CONCATENATE(prefix_wld_az1_vlan,"84")),(CONCATENATE(prefix_mgmt_az1_vlan,"84")))</f>
        <v>#REF!</v>
      </c>
      <c r="R57" s="27"/>
      <c r="S57" s="27"/>
      <c r="T57" s="27" t="e">
        <f>IF(cluster_wld_domain_chosen="VI Workload Domain",(CONCATENATE(prefix_wld_az1_vlan,"95")),(CONCATENATE(prefix_mgmt_az1_vlan,"95")))</f>
        <v>#REF!</v>
      </c>
      <c r="U57" s="27"/>
      <c r="V57" s="27"/>
      <c r="W57" s="42" t="s">
        <v>6738</v>
      </c>
      <c r="X57" s="31" t="e">
        <f>IF(flt_custom_network_chosen="Shared Management Network",IF(mgmt_dpg_reuse_result="Included",CONCATENATE(prefix_mgmt_az1_cidr,"10.40"),CONCATENATE(prefix_mgmt_az1_cidr,"11.40")),IF(flt_custom_network_chosen="NSX Overlay Segment",CONCATENATE(prefix_xreg_cidr,".40"),CONCATENATE(prefix_flt_shared_cidr,".40")))</f>
        <v>#REF!</v>
      </c>
      <c r="Y57" s="13"/>
      <c r="Z57" s="13"/>
    </row>
    <row r="58" spans="1:26" ht="16">
      <c r="A58" s="27" t="s">
        <v>6739</v>
      </c>
      <c r="B58" s="27" t="e">
        <f>IF(cluster_wld_domain_chosen="VI Workload Domain",(CONCATENATE(prefix_wld_az1_vlan,"30")),(CONCATENATE(prefix_mgmt_az1_vlan,"30")))</f>
        <v>#REF!</v>
      </c>
      <c r="C58" s="27"/>
      <c r="D58" s="27"/>
      <c r="E58" s="27" t="e">
        <f>IF(cluster_wld_domain_chosen="VI Workload Domain",(CONCATENATE(prefix_wld_az1_vlan,"41")),(CONCATENATE(prefix_mgmt_az1_vlan,"41")))</f>
        <v>#REF!</v>
      </c>
      <c r="F58" s="27"/>
      <c r="G58" s="27"/>
      <c r="H58" s="27" t="e">
        <f>IF(cluster_wld_domain_chosen="VI Workload Domain",(CONCATENATE(prefix_wld_az1_vlan,"52")),(CONCATENATE(prefix_mgmt_az1_vlan,"52")))</f>
        <v>#REF!</v>
      </c>
      <c r="I58" s="27"/>
      <c r="J58" s="27"/>
      <c r="K58" s="27" t="e">
        <f>IF(cluster_wld_domain_chosen="VI Workload Domain",(CONCATENATE(prefix_wld_az1_vlan,"63")),(CONCATENATE(prefix_mgmt_az1_vlan,"63")))</f>
        <v>#REF!</v>
      </c>
      <c r="L58" s="27"/>
      <c r="M58" s="27"/>
      <c r="N58" s="27" t="e">
        <f>IF(cluster_wld_domain_chosen="VI Workload Domain",(CONCATENATE(prefix_wld_az1_vlan,"74")),(CONCATENATE(prefix_mgmt_az1_vlan,"74")))</f>
        <v>#REF!</v>
      </c>
      <c r="O58" s="27"/>
      <c r="P58" s="27"/>
      <c r="Q58" s="27" t="e">
        <f>IF(cluster_wld_domain_chosen="VI Workload Domain",(CONCATENATE(prefix_wld_az1_vlan,"85")),(CONCATENATE(prefix_mgmt_az1_vlan,"85")))</f>
        <v>#REF!</v>
      </c>
      <c r="R58" s="27"/>
      <c r="S58" s="27"/>
      <c r="T58" s="27" t="e">
        <f>IF(cluster_wld_domain_chosen="VI Workload Domain",(CONCATENATE(prefix_wld_az1_vlan,"96")),(CONCATENATE(prefix_mgmt_az1_vlan,"96")))</f>
        <v>#REF!</v>
      </c>
      <c r="U58" s="27"/>
      <c r="V58" s="27"/>
      <c r="W58" s="42" t="s">
        <v>6740</v>
      </c>
      <c r="X58" s="31" t="e">
        <f>IF(flt_custom_network_chosen="Shared Management Network",IF(mgmt_dpg_reuse_result="Included",CONCATENATE(prefix_mgmt_az1_cidr,"10.41"),CONCATENATE(prefix_mgmt_az1_cidr,"11.41")),IF(flt_custom_network_chosen="NSX Overlay Segment",CONCATENATE(prefix_xreg_cidr,".41"),CONCATENATE(prefix_flt_shared_cidr,".41")))</f>
        <v>#REF!</v>
      </c>
      <c r="Y58" s="13"/>
      <c r="Z58" s="13"/>
    </row>
    <row r="59" spans="1:26" ht="16">
      <c r="A59" s="27" t="s">
        <v>6741</v>
      </c>
      <c r="B59" s="27" t="e">
        <f>IF(cluster_wld_domain_chosen="VI Workload Domain",CONCATENATE(prefix_wld_az1_cidr,"28.0"),CONCATENATE(prefix_mgmt_az1_cidr,"28.0"))</f>
        <v>#REF!</v>
      </c>
      <c r="C59" s="27"/>
      <c r="D59" s="27"/>
      <c r="E59" s="27" t="e">
        <f>IF(cluster_wld_domain_chosen="VI Workload Domain",CONCATENATE(prefix_wld_az1_cidr,"39.0"),CONCATENATE(prefix_mgmt_az1_cidr,"39.0"))</f>
        <v>#REF!</v>
      </c>
      <c r="F59" s="27"/>
      <c r="G59" s="27"/>
      <c r="H59" s="27" t="e">
        <f>IF(cluster_wld_domain_chosen="VI Workload Domain",CONCATENATE(prefix_wld_az1_cidr,"50.0"),CONCATENATE(prefix_mgmt_az1_cidr,"50.0"))</f>
        <v>#REF!</v>
      </c>
      <c r="I59" s="27"/>
      <c r="J59" s="27"/>
      <c r="K59" s="27" t="e">
        <f>IF(cluster_wld_domain_chosen="VI Workload Domain",CONCATENATE(prefix_wld_az1_cidr,"61.0"),CONCATENATE(prefix_mgmt_az1_cidr,"61.0"))</f>
        <v>#REF!</v>
      </c>
      <c r="L59" s="27"/>
      <c r="M59" s="27"/>
      <c r="N59" s="27" t="e">
        <f>IF(cluster_wld_domain_chosen="VI Workload Domain",CONCATENATE(prefix_wld_az1_cidr,"72.0"),CONCATENATE(prefix_mgmt_az1_cidr,"72.0"))</f>
        <v>#REF!</v>
      </c>
      <c r="O59" s="27"/>
      <c r="P59" s="27"/>
      <c r="Q59" s="27" t="e">
        <f>IF(cluster_wld_domain_chosen="VI Workload Domain",CONCATENATE(prefix_wld_az1_cidr,"83.0"),CONCATENATE(prefix_mgmt_az1_cidr,"83.0"))</f>
        <v>#REF!</v>
      </c>
      <c r="R59" s="27"/>
      <c r="S59" s="27"/>
      <c r="T59" s="27" t="e">
        <f>IF(cluster_wld_domain_chosen="VI Workload Domain",CONCATENATE(prefix_wld_az1_cidr,"94.0"),CONCATENATE(prefix_mgmt_az1_cidr,"94.0"))</f>
        <v>#REF!</v>
      </c>
      <c r="U59" s="27"/>
      <c r="V59" s="27"/>
      <c r="W59" s="42" t="s">
        <v>6742</v>
      </c>
      <c r="X59" s="31" t="e">
        <f>IF(flt_custom_network_chosen="Shared Management Network",IF(mgmt_dpg_reuse_result="Included",CONCATENATE(prefix_mgmt_az1_cidr,"10.42"),CONCATENATE(prefix_mgmt_az1_cidr,"11.42")),IF(flt_custom_network_chosen="NSX Overlay Segment",CONCATENATE(prefix_xreg_cidr,".42"),CONCATENATE(prefix_flt_shared_cidr,".42")))</f>
        <v>#REF!</v>
      </c>
      <c r="Y59" s="13"/>
      <c r="Z59" s="13"/>
    </row>
    <row r="60" spans="1:26" ht="16">
      <c r="A60" s="27" t="s">
        <v>6743</v>
      </c>
      <c r="B60" s="27" t="e">
        <f>IF(cluster_wld_domain_chosen="VI Workload Domain",CONCATENATE(prefix_wld_az1_cidr,"29.0"),CONCATENATE(prefix_mgmt_az1_cidr,"29.0"))</f>
        <v>#REF!</v>
      </c>
      <c r="C60" s="27"/>
      <c r="D60" s="27"/>
      <c r="E60" s="27" t="e">
        <f>IF(cluster_wld_domain_chosen="VI Workload Domain",CONCATENATE(prefix_wld_az1_cidr,"40.0"),CONCATENATE(prefix_mgmt_az1_cidr,"40.0"))</f>
        <v>#REF!</v>
      </c>
      <c r="F60" s="27"/>
      <c r="G60" s="27"/>
      <c r="H60" s="27" t="e">
        <f>IF(cluster_wld_domain_chosen="VI Workload Domain",CONCATENATE(prefix_wld_az1_cidr,"51.0"),CONCATENATE(prefix_mgmt_az1_cidr,"51.0"))</f>
        <v>#REF!</v>
      </c>
      <c r="I60" s="27"/>
      <c r="J60" s="27"/>
      <c r="K60" s="27" t="e">
        <f>IF(cluster_wld_domain_chosen="VI Workload Domain",CONCATENATE(prefix_wld_az1_cidr,"62.0"),CONCATENATE(prefix_mgmt_az1_cidr,"62.0"))</f>
        <v>#REF!</v>
      </c>
      <c r="L60" s="27"/>
      <c r="M60" s="27"/>
      <c r="N60" s="27" t="e">
        <f>IF(cluster_wld_domain_chosen="VI Workload Domain",CONCATENATE(prefix_wld_az1_cidr,"73.0"),CONCATENATE(prefix_mgmt_az1_cidr,"73.0"))</f>
        <v>#REF!</v>
      </c>
      <c r="O60" s="27"/>
      <c r="P60" s="27"/>
      <c r="Q60" s="27" t="e">
        <f>IF(cluster_wld_domain_chosen="VI Workload Domain",CONCATENATE(prefix_wld_az1_cidr,"84.0"),CONCATENATE(prefix_mgmt_az1_cidr,"84.0"))</f>
        <v>#REF!</v>
      </c>
      <c r="R60" s="27"/>
      <c r="S60" s="27"/>
      <c r="T60" s="27" t="e">
        <f>IF(cluster_wld_domain_chosen="VI Workload Domain",CONCATENATE(prefix_wld_az1_cidr,"95.0"),CONCATENATE(prefix_mgmt_az1_cidr,"95.0"))</f>
        <v>#REF!</v>
      </c>
      <c r="U60" s="27"/>
      <c r="V60" s="27"/>
      <c r="W60" s="42" t="s">
        <v>6744</v>
      </c>
      <c r="X60" s="31" t="e">
        <f>IF(flt_custom_network_chosen="Shared Management Network",IF(mgmt_dpg_reuse_result="Included",CONCATENATE(prefix_mgmt_az1_cidr,"10.43"),CONCATENATE(prefix_mgmt_az1_cidr,"11.43")),IF(flt_custom_network_chosen="NSX Overlay Segment",CONCATENATE(prefix_xreg_cidr,".43"),CONCATENATE(prefix_flt_shared_cidr,".43")))</f>
        <v>#REF!</v>
      </c>
      <c r="Y60" s="13"/>
      <c r="Z60" s="13"/>
    </row>
    <row r="61" spans="1:26" ht="16">
      <c r="A61" s="27" t="s">
        <v>6745</v>
      </c>
      <c r="B61" s="27" t="e">
        <f>IF(cluster_wld_domain_chosen="VI Workload Domain",CONCATENATE(prefix_wld_az1_cidr,"30.0"),CONCATENATE(prefix_mgmt_az1_cidr,"30.0"))</f>
        <v>#REF!</v>
      </c>
      <c r="C61" s="27"/>
      <c r="D61" s="27"/>
      <c r="E61" s="27" t="e">
        <f>IF(cluster_wld_domain_chosen="VI Workload Domain",CONCATENATE(prefix_wld_az1_cidr,"41.0"),CONCATENATE(prefix_mgmt_az1_cidr,"41.0"))</f>
        <v>#REF!</v>
      </c>
      <c r="F61" s="27"/>
      <c r="G61" s="27"/>
      <c r="H61" s="27" t="e">
        <f>IF(cluster_wld_domain_chosen="VI Workload Domain",CONCATENATE(prefix_wld_az1_cidr,"52.0"),CONCATENATE(prefix_mgmt_az1_cidr,"52.0"))</f>
        <v>#REF!</v>
      </c>
      <c r="I61" s="27"/>
      <c r="J61" s="27"/>
      <c r="K61" s="27" t="e">
        <f>IF(cluster_wld_domain_chosen="VI Workload Domain",CONCATENATE(prefix_wld_az1_cidr,"63.0"),CONCATENATE(prefix_mgmt_az1_cidr,"63.0"))</f>
        <v>#REF!</v>
      </c>
      <c r="L61" s="27"/>
      <c r="M61" s="27"/>
      <c r="N61" s="27" t="e">
        <f>IF(cluster_wld_domain_chosen="VI Workload Domain",CONCATENATE(prefix_wld_az1_cidr,"74.0"),CONCATENATE(prefix_mgmt_az1_cidr,"74.0"))</f>
        <v>#REF!</v>
      </c>
      <c r="O61" s="27"/>
      <c r="P61" s="27"/>
      <c r="Q61" s="27" t="e">
        <f>IF(cluster_wld_domain_chosen="VI Workload Domain",CONCATENATE(prefix_wld_az1_cidr,"85.0"),CONCATENATE(prefix_mgmt_az1_cidr,"85.0"))</f>
        <v>#REF!</v>
      </c>
      <c r="R61" s="27"/>
      <c r="S61" s="27"/>
      <c r="T61" s="27" t="e">
        <f>IF(cluster_wld_domain_chosen="VI Workload Domain",CONCATENATE(prefix_wld_az1_cidr,"96.0"),CONCATENATE(prefix_mgmt_az1_cidr,"96.0"))</f>
        <v>#REF!</v>
      </c>
      <c r="U61" s="27"/>
      <c r="V61" s="27"/>
      <c r="W61" s="42" t="s">
        <v>6746</v>
      </c>
      <c r="X61" s="31" t="e">
        <f>IF(flt_custom_network_chosen="Shared Management Network",IF(mgmt_dpg_reuse_result="Included",CONCATENATE(prefix_mgmt_az1_cidr,"10.44"),CONCATENATE(prefix_mgmt_az1_cidr,"11.44")),IF(flt_custom_network_chosen="NSX Overlay Segment",CONCATENATE(prefix_xreg_cidr,".44"),CONCATENATE(prefix_flt_shared_cidr,".44")))</f>
        <v>#REF!</v>
      </c>
      <c r="Y61" s="7"/>
      <c r="Z61" s="7"/>
    </row>
    <row r="62" spans="1:26" ht="16">
      <c r="A62" s="27" t="s">
        <v>6747</v>
      </c>
      <c r="B62" s="27" t="e">
        <f>IF(cluster_wld_domain_chosen="VI Workload Domain",CONCATENATE(prefix_wld_az1_cidr,"28.1"),CONCATENATE(prefix_mgmt_az1_cidr,"28.1"))</f>
        <v>#REF!</v>
      </c>
      <c r="C62" s="27"/>
      <c r="D62" s="27"/>
      <c r="E62" s="27" t="e">
        <f>IF(cluster_wld_domain_chosen="VI Workload Domain",CONCATENATE(prefix_wld_az1_cidr,"39.1"),CONCATENATE(prefix_mgmt_az1_cidr,"39.1"))</f>
        <v>#REF!</v>
      </c>
      <c r="F62" s="27"/>
      <c r="G62" s="27"/>
      <c r="H62" s="27" t="e">
        <f>IF(cluster_wld_domain_chosen="VI Workload Domain",CONCATENATE(prefix_wld_az1_cidr,"50.1"),CONCATENATE(prefix_mgmt_az1_cidr,"50.1"))</f>
        <v>#REF!</v>
      </c>
      <c r="I62" s="27"/>
      <c r="J62" s="27"/>
      <c r="K62" s="27" t="e">
        <f>IF(cluster_wld_domain_chosen="VI Workload Domain",CONCATENATE(prefix_wld_az1_cidr,"61.1"),CONCATENATE(prefix_mgmt_az1_cidr,"61.1"))</f>
        <v>#REF!</v>
      </c>
      <c r="L62" s="27"/>
      <c r="M62" s="27"/>
      <c r="N62" s="27" t="e">
        <f>IF(cluster_wld_domain_chosen="VI Workload Domain",CONCATENATE(prefix_wld_az1_cidr,"72.1"),CONCATENATE(prefix_mgmt_az1_cidr,"72.1"))</f>
        <v>#REF!</v>
      </c>
      <c r="O62" s="27"/>
      <c r="P62" s="27"/>
      <c r="Q62" s="27" t="e">
        <f>IF(cluster_wld_domain_chosen="VI Workload Domain",CONCATENATE(prefix_wld_az1_cidr,"83.1"),CONCATENATE(prefix_mgmt_az1_cidr,"83.1"))</f>
        <v>#REF!</v>
      </c>
      <c r="R62" s="27"/>
      <c r="S62" s="27"/>
      <c r="T62" s="27" t="e">
        <f>IF(cluster_wld_domain_chosen="VI Workload Domain",CONCATENATE(prefix_wld_az1_cidr,"94.1"),CONCATENATE(prefix_mgmt_az1_cidr,"94.1"))</f>
        <v>#REF!</v>
      </c>
      <c r="U62" s="27"/>
      <c r="V62" s="27"/>
      <c r="W62" s="42" t="s">
        <v>6748</v>
      </c>
      <c r="X62" s="31" t="e">
        <f>IF(flt_custom_network_chosen="Shared Management Network",IF(mgmt_dpg_reuse_result="Included",CONCATENATE(prefix_mgmt_az1_cidr,"10.45"),CONCATENATE(prefix_mgmt_az1_cidr,"11.45")),IF(flt_custom_network_chosen="NSX Overlay Segment",CONCATENATE(prefix_xreg_cidr,".45"),CONCATENATE(prefix_flt_shared_cidr,".45")))</f>
        <v>#REF!</v>
      </c>
      <c r="Y62" s="7"/>
      <c r="Z62" s="7"/>
    </row>
    <row r="63" spans="1:26" ht="16">
      <c r="A63" s="27" t="s">
        <v>6749</v>
      </c>
      <c r="B63" s="27" t="e">
        <f>IF(cluster_wld_domain_chosen="VI Workload Domain",CONCATENATE(prefix_wld_az1_cidr,"29.1"),CONCATENATE(prefix_mgmt_az1_cidr,"29.1"))</f>
        <v>#REF!</v>
      </c>
      <c r="C63" s="27"/>
      <c r="D63" s="27"/>
      <c r="E63" s="27" t="e">
        <f>IF(cluster_wld_domain_chosen="VI Workload Domain",CONCATENATE(prefix_wld_az1_cidr,"40.1"),CONCATENATE(prefix_mgmt_az1_cidr,"40.1"))</f>
        <v>#REF!</v>
      </c>
      <c r="F63" s="27"/>
      <c r="G63" s="27"/>
      <c r="H63" s="27" t="e">
        <f>IF(cluster_wld_domain_chosen="VI Workload Domain",CONCATENATE(prefix_wld_az1_cidr,"51.1"),CONCATENATE(prefix_mgmt_az1_cidr,"51.1"))</f>
        <v>#REF!</v>
      </c>
      <c r="I63" s="27"/>
      <c r="J63" s="27"/>
      <c r="K63" s="27" t="e">
        <f>IF(cluster_wld_domain_chosen="VI Workload Domain",CONCATENATE(prefix_wld_az1_cidr,"62.1"),CONCATENATE(prefix_mgmt_az1_cidr,"62.1"))</f>
        <v>#REF!</v>
      </c>
      <c r="L63" s="27"/>
      <c r="M63" s="27"/>
      <c r="N63" s="27" t="e">
        <f>IF(cluster_wld_domain_chosen="VI Workload Domain",CONCATENATE(prefix_wld_az1_cidr,"73.1"),CONCATENATE(prefix_mgmt_az1_cidr,"73.1"))</f>
        <v>#REF!</v>
      </c>
      <c r="O63" s="27"/>
      <c r="P63" s="27"/>
      <c r="Q63" s="27" t="e">
        <f>IF(cluster_wld_domain_chosen="VI Workload Domain",CONCATENATE(prefix_wld_az1_cidr,"84.1"),CONCATENATE(prefix_mgmt_az1_cidr,"84.1"))</f>
        <v>#REF!</v>
      </c>
      <c r="R63" s="27"/>
      <c r="S63" s="27"/>
      <c r="T63" s="27" t="e">
        <f>IF(cluster_wld_domain_chosen="VI Workload Domain",CONCATENATE(prefix_wld_az1_cidr,"95.1"),CONCATENATE(prefix_mgmt_az1_cidr,"95.1"))</f>
        <v>#REF!</v>
      </c>
      <c r="U63" s="27"/>
      <c r="V63" s="27"/>
      <c r="W63" s="27"/>
      <c r="X63" s="27"/>
      <c r="Y63" s="27"/>
      <c r="Z63" s="27"/>
    </row>
    <row r="64" spans="1:26" ht="16">
      <c r="A64" s="27" t="s">
        <v>6750</v>
      </c>
      <c r="B64" s="27" t="e">
        <f>IF(cluster_wld_domain_chosen="VI Workload Domain",CONCATENATE(prefix_wld_az1_cidr,"30.1"),CONCATENATE(prefix_mgmt_az1_cidr,"30.1"))</f>
        <v>#REF!</v>
      </c>
      <c r="C64" s="27"/>
      <c r="D64" s="27"/>
      <c r="E64" s="27" t="e">
        <f>IF(cluster_wld_domain_chosen="VI Workload Domain",CONCATENATE(prefix_wld_az1_cidr,"41.1"),CONCATENATE(prefix_mgmt_az1_cidr,"41.1"))</f>
        <v>#REF!</v>
      </c>
      <c r="F64" s="27"/>
      <c r="G64" s="27"/>
      <c r="H64" s="27" t="e">
        <f>IF(cluster_wld_domain_chosen="VI Workload Domain",CONCATENATE(prefix_wld_az1_cidr,"52.1"),CONCATENATE(prefix_mgmt_az1_cidr,"52.1"))</f>
        <v>#REF!</v>
      </c>
      <c r="I64" s="27"/>
      <c r="J64" s="27"/>
      <c r="K64" s="27" t="e">
        <f>IF(cluster_wld_domain_chosen="VI Workload Domain",CONCATENATE(prefix_wld_az1_cidr,"63.1"),CONCATENATE(prefix_mgmt_az1_cidr,"63.1"))</f>
        <v>#REF!</v>
      </c>
      <c r="L64" s="27"/>
      <c r="M64" s="27"/>
      <c r="N64" s="27" t="e">
        <f>IF(cluster_wld_domain_chosen="VI Workload Domain",CONCATENATE(prefix_wld_az1_cidr,"74.1"),CONCATENATE(prefix_mgmt_az1_cidr,"74.1"))</f>
        <v>#REF!</v>
      </c>
      <c r="O64" s="27"/>
      <c r="P64" s="27"/>
      <c r="Q64" s="27" t="e">
        <f>IF(cluster_wld_domain_chosen="VI Workload Domain",CONCATENATE(prefix_wld_az1_cidr,"85.1"),CONCATENATE(prefix_mgmt_az1_cidr,"85.1"))</f>
        <v>#REF!</v>
      </c>
      <c r="R64" s="27"/>
      <c r="S64" s="27"/>
      <c r="T64" s="27" t="e">
        <f>IF(cluster_wld_domain_chosen="VI Workload Domain",CONCATENATE(prefix_wld_az1_cidr,"96.1"),CONCATENATE(prefix_mgmt_az1_cidr,"96.1"))</f>
        <v>#REF!</v>
      </c>
      <c r="U64" s="27"/>
      <c r="V64" s="27"/>
      <c r="W64" s="27"/>
      <c r="X64" s="27"/>
      <c r="Y64" s="27"/>
      <c r="Z64" s="27"/>
    </row>
    <row r="65" spans="1:26" ht="16">
      <c r="A65" s="27" t="s">
        <v>6751</v>
      </c>
      <c r="B65" s="27" t="s">
        <v>6420</v>
      </c>
      <c r="C65" s="27"/>
      <c r="D65" s="27"/>
      <c r="E65" s="27" t="s">
        <v>6420</v>
      </c>
      <c r="F65" s="27"/>
      <c r="G65" s="27"/>
      <c r="H65" s="27" t="s">
        <v>6420</v>
      </c>
      <c r="I65" s="27"/>
      <c r="J65" s="27"/>
      <c r="K65" s="27" t="s">
        <v>6420</v>
      </c>
      <c r="L65" s="27"/>
      <c r="M65" s="27"/>
      <c r="N65" s="27" t="s">
        <v>6420</v>
      </c>
      <c r="O65" s="27"/>
      <c r="P65" s="27"/>
      <c r="Q65" s="27" t="s">
        <v>6420</v>
      </c>
      <c r="R65" s="27"/>
      <c r="S65" s="27"/>
      <c r="T65" s="27" t="s">
        <v>6420</v>
      </c>
      <c r="U65" s="27"/>
      <c r="V65" s="27"/>
      <c r="W65" s="27"/>
      <c r="X65" s="27"/>
      <c r="Y65" s="27"/>
      <c r="Z65" s="27"/>
    </row>
    <row r="66" spans="1:26" ht="16">
      <c r="A66" s="27" t="s">
        <v>6752</v>
      </c>
      <c r="B66" s="27" t="s">
        <v>6420</v>
      </c>
      <c r="C66" s="27"/>
      <c r="D66" s="27"/>
      <c r="E66" s="27" t="s">
        <v>6420</v>
      </c>
      <c r="F66" s="27"/>
      <c r="G66" s="27"/>
      <c r="H66" s="27" t="s">
        <v>6420</v>
      </c>
      <c r="I66" s="27"/>
      <c r="J66" s="27"/>
      <c r="K66" s="27" t="s">
        <v>6420</v>
      </c>
      <c r="L66" s="27"/>
      <c r="M66" s="27"/>
      <c r="N66" s="27" t="s">
        <v>6420</v>
      </c>
      <c r="O66" s="27"/>
      <c r="P66" s="27"/>
      <c r="Q66" s="27" t="s">
        <v>6420</v>
      </c>
      <c r="R66" s="27"/>
      <c r="S66" s="27"/>
      <c r="T66" s="27" t="s">
        <v>6420</v>
      </c>
      <c r="U66" s="27"/>
      <c r="V66" s="27"/>
      <c r="W66" s="27"/>
      <c r="X66" s="27"/>
      <c r="Y66" s="27"/>
      <c r="Z66" s="27"/>
    </row>
    <row r="67" spans="1:26" ht="16">
      <c r="A67" s="27" t="s">
        <v>6753</v>
      </c>
      <c r="B67" s="27" t="s">
        <v>6420</v>
      </c>
      <c r="C67" s="27"/>
      <c r="D67" s="27"/>
      <c r="E67" s="27" t="s">
        <v>6420</v>
      </c>
      <c r="F67" s="27"/>
      <c r="G67" s="27"/>
      <c r="H67" s="27" t="s">
        <v>6420</v>
      </c>
      <c r="I67" s="27"/>
      <c r="J67" s="27"/>
      <c r="K67" s="27" t="s">
        <v>6420</v>
      </c>
      <c r="L67" s="27"/>
      <c r="M67" s="27"/>
      <c r="N67" s="27" t="s">
        <v>6420</v>
      </c>
      <c r="O67" s="27"/>
      <c r="P67" s="27"/>
      <c r="Q67" s="27" t="s">
        <v>6420</v>
      </c>
      <c r="R67" s="27"/>
      <c r="S67" s="27"/>
      <c r="T67" s="27" t="s">
        <v>6420</v>
      </c>
      <c r="U67" s="27"/>
      <c r="V67" s="27"/>
      <c r="W67" s="27"/>
      <c r="X67" s="27"/>
      <c r="Y67" s="27"/>
      <c r="Z67" s="27"/>
    </row>
    <row r="68" spans="1:26" ht="16">
      <c r="A68" s="27" t="s">
        <v>6754</v>
      </c>
      <c r="B68" s="55">
        <v>9000</v>
      </c>
      <c r="C68" s="55"/>
      <c r="D68" s="55"/>
      <c r="E68" s="55">
        <v>9000</v>
      </c>
      <c r="F68" s="55"/>
      <c r="G68" s="55"/>
      <c r="H68" s="55">
        <v>9000</v>
      </c>
      <c r="I68" s="55"/>
      <c r="J68" s="55"/>
      <c r="K68" s="55">
        <v>9000</v>
      </c>
      <c r="L68" s="55"/>
      <c r="M68" s="55"/>
      <c r="N68" s="55">
        <v>9000</v>
      </c>
      <c r="O68" s="55"/>
      <c r="P68" s="55"/>
      <c r="Q68" s="55">
        <v>9000</v>
      </c>
      <c r="R68" s="55"/>
      <c r="S68" s="55"/>
      <c r="T68" s="55">
        <v>9000</v>
      </c>
      <c r="U68" s="27"/>
      <c r="V68" s="27"/>
      <c r="W68" s="27"/>
      <c r="X68" s="27"/>
      <c r="Y68" s="27"/>
      <c r="Z68" s="27"/>
    </row>
    <row r="69" spans="1:26" ht="16">
      <c r="A69" s="27" t="s">
        <v>6755</v>
      </c>
      <c r="B69" s="55">
        <v>9000</v>
      </c>
      <c r="C69" s="55"/>
      <c r="D69" s="55"/>
      <c r="E69" s="55">
        <v>9000</v>
      </c>
      <c r="F69" s="55"/>
      <c r="G69" s="55"/>
      <c r="H69" s="55">
        <v>9000</v>
      </c>
      <c r="I69" s="55"/>
      <c r="J69" s="55"/>
      <c r="K69" s="55">
        <v>9000</v>
      </c>
      <c r="L69" s="55"/>
      <c r="M69" s="55"/>
      <c r="N69" s="55">
        <v>9000</v>
      </c>
      <c r="O69" s="55"/>
      <c r="P69" s="55"/>
      <c r="Q69" s="55">
        <v>9000</v>
      </c>
      <c r="R69" s="55"/>
      <c r="S69" s="55"/>
      <c r="T69" s="55">
        <v>9000</v>
      </c>
      <c r="U69" s="27"/>
      <c r="V69" s="27"/>
      <c r="W69" s="27"/>
      <c r="X69" s="27"/>
      <c r="Y69" s="27"/>
      <c r="Z69" s="27"/>
    </row>
    <row r="70" spans="1:26" ht="16">
      <c r="A70" s="27" t="s">
        <v>6756</v>
      </c>
      <c r="B70" s="55">
        <v>9000</v>
      </c>
      <c r="C70" s="55"/>
      <c r="D70" s="55"/>
      <c r="E70" s="55">
        <v>9000</v>
      </c>
      <c r="F70" s="55"/>
      <c r="G70" s="55"/>
      <c r="H70" s="55">
        <v>9000</v>
      </c>
      <c r="I70" s="55"/>
      <c r="J70" s="55"/>
      <c r="K70" s="55">
        <v>9000</v>
      </c>
      <c r="L70" s="55"/>
      <c r="M70" s="55"/>
      <c r="N70" s="55">
        <v>9000</v>
      </c>
      <c r="O70" s="55"/>
      <c r="P70" s="55"/>
      <c r="Q70" s="55">
        <v>9000</v>
      </c>
      <c r="R70" s="55"/>
      <c r="S70" s="55"/>
      <c r="T70" s="55">
        <v>9000</v>
      </c>
      <c r="U70" s="27"/>
      <c r="V70" s="27"/>
      <c r="W70" s="27"/>
      <c r="X70" s="27"/>
      <c r="Y70" s="27"/>
      <c r="Z70" s="27"/>
    </row>
    <row r="71" spans="1:26" ht="17">
      <c r="A71" s="56" t="s">
        <v>6757</v>
      </c>
      <c r="B71" s="27" t="e">
        <f>IF(cluster_wld_domain_chosen="VI Workload Domain",CONCATENATE(prefix_wld_az1_cidr,"30.2"),CONCATENATE(prefix_mgmt_az1_cidr,"30.2"))</f>
        <v>#REF!</v>
      </c>
      <c r="C71" s="27"/>
      <c r="D71" s="27"/>
      <c r="E71" s="27" t="e">
        <f>IF(cluster_wld_domain_chosen="VI Workload Domain",CONCATENATE(prefix_wld_az1_cidr,"41.2"),CONCATENATE(prefix_mgmt_az1_cidr,"41.2"))</f>
        <v>#REF!</v>
      </c>
      <c r="F71" s="27"/>
      <c r="G71" s="27"/>
      <c r="H71" s="27" t="e">
        <f>IF(cluster_wld_domain_chosen="VI Workload Domain",CONCATENATE(prefix_wld_az1_cidr,"52.2"),CONCATENATE(prefix_mgmt_az1_cidr,"52.2"))</f>
        <v>#REF!</v>
      </c>
      <c r="I71" s="27"/>
      <c r="J71" s="27"/>
      <c r="K71" s="27" t="e">
        <f>IF(cluster_wld_domain_chosen="VI Workload Domain",CONCATENATE(prefix_wld_az1_cidr,"63.2"),CONCATENATE(prefix_mgmt_az1_cidr,"63.2"))</f>
        <v>#REF!</v>
      </c>
      <c r="L71" s="27"/>
      <c r="M71" s="27"/>
      <c r="N71" s="27" t="e">
        <f>IF(cluster_wld_domain_chosen="VI Workload Domain",CONCATENATE(prefix_wld_az1_cidr,"74.2"),CONCATENATE(prefix_mgmt_az1_cidr,"74.2"))</f>
        <v>#REF!</v>
      </c>
      <c r="O71" s="27"/>
      <c r="P71" s="27"/>
      <c r="Q71" s="27" t="e">
        <f>IF(cluster_wld_domain_chosen="VI Workload Domain",CONCATENATE(prefix_wld_az1_cidr,"85.2"),CONCATENATE(prefix_mgmt_az1_cidr,"85.2"))</f>
        <v>#REF!</v>
      </c>
      <c r="R71" s="27"/>
      <c r="S71" s="27"/>
      <c r="T71" s="27" t="e">
        <f>IF(cluster_wld_domain_chosen="VI Workload Domain",CONCATENATE(prefix_wld_az1_cidr,"96.2"),CONCATENATE(prefix_mgmt_az1_cidr,"96.2"))</f>
        <v>#REF!</v>
      </c>
      <c r="U71" s="27"/>
      <c r="V71" s="27"/>
      <c r="W71" s="27"/>
      <c r="X71" s="27"/>
      <c r="Y71" s="27"/>
      <c r="Z71" s="27"/>
    </row>
    <row r="72" spans="1:26" ht="17">
      <c r="A72" s="58" t="s">
        <v>6758</v>
      </c>
      <c r="B72" s="27" t="e">
        <f>IF(cluster_wld_domain_chosen="VI Workload Domain",CONCATENATE(prefix_wld_az1_cidr,"30.5"),CONCATENATE(prefix_mgmt_az1_cidr,"30.5"))</f>
        <v>#REF!</v>
      </c>
      <c r="C72" s="27"/>
      <c r="D72" s="27"/>
      <c r="E72" s="27" t="e">
        <f>IF(cluster_wld_domain_chosen="VI Workload Domain",CONCATENATE(prefix_wld_az1_cidr,"41.5"),CONCATENATE(prefix_mgmt_az1_cidr,"41.5"))</f>
        <v>#REF!</v>
      </c>
      <c r="F72" s="27"/>
      <c r="G72" s="27"/>
      <c r="H72" s="27" t="e">
        <f>IF(cluster_wld_domain_chosen="VI Workload Domain",CONCATENATE(prefix_wld_az1_cidr,"52.5"),CONCATENATE(prefix_mgmt_az1_cidr,"52.5"))</f>
        <v>#REF!</v>
      </c>
      <c r="I72" s="27"/>
      <c r="J72" s="27"/>
      <c r="K72" s="27" t="e">
        <f>IF(cluster_wld_domain_chosen="VI Workload Domain",CONCATENATE(prefix_wld_az1_cidr,"63.5"),CONCATENATE(prefix_mgmt_az1_cidr,"63.5"))</f>
        <v>#REF!</v>
      </c>
      <c r="L72" s="27"/>
      <c r="M72" s="27"/>
      <c r="N72" s="27" t="e">
        <f>IF(cluster_wld_domain_chosen="VI Workload Domain",CONCATENATE(prefix_wld_az1_cidr,"74.5"),CONCATENATE(prefix_mgmt_az1_cidr,"74.5"))</f>
        <v>#REF!</v>
      </c>
      <c r="O72" s="27"/>
      <c r="P72" s="27"/>
      <c r="Q72" s="27" t="e">
        <f>IF(cluster_wld_domain_chosen="VI Workload Domain",CONCATENATE(prefix_wld_az1_cidr,"85.5"),CONCATENATE(prefix_mgmt_az1_cidr,"85.5"))</f>
        <v>#REF!</v>
      </c>
      <c r="R72" s="27"/>
      <c r="S72" s="27"/>
      <c r="T72" s="27" t="e">
        <f>IF(cluster_wld_domain_chosen="VI Workload Domain",CONCATENATE(prefix_wld_az1_cidr,"96.5"),CONCATENATE(prefix_mgmt_az1_cidr,"96.5"))</f>
        <v>#REF!</v>
      </c>
      <c r="U72" s="27"/>
      <c r="V72" s="27"/>
      <c r="W72" s="27"/>
      <c r="X72" s="27"/>
      <c r="Y72" s="27"/>
      <c r="Z72" s="27"/>
    </row>
    <row r="73" spans="1:26" ht="16">
      <c r="A73" s="30" t="s">
        <v>6759</v>
      </c>
      <c r="B73" s="27" t="e">
        <f>IF(cluster_wld_domain_chosen="VI Workload Domain",IF(mgmt_domain_chosen="First Instance","65102",IF(wld_nsxt_federation_result="Included","65202","65102")),IF(mgmt_domain_chosen="First Instance","65101",IF(mgmt_nsxt_federation_result="Included","65201","65101")))</f>
        <v>#REF!</v>
      </c>
      <c r="C73" s="27"/>
      <c r="D73" s="27"/>
      <c r="E73" s="27" t="e">
        <f>IF(cluster_wld_domain_chosen="VI Workload Domain",IF(mgmt_domain_chosen="First Instance","65102",IF(wld_nsxt_federation_result="Included","65202","65102")),IF(mgmt_domain_chosen="First Instance","65101",IF(mgmt_nsxt_federation_result="Included","65201","65101")))</f>
        <v>#REF!</v>
      </c>
      <c r="F73" s="27"/>
      <c r="G73" s="27"/>
      <c r="H73" s="27" t="e">
        <f>IF(cluster_wld_domain_chosen="VI Workload Domain",IF(mgmt_domain_chosen="First Instance","65102",IF(wld_nsxt_federation_result="Included","65202","65102")),IF(mgmt_domain_chosen="First Instance","65101",IF(mgmt_nsxt_federation_result="Included","65201","65101")))</f>
        <v>#REF!</v>
      </c>
      <c r="I73" s="27"/>
      <c r="J73" s="27"/>
      <c r="K73" s="27" t="e">
        <f>IF(cluster_wld_domain_chosen="VI Workload Domain",IF(mgmt_domain_chosen="First Instance","65102",IF(wld_nsxt_federation_result="Included","65202","65102")),IF(mgmt_domain_chosen="First Instance","65101",IF(mgmt_nsxt_federation_result="Included","65201","65101")))</f>
        <v>#REF!</v>
      </c>
      <c r="L73" s="27"/>
      <c r="M73" s="27"/>
      <c r="N73" s="27" t="e">
        <f>IF(cluster_wld_domain_chosen="VI Workload Domain",IF(mgmt_domain_chosen="First Instance","65102",IF(wld_nsxt_federation_result="Included","65202","65102")),IF(mgmt_domain_chosen="First Instance","65101",IF(mgmt_nsxt_federation_result="Included","65201","65101")))</f>
        <v>#REF!</v>
      </c>
      <c r="O73" s="27"/>
      <c r="P73" s="27"/>
      <c r="Q73" s="27" t="e">
        <f>IF(cluster_wld_domain_chosen="VI Workload Domain",IF(mgmt_domain_chosen="First Instance","65102",IF(wld_nsxt_federation_result="Included","65202","65102")),IF(mgmt_domain_chosen="First Instance","65101",IF(mgmt_nsxt_federation_result="Included","65201","65101")))</f>
        <v>#REF!</v>
      </c>
      <c r="R73" s="27"/>
      <c r="S73" s="27"/>
      <c r="T73" s="27" t="e">
        <f>IF(cluster_wld_domain_chosen="VI Workload Domain",IF(mgmt_domain_chosen="First Instance","65102",IF(wld_nsxt_federation_result="Included","65202","65102")),IF(mgmt_domain_chosen="First Instance","65101",IF(mgmt_nsxt_federation_result="Included","65201","65101")))</f>
        <v>#REF!</v>
      </c>
      <c r="U73" s="27"/>
      <c r="V73" s="27"/>
      <c r="W73" s="27"/>
      <c r="X73" s="27"/>
      <c r="Y73" s="27"/>
      <c r="Z73" s="27"/>
    </row>
    <row r="74" spans="1:26" ht="16">
      <c r="A74" s="30" t="s">
        <v>6760</v>
      </c>
      <c r="B74" s="27" t="e">
        <f>IF(cluster_wld_domain_chosen="VI Workload Domain",CONCATENATE(prefix_wld_az1_cidr,"28.10"),CONCATENATE(prefix_mgmt_az1_cidr,"28.10"))</f>
        <v>#REF!</v>
      </c>
      <c r="C74" s="27"/>
      <c r="D74" s="27"/>
      <c r="E74" s="27" t="e">
        <f>IF(cluster_wld_domain_chosen="VI Workload Domain",CONCATENATE(prefix_wld_az1_cidr,"39.10"),CONCATENATE(prefix_mgmt_az1_cidr,"39.10"))</f>
        <v>#REF!</v>
      </c>
      <c r="F74" s="27"/>
      <c r="G74" s="27"/>
      <c r="H74" s="27" t="e">
        <f>IF(cluster_wld_domain_chosen="VI Workload Domain",CONCATENATE(prefix_wld_az1_cidr,"50.10"),CONCATENATE(prefix_mgmt_az1_cidr,"50.10"))</f>
        <v>#REF!</v>
      </c>
      <c r="I74" s="27"/>
      <c r="J74" s="27"/>
      <c r="K74" s="27" t="e">
        <f>IF(cluster_wld_domain_chosen="VI Workload Domain",CONCATENATE(prefix_wld_az1_cidr,"61.10"),CONCATENATE(prefix_mgmt_az1_cidr,"61.10"))</f>
        <v>#REF!</v>
      </c>
      <c r="L74" s="27"/>
      <c r="M74" s="27"/>
      <c r="N74" s="27" t="e">
        <f>IF(cluster_wld_domain_chosen="VI Workload Domain",CONCATENATE(prefix_wld_az1_cidr,"72.10"),CONCATENATE(prefix_mgmt_az1_cidr,"72.10"))</f>
        <v>#REF!</v>
      </c>
      <c r="O74" s="27"/>
      <c r="P74" s="27"/>
      <c r="Q74" s="27" t="e">
        <f>IF(cluster_wld_domain_chosen="VI Workload Domain",CONCATENATE(prefix_wld_az1_cidr,"83.10"),CONCATENATE(prefix_mgmt_az1_cidr,"83.10"))</f>
        <v>#REF!</v>
      </c>
      <c r="R74" s="27"/>
      <c r="S74" s="27"/>
      <c r="T74" s="27" t="e">
        <f>IF(cluster_wld_domain_chosen="VI Workload Domain",CONCATENATE(prefix_wld_az1_cidr,"94.10"),CONCATENATE(prefix_mgmt_az1_cidr,"94.10"))</f>
        <v>#REF!</v>
      </c>
      <c r="U74" s="27"/>
      <c r="V74" s="27"/>
      <c r="W74" s="27"/>
      <c r="X74" s="27"/>
      <c r="Y74" s="27"/>
      <c r="Z74" s="27"/>
    </row>
    <row r="75" spans="1:26" ht="16">
      <c r="A75" s="30" t="s">
        <v>6761</v>
      </c>
      <c r="B75" s="27" t="e">
        <f>IF(cluster_wld_domain_chosen="VI Workload Domain",IF(mgmt_domain_chosen="First Instance",CONCATENATE(asn_start,asn_instance,asn_wld_az1,2),IF(wld_nsxt_federation_result="Included",CONCATENATE(asn_start,asn_instance,asn_wld_az1,2),CONCATENATE(asn_start,asn_instance,asn_mgmt_az1,2))),IF(mgmt_domain_chosen="First Instance",CONCATENATE(asn_start,asn_instance,asn_mgmt_az1,2),IF(mgmt_nsxt_federation_result="Included",CONCATENATE(asn_start,asn_instance,asn_mgmt_az1,2),CONCATENATE(asn_start,asn_instance,asn_mgmt_az1,2))))</f>
        <v>#REF!</v>
      </c>
      <c r="C75" s="27"/>
      <c r="D75" s="27"/>
      <c r="E75" s="27" t="e">
        <f>IF(cluster_wld_domain_chosen="VI Workload Domain",IF(mgmt_domain_chosen="First Instance",CONCATENATE(asn_start,asn_instance,asn_wld_az1,3),IF(wld_nsxt_federation_result="Included",CONCATENATE(asn_start,asn_instance,asn_wld_az1,3),CONCATENATE(asn_start,asn_instance,asn_mgmt_az1,3))),IF(mgmt_domain_chosen="First Instance",CONCATENATE(asn_start,asn_instance,asn_mgmt_az1,3),IF(mgmt_nsxt_federation_result="Included",CONCATENATE(asn_start,asn_instance,asn_mgmt_az1,3),CONCATENATE(asn_start,asn_instance,asn_mgmt_az1,3))))</f>
        <v>#REF!</v>
      </c>
      <c r="F75" s="27"/>
      <c r="G75" s="27"/>
      <c r="H75" s="27" t="e">
        <f>IF(cluster_wld_domain_chosen="VI Workload Domain",IF(mgmt_domain_chosen="First Instance",CONCATENATE(asn_start,asn_instance,asn_wld_az1,4),IF(wld_nsxt_federation_result="Included",CONCATENATE(asn_start,asn_instance,asn_wld_az1,4),CONCATENATE(asn_start,asn_instance,asn_mgmt_az1,4))),IF(mgmt_domain_chosen="First Instance",CONCATENATE(asn_start,asn_instance,asn_mgmt_az1,4),IF(mgmt_nsxt_federation_result="Included",CONCATENATE(asn_start,asn_instance,asn_mgmt_az1,4),CONCATENATE(asn_start,asn_instance,asn_mgmt_az1,4))))</f>
        <v>#REF!</v>
      </c>
      <c r="I75" s="27"/>
      <c r="J75" s="27"/>
      <c r="K75" s="27" t="e">
        <f>IF(cluster_wld_domain_chosen="VI Workload Domain",IF(mgmt_domain_chosen="First Instance",CONCATENATE(asn_start,asn_instance,asn_wld_az1,5),IF(wld_nsxt_federation_result="Included",CONCATENATE(asn_start,asn_instance,asn_wld_az1,5),CONCATENATE(asn_start,asn_instance,asn_mgmt_az1,5))),IF(mgmt_domain_chosen="First Instance",CONCATENATE(asn_start,asn_instance,asn_mgmt_az1,5),IF(mgmt_nsxt_federation_result="Included",CONCATENATE(asn_start,asn_instance,asn_mgmt_az1,5),CONCATENATE(asn_start,asn_instance,asn_mgmt_az1,5))))</f>
        <v>#REF!</v>
      </c>
      <c r="L75" s="27"/>
      <c r="M75" s="27"/>
      <c r="N75" s="27" t="e">
        <f>IF(cluster_wld_domain_chosen="VI Workload Domain",IF(mgmt_domain_chosen="First Instance",CONCATENATE(asn_start,asn_instance,asn_wld_az1,6),IF(wld_nsxt_federation_result="Included",CONCATENATE(asn_start,asn_instance,asn_wld_az1,6),CONCATENATE(asn_start,asn_instance,asn_mgmt_az1,6))),IF(mgmt_domain_chosen="First Instance",CONCATENATE(asn_start,asn_instance,asn_mgmt_az1,6),IF(mgmt_nsxt_federation_result="Included",CONCATENATE(asn_start,asn_instance,asn_mgmt_az1,6),CONCATENATE(asn_start,asn_instance,asn_mgmt_az1,6))))</f>
        <v>#REF!</v>
      </c>
      <c r="O75" s="27"/>
      <c r="P75" s="27"/>
      <c r="Q75" s="27" t="e">
        <f>IF(cluster_wld_domain_chosen="VI Workload Domain",IF(mgmt_domain_chosen="First Instance",CONCATENATE(asn_start,asn_instance,asn_wld_az1,7),IF(wld_nsxt_federation_result="Included",CONCATENATE(asn_start,asn_instance,asn_wld_az1,7),CONCATENATE(asn_start,asn_instance,asn_mgmt_az1,7))),IF(mgmt_domain_chosen="First Instance",CONCATENATE(asn_start,asn_instance,asn_mgmt_az1,7),IF(mgmt_nsxt_federation_result="Included",CONCATENATE(asn_start,asn_instance,asn_mgmt_az1,7),CONCATENATE(asn_start,asn_instance,asn_mgmt_az1,7))))</f>
        <v>#REF!</v>
      </c>
      <c r="R75" s="27"/>
      <c r="S75" s="27"/>
      <c r="T75" s="27" t="e">
        <f>IF(cluster_wld_domain_chosen="VI Workload Domain",IF(mgmt_domain_chosen="First Instance",CONCATENATE(asn_start,asn_instance,asn_wld_az1,8),IF(wld_nsxt_federation_result="Included",CONCATENATE(asn_start,asn_instance,asn_wld_az1,8),CONCATENATE(asn_start,asn_instance,asn_mgmt_az1,8))),IF(mgmt_domain_chosen="First Instance",CONCATENATE(asn_start,asn_instance,asn_mgmt_az1,8),IF(mgmt_nsxt_federation_result="Included",CONCATENATE(asn_start,asn_instance,asn_mgmt_az1,8),CONCATENATE(asn_start,asn_instance,asn_mgmt_az1,8))))</f>
        <v>#REF!</v>
      </c>
      <c r="U75" s="27"/>
      <c r="V75" s="27"/>
      <c r="W75" s="27"/>
      <c r="X75" s="27"/>
      <c r="Y75" s="27"/>
      <c r="Z75" s="27"/>
    </row>
    <row r="76" spans="1:26" ht="16">
      <c r="A76" s="30" t="s">
        <v>6762</v>
      </c>
      <c r="B76" s="27" t="s">
        <v>6763</v>
      </c>
      <c r="C76" s="27"/>
      <c r="D76" s="27"/>
      <c r="E76" s="27" t="s">
        <v>6763</v>
      </c>
      <c r="F76" s="27"/>
      <c r="G76" s="27"/>
      <c r="H76" s="27" t="s">
        <v>6763</v>
      </c>
      <c r="I76" s="27"/>
      <c r="J76" s="27"/>
      <c r="K76" s="27" t="s">
        <v>6763</v>
      </c>
      <c r="L76" s="27"/>
      <c r="M76" s="27"/>
      <c r="N76" s="27" t="s">
        <v>6763</v>
      </c>
      <c r="O76" s="27"/>
      <c r="P76" s="27"/>
      <c r="Q76" s="27" t="s">
        <v>6763</v>
      </c>
      <c r="R76" s="27"/>
      <c r="S76" s="27"/>
      <c r="T76" s="27" t="s">
        <v>6763</v>
      </c>
      <c r="U76" s="27"/>
      <c r="V76" s="27"/>
      <c r="W76" s="27"/>
      <c r="X76" s="27"/>
      <c r="Y76" s="27"/>
      <c r="Z76" s="27"/>
    </row>
    <row r="77" spans="1:26" ht="16">
      <c r="A77" s="30" t="s">
        <v>6764</v>
      </c>
      <c r="B77" s="27" t="e">
        <f>IF(cluster_wld_domain_chosen="VI Workload Domain",CONCATENATE(prefix_wld_az1_cidr,"29.10"),CONCATENATE(prefix_mgmt_az1_cidr,"29.10"))</f>
        <v>#REF!</v>
      </c>
      <c r="C77" s="27"/>
      <c r="D77" s="27"/>
      <c r="E77" s="27" t="e">
        <f>IF(cluster_wld_domain_chosen="VI Workload Domain",CONCATENATE(prefix_wld_az1_cidr,"40.10"),CONCATENATE(prefix_mgmt_az1_cidr,"40.10"))</f>
        <v>#REF!</v>
      </c>
      <c r="F77" s="27"/>
      <c r="G77" s="27"/>
      <c r="H77" s="27" t="e">
        <f>IF(cluster_wld_domain_chosen="VI Workload Domain",CONCATENATE(prefix_wld_az1_cidr,"51.10"),CONCATENATE(prefix_mgmt_az1_cidr,"51.10"))</f>
        <v>#REF!</v>
      </c>
      <c r="I77" s="27"/>
      <c r="J77" s="27"/>
      <c r="K77" s="27" t="e">
        <f>IF(cluster_wld_domain_chosen="VI Workload Domain",CONCATENATE(prefix_wld_az1_cidr,"62.10"),CONCATENATE(prefix_mgmt_az1_cidr,"62.10"))</f>
        <v>#REF!</v>
      </c>
      <c r="L77" s="27"/>
      <c r="M77" s="27"/>
      <c r="N77" s="27" t="e">
        <f>IF(cluster_wld_domain_chosen="VI Workload Domain",CONCATENATE(prefix_wld_az1_cidr,"73.10"),CONCATENATE(prefix_mgmt_az1_cidr,"73.10"))</f>
        <v>#REF!</v>
      </c>
      <c r="O77" s="27"/>
      <c r="P77" s="27"/>
      <c r="Q77" s="27" t="e">
        <f>IF(cluster_wld_domain_chosen="VI Workload Domain",CONCATENATE(prefix_wld_az1_cidr,"84.10"),CONCATENATE(prefix_mgmt_az1_cidr,"84.10"))</f>
        <v>#REF!</v>
      </c>
      <c r="R77" s="27"/>
      <c r="S77" s="27"/>
      <c r="T77" s="27" t="e">
        <f>IF(cluster_wld_domain_chosen="VI Workload Domain",CONCATENATE(prefix_wld_az1_cidr,"95.10"),CONCATENATE(prefix_mgmt_az1_cidr,"95.10"))</f>
        <v>#REF!</v>
      </c>
      <c r="U77" s="27"/>
      <c r="V77" s="27"/>
      <c r="W77" s="27"/>
      <c r="X77" s="27"/>
      <c r="Y77" s="27"/>
      <c r="Z77" s="27"/>
    </row>
    <row r="78" spans="1:26" ht="16">
      <c r="A78" s="30" t="s">
        <v>6765</v>
      </c>
      <c r="B78" s="27" t="e">
        <f>IF(cluster_wld_domain_chosen="VI Workload Domain",IF(mgmt_domain_chosen="First Instance",CONCATENATE(asn_start,asn_instance,asn_wld_az1,2),IF(wld_nsxt_federation_result="Included",CONCATENATE(asn_start,asn_instance,asn_wld_az1,2),CONCATENATE(asn_start,asn_instance,asn_mgmt_az1,2))),IF(mgmt_domain_chosen="First Instance",CONCATENATE(asn_start,asn_instance,asn_mgmt_az1,2),IF(mgmt_nsxt_federation_result="Included",CONCATENATE(asn_start,asn_instance,asn_mgmt_az1,2),CONCATENATE(asn_start,asn_instance,asn_mgmt_az1,2))))</f>
        <v>#REF!</v>
      </c>
      <c r="C78" s="27"/>
      <c r="D78" s="27"/>
      <c r="E78" s="27" t="e">
        <f>IF(cluster_wld_domain_chosen="VI Workload Domain",IF(mgmt_domain_chosen="First Instance",CONCATENATE(asn_start,asn_instance,asn_wld_az1,3),IF(wld_nsxt_federation_result="Included",CONCATENATE(asn_start,asn_instance,asn_wld_az1,3),CONCATENATE(asn_start,asn_instance,asn_mgmt_az1,3))),IF(mgmt_domain_chosen="First Instance",CONCATENATE(asn_start,asn_instance,asn_mgmt_az1,3),IF(mgmt_nsxt_federation_result="Included",CONCATENATE(asn_start,asn_instance,asn_mgmt_az1,3),CONCATENATE(asn_start,asn_instance,asn_mgmt_az1,3))))</f>
        <v>#REF!</v>
      </c>
      <c r="F78" s="27"/>
      <c r="G78" s="27"/>
      <c r="H78" s="27" t="e">
        <f>IF(cluster_wld_domain_chosen="VI Workload Domain",IF(mgmt_domain_chosen="First Instance",CONCATENATE(asn_start,asn_instance,asn_wld_az1,4),IF(wld_nsxt_federation_result="Included",CONCATENATE(asn_start,asn_instance,asn_wld_az1,4),CONCATENATE(asn_start,asn_instance,asn_mgmt_az1,4))),IF(mgmt_domain_chosen="First Instance",CONCATENATE(asn_start,asn_instance,asn_mgmt_az1,4),IF(mgmt_nsxt_federation_result="Included",CONCATENATE(asn_start,asn_instance,asn_mgmt_az1,4),CONCATENATE(asn_start,asn_instance,asn_mgmt_az1,4))))</f>
        <v>#REF!</v>
      </c>
      <c r="I78" s="27"/>
      <c r="J78" s="27"/>
      <c r="K78" s="27" t="e">
        <f>IF(cluster_wld_domain_chosen="VI Workload Domain",IF(mgmt_domain_chosen="First Instance",CONCATENATE(asn_start,asn_instance,asn_wld_az1,5),IF(wld_nsxt_federation_result="Included",CONCATENATE(asn_start,asn_instance,asn_wld_az1,5),CONCATENATE(asn_start,asn_instance,asn_mgmt_az1,5))),IF(mgmt_domain_chosen="First Instance",CONCATENATE(asn_start,asn_instance,asn_mgmt_az1,5),IF(mgmt_nsxt_federation_result="Included",CONCATENATE(asn_start,asn_instance,asn_mgmt_az1,5),CONCATENATE(asn_start,asn_instance,asn_mgmt_az1,5))))</f>
        <v>#REF!</v>
      </c>
      <c r="L78" s="27"/>
      <c r="M78" s="27"/>
      <c r="N78" s="27" t="e">
        <f>IF(cluster_wld_domain_chosen="VI Workload Domain",IF(mgmt_domain_chosen="First Instance",CONCATENATE(asn_start,asn_instance,asn_wld_az1,6),IF(wld_nsxt_federation_result="Included",CONCATENATE(asn_start,asn_instance,asn_wld_az1,6),CONCATENATE(asn_start,asn_instance,asn_mgmt_az1,6))),IF(mgmt_domain_chosen="First Instance",CONCATENATE(asn_start,asn_instance,asn_mgmt_az1,6),IF(mgmt_nsxt_federation_result="Included",CONCATENATE(asn_start,asn_instance,asn_mgmt_az1,6),CONCATENATE(asn_start,asn_instance,asn_mgmt_az1,6))))</f>
        <v>#REF!</v>
      </c>
      <c r="O78" s="27"/>
      <c r="P78" s="27"/>
      <c r="Q78" s="27" t="e">
        <f>IF(cluster_wld_domain_chosen="VI Workload Domain",IF(mgmt_domain_chosen="First Instance",CONCATENATE(asn_start,asn_instance,asn_wld_az1,7),IF(wld_nsxt_federation_result="Included",CONCATENATE(asn_start,asn_instance,asn_wld_az1,7),CONCATENATE(asn_start,asn_instance,asn_mgmt_az1,7))),IF(mgmt_domain_chosen="First Instance",CONCATENATE(asn_start,asn_instance,asn_mgmt_az1,7),IF(mgmt_nsxt_federation_result="Included",CONCATENATE(asn_start,asn_instance,asn_mgmt_az1,7),CONCATENATE(asn_start,asn_instance,asn_mgmt_az1,7))))</f>
        <v>#REF!</v>
      </c>
      <c r="R78" s="27"/>
      <c r="S78" s="27"/>
      <c r="T78" s="27" t="e">
        <f>IF(cluster_wld_domain_chosen="VI Workload Domain",IF(mgmt_domain_chosen="First Instance",CONCATENATE(asn_start,asn_instance,asn_wld_az1,8),IF(wld_nsxt_federation_result="Included",CONCATENATE(asn_start,asn_instance,asn_wld_az1,8),CONCATENATE(asn_start,asn_instance,asn_mgmt_az1,8))),IF(mgmt_domain_chosen="First Instance",CONCATENATE(asn_start,asn_instance,asn_mgmt_az1,8),IF(mgmt_nsxt_federation_result="Included",CONCATENATE(asn_start,asn_instance,asn_mgmt_az1,8),CONCATENATE(asn_start,asn_instance,asn_mgmt_az1,8))))</f>
        <v>#REF!</v>
      </c>
      <c r="U78" s="27"/>
      <c r="V78" s="27"/>
      <c r="W78" s="27"/>
      <c r="X78" s="27"/>
      <c r="Y78" s="27"/>
      <c r="Z78" s="27"/>
    </row>
    <row r="79" spans="1:26" ht="16">
      <c r="A79" s="30" t="s">
        <v>6766</v>
      </c>
      <c r="B79" s="27" t="s">
        <v>6763</v>
      </c>
      <c r="C79" s="27"/>
      <c r="D79" s="27"/>
      <c r="E79" s="27" t="s">
        <v>6763</v>
      </c>
      <c r="F79" s="27"/>
      <c r="G79" s="27"/>
      <c r="H79" s="27" t="s">
        <v>6763</v>
      </c>
      <c r="I79" s="27"/>
      <c r="J79" s="27"/>
      <c r="K79" s="27" t="s">
        <v>6763</v>
      </c>
      <c r="L79" s="27"/>
      <c r="M79" s="27"/>
      <c r="N79" s="27" t="s">
        <v>6763</v>
      </c>
      <c r="O79" s="27"/>
      <c r="P79" s="27"/>
      <c r="Q79" s="27" t="s">
        <v>6763</v>
      </c>
      <c r="R79" s="27"/>
      <c r="S79" s="27"/>
      <c r="T79" s="27" t="s">
        <v>6763</v>
      </c>
      <c r="U79" s="27"/>
      <c r="V79" s="27"/>
      <c r="W79" s="27"/>
      <c r="X79" s="27"/>
      <c r="Y79" s="27"/>
      <c r="Z79" s="27"/>
    </row>
    <row r="80" spans="1:26" ht="16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6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6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6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6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6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6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6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6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6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6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6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6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6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6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6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6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6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6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6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6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6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6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6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6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6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6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6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6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6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6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6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6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6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6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6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6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6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6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6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6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6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6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6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6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6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6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6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6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6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6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6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6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6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6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6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6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6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6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6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6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6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6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6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6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6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6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6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6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6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6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6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6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6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6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6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6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6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6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6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6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6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6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6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6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6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6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6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6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6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6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6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6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6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6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6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6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6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6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6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6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6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6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6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6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6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6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6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6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6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6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6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6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6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6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6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6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6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6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6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6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6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6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6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6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6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6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6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6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6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6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6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6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6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6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6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6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6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6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6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6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6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6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6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6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6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6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6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6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6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6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6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6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6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6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6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6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6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6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6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6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6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6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6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6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6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6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6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6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6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6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6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6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6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6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6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6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6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6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6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6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6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6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6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6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6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6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6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6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6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6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6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6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6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6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6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6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6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6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6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6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6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6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6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6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6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6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6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6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6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6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6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6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6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6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6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6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6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6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6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6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6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6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6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6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6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6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6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6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6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6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6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6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6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6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6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6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6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6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6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6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6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6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6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6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6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6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6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6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6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6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6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6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6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6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6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6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6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6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6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6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6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6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6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6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6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6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6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6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6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6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6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6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6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6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6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6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6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6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6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6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6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6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6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6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6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6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6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6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6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6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6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6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6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6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6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6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6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6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6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6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6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6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6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6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6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6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6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6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6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6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6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6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6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6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6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6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6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6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6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6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6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6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6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6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6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6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6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6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6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6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6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6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6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6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6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6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6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6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6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6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6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6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6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6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6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6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6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6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6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6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6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6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6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6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6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6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6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6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6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6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6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6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6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6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6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6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6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6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6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6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6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6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6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6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6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6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6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6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6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6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6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6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6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6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6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6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6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6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6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6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6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6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6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6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6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6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6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6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6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6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6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6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6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6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6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6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6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6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6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6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6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6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6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6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6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6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6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6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6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6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6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6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6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6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6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6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6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6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6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6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6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6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6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6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6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6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6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6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6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6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6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6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6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6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6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6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6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6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6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6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6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6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6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6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6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6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6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6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6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6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6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6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6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6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6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6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6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6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6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6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6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6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6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6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6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6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6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6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6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6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6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6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6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6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6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6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6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6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6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6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6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6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6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6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6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6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6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6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6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6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6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6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6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6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6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6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6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6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6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6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6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6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6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6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6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6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6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6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6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6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6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6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6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6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6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6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6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6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6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6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6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6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6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6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6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6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6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6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6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6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6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6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6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6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6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6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6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6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6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6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6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6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6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6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6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6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6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6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6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6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6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6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6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6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6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6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6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6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6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6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6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6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6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6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6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6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6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6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6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6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6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6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6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6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6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6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6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6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6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6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6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6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6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6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6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6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6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6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6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6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6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6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6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6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6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6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6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6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6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6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6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6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6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6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6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6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6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6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6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6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6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6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6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6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6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6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6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6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6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6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6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6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6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6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6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6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6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6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6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6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6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6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6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6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6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6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6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6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6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6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6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6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6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6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6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6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6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6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6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6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6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6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6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6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6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6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6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6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6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6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6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6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6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6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6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6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6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6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6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6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6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6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6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6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6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6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6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6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6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6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6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6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6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6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6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6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6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6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6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6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6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6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6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6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6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6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6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6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6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6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6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6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6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6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6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6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6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6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6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6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6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6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6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6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6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6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6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6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6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6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6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6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6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6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6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6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6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6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6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6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6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6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6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6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6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6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6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6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6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6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6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6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6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6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6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6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6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6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6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6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6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6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6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6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6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6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6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6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6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6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6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6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6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6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6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6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6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6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6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6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6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6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6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6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6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6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6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6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6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6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6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6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6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6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6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6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6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6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6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6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6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6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6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6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6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6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6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6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6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6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6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6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6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6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6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6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6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6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6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6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6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6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6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6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6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6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6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6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7">
    <mergeCell ref="W32:Z32"/>
    <mergeCell ref="W40:Z40"/>
    <mergeCell ref="W3:Z3"/>
    <mergeCell ref="W4:Z4"/>
    <mergeCell ref="W9:Z9"/>
    <mergeCell ref="W13:Z13"/>
    <mergeCell ref="W25:Z25"/>
  </mergeCells>
  <conditionalFormatting sqref="A20">
    <cfRule type="expression" dxfId="424" priority="1">
      <formula>AND((VRLI_Result="Excluded"),(VROPS_Result="Excluded"),(VRA_Result="Excluded"))</formula>
    </cfRule>
  </conditionalFormatting>
  <conditionalFormatting sqref="A13:C14 A18:C19">
    <cfRule type="expression" dxfId="423" priority="2">
      <formula>vrslcm_result="Excluded"</formula>
    </cfRule>
  </conditionalFormatting>
  <conditionalFormatting sqref="A15:C15">
    <cfRule type="expression" dxfId="422" priority="3" stopIfTrue="1">
      <formula>iam_result="Excluded"</formula>
    </cfRule>
  </conditionalFormatting>
  <conditionalFormatting sqref="A16:C17">
    <cfRule type="expression" dxfId="421" priority="4">
      <formula>AND((iam_result="Excluded"),(intelligent_operations_result="Excluded"),(intelligent_logging_result="Excluded"),(private_cloud_result="Excluded"))</formula>
    </cfRule>
  </conditionalFormatting>
  <conditionalFormatting sqref="C11:C14">
    <cfRule type="notContainsBlanks" dxfId="420" priority="5">
      <formula>LEN(TRIM(C11))&gt;0</formula>
    </cfRule>
  </conditionalFormatting>
  <conditionalFormatting sqref="C11:C18">
    <cfRule type="containsBlanks" dxfId="419" priority="6">
      <formula>LEN(TRIM(C11))=0</formula>
    </cfRule>
  </conditionalFormatting>
  <conditionalFormatting sqref="X44:X53">
    <cfRule type="expression" dxfId="418" priority="8">
      <formula>OR((private_cloud_result="Excluded"),(private_cloud_chosen="Connect Instance"))</formula>
    </cfRule>
  </conditionalFormatting>
  <conditionalFormatting sqref="X55:X56">
    <cfRule type="expression" dxfId="417" priority="9">
      <formula>OR((private_cloud_result="Excluded"),(private_cloud_chosen="Connect Instance"))</formula>
    </cfRule>
  </conditionalFormatting>
  <conditionalFormatting sqref="Y5">
    <cfRule type="notContainsBlanks" dxfId="416" priority="10">
      <formula>LEN(TRIM(Y5))&gt;0</formula>
    </cfRule>
    <cfRule type="containsBlanks" dxfId="415" priority="11">
      <formula>LEN(TRIM(Y5))=0</formula>
    </cfRule>
  </conditionalFormatting>
  <conditionalFormatting sqref="Y6:Y7">
    <cfRule type="containsBlanks" dxfId="414" priority="12">
      <formula>LEN(TRIM(Y6))=0</formula>
    </cfRule>
    <cfRule type="notContainsBlanks" dxfId="413" priority="13">
      <formula>LEN(TRIM(Y6))&gt;0</formula>
    </cfRule>
  </conditionalFormatting>
  <conditionalFormatting sqref="Y10">
    <cfRule type="notContainsBlanks" dxfId="412" priority="14">
      <formula>LEN(TRIM(Y10))&gt;0</formula>
    </cfRule>
    <cfRule type="containsBlanks" dxfId="411" priority="15">
      <formula>LEN(TRIM(Y10))=0</formula>
    </cfRule>
  </conditionalFormatting>
  <conditionalFormatting sqref="Y14:Y23">
    <cfRule type="containsBlanks" dxfId="410" priority="16">
      <formula>LEN(TRIM(Y14))=0</formula>
    </cfRule>
    <cfRule type="notContainsBlanks" dxfId="409" priority="17">
      <formula>LEN(TRIM(Y14))&gt;0</formula>
    </cfRule>
  </conditionalFormatting>
  <conditionalFormatting sqref="Y14:Y24 Y26:Y31 Y33:Y39">
    <cfRule type="expression" dxfId="408" priority="18">
      <formula>vcf_automation_type="Import"</formula>
    </cfRule>
  </conditionalFormatting>
  <conditionalFormatting sqref="Y24 Y26:Y31 Y33:Y39">
    <cfRule type="containsBlanks" dxfId="407" priority="19">
      <formula>LEN(TRIM(Y24))=0</formula>
    </cfRule>
    <cfRule type="notContainsBlanks" dxfId="406" priority="20">
      <formula>LEN(TRIM(Y24))&gt;0</formula>
    </cfRule>
  </conditionalFormatting>
  <conditionalFormatting sqref="Y41:Y62">
    <cfRule type="containsBlanks" dxfId="405" priority="21">
      <formula>LEN(TRIM(Y41))=0</formula>
    </cfRule>
    <cfRule type="notContainsBlanks" dxfId="404" priority="22">
      <formula>LEN(TRIM(Y41))&gt;0</formula>
    </cfRule>
  </conditionalFormatting>
  <conditionalFormatting sqref="Y49:Y62">
    <cfRule type="expression" dxfId="403" priority="23">
      <formula>vcf_automation_type="Import"</formula>
    </cfRule>
  </conditionalFormatting>
  <dataValidations count="7">
    <dataValidation type="list" allowBlank="1" showErrorMessage="1" sqref="Y36" xr:uid="{00000000-0002-0000-0800-000000000000}">
      <formula1>"Use NTP Server,Use Host Time"</formula1>
    </dataValidation>
    <dataValidation type="list" allowBlank="1" showErrorMessage="1" sqref="Y52:Y53" xr:uid="{00000000-0002-0000-0800-000001000000}">
      <formula1>"Internal Load Balancer,Others"</formula1>
    </dataValidation>
    <dataValidation type="list" allowBlank="1" showErrorMessage="1" sqref="Y14" xr:uid="{00000000-0002-0000-0800-000002000000}">
      <formula1>"Generate Certificate,Import Certificate"</formula1>
    </dataValidation>
    <dataValidation type="list" allowBlank="1" showErrorMessage="1" sqref="Y10" xr:uid="{00000000-0002-0000-0800-000003000000}">
      <formula1>"Selected,Unselected"</formula1>
    </dataValidation>
    <dataValidation type="list" allowBlank="1" showErrorMessage="1" sqref="Y39 C65:C67 F65:F67 I65:I67 L65:L67 O65:O67 R65:R67 U65:U67" xr:uid="{00000000-0002-0000-0800-000004000000}">
      <formula1>table_masks</formula1>
    </dataValidation>
    <dataValidation type="list" allowBlank="1" showErrorMessage="1" sqref="Y55" xr:uid="{00000000-0002-0000-0800-000005000000}">
      <formula1>"198.18.0.0/15,240.0.0.0/15,250.0.0.0/15"</formula1>
    </dataValidation>
    <dataValidation type="list" allowBlank="1" showErrorMessage="1" sqref="Y23" xr:uid="{00000000-0002-0000-0800-000006000000}">
      <formula1>"2048,4096"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000"/>
  <sheetViews>
    <sheetView showGridLines="0" workbookViewId="0"/>
  </sheetViews>
  <sheetFormatPr baseColWidth="10" defaultColWidth="12.6640625" defaultRowHeight="13"/>
  <cols>
    <col min="1" max="1" width="3.1640625" customWidth="1"/>
    <col min="2" max="2" width="81.1640625" customWidth="1"/>
    <col min="3" max="3" width="38" customWidth="1"/>
    <col min="4" max="4" width="3.1640625" customWidth="1"/>
    <col min="5" max="5" width="62.6640625" customWidth="1"/>
    <col min="6" max="6" width="45" customWidth="1"/>
    <col min="7" max="7" width="3.1640625" customWidth="1"/>
    <col min="8" max="8" width="62.6640625" customWidth="1"/>
    <col min="9" max="9" width="45.83203125" customWidth="1"/>
    <col min="10" max="10" width="3.1640625" customWidth="1"/>
    <col min="11" max="11" width="61.5" customWidth="1"/>
    <col min="12" max="12" width="55.83203125" customWidth="1"/>
    <col min="13" max="13" width="3.1640625" customWidth="1"/>
    <col min="14" max="14" width="61.5" customWidth="1"/>
    <col min="15" max="15" width="55.83203125" customWidth="1"/>
    <col min="16" max="16" width="4.83203125" customWidth="1"/>
    <col min="17" max="17" width="61.5" customWidth="1"/>
    <col min="18" max="18" width="55.83203125" customWidth="1"/>
    <col min="19" max="19" width="4.5" customWidth="1"/>
    <col min="20" max="20" width="61.5" customWidth="1"/>
    <col min="21" max="21" width="55.83203125" customWidth="1"/>
    <col min="22" max="22" width="3.83203125" customWidth="1"/>
    <col min="23" max="23" width="61.5" customWidth="1"/>
    <col min="24" max="24" width="55.83203125" customWidth="1"/>
    <col min="25" max="25" width="3" customWidth="1"/>
    <col min="26" max="26" width="61.5" customWidth="1"/>
    <col min="27" max="27" width="55.83203125" customWidth="1"/>
    <col min="28" max="28" width="3.1640625" customWidth="1"/>
    <col min="29" max="29" width="61.5" customWidth="1"/>
    <col min="30" max="30" width="55.83203125" customWidth="1"/>
    <col min="31" max="31" width="3.1640625" customWidth="1"/>
    <col min="32" max="32" width="2.6640625" customWidth="1"/>
    <col min="33" max="33" width="58.1640625" customWidth="1"/>
    <col min="34" max="34" width="57.1640625" customWidth="1"/>
    <col min="35" max="35" width="45.83203125" customWidth="1"/>
    <col min="36" max="37" width="3.1640625" customWidth="1"/>
  </cols>
  <sheetData>
    <row r="1" spans="1:37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54" customHeight="1">
      <c r="A2" s="7"/>
      <c r="B2" s="7"/>
      <c r="C2" s="7"/>
      <c r="D2" s="7"/>
      <c r="E2" s="204" t="s">
        <v>6767</v>
      </c>
      <c r="F2" s="177"/>
      <c r="G2" s="177"/>
      <c r="H2" s="177"/>
      <c r="I2" s="177"/>
      <c r="J2" s="177"/>
      <c r="K2" s="177"/>
      <c r="L2" s="177"/>
      <c r="M2" s="178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ht="19.5" customHeight="1">
      <c r="A3" s="7"/>
      <c r="B3" s="7"/>
      <c r="C3" s="7"/>
      <c r="D3" s="7"/>
      <c r="E3" s="179" t="s">
        <v>6768</v>
      </c>
      <c r="F3" s="177"/>
      <c r="G3" s="177"/>
      <c r="H3" s="177"/>
      <c r="I3" s="177"/>
      <c r="J3" s="177"/>
      <c r="K3" s="177"/>
      <c r="L3" s="177"/>
      <c r="M3" s="17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 ht="19.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ht="19.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ht="19.5" customHeight="1">
      <c r="A6" s="7"/>
      <c r="B6" s="205" t="s">
        <v>6769</v>
      </c>
      <c r="C6" s="200"/>
      <c r="D6" s="7"/>
      <c r="E6" s="205" t="s">
        <v>6770</v>
      </c>
      <c r="F6" s="200"/>
      <c r="G6" s="7"/>
      <c r="H6" s="47" t="s">
        <v>6771</v>
      </c>
      <c r="I6" s="48"/>
      <c r="J6" s="7"/>
      <c r="K6" s="47" t="s">
        <v>6772</v>
      </c>
      <c r="L6" s="48"/>
      <c r="M6" s="7"/>
      <c r="N6" s="47" t="s">
        <v>6773</v>
      </c>
      <c r="O6" s="48"/>
      <c r="P6" s="7"/>
      <c r="Q6" s="49" t="s">
        <v>6774</v>
      </c>
      <c r="R6" s="50"/>
      <c r="S6" s="7"/>
      <c r="T6" s="49" t="s">
        <v>6775</v>
      </c>
      <c r="U6" s="50"/>
      <c r="V6" s="7"/>
      <c r="W6" s="49" t="s">
        <v>6776</v>
      </c>
      <c r="X6" s="50"/>
      <c r="Y6" s="7"/>
      <c r="Z6" s="49" t="s">
        <v>6777</v>
      </c>
      <c r="AA6" s="50"/>
      <c r="AB6" s="51"/>
      <c r="AC6" s="49" t="s">
        <v>6778</v>
      </c>
      <c r="AD6" s="50"/>
      <c r="AE6" s="7"/>
      <c r="AF6" s="7"/>
      <c r="AG6" s="206" t="s">
        <v>6779</v>
      </c>
      <c r="AH6" s="181"/>
      <c r="AI6" s="7"/>
      <c r="AJ6" s="7"/>
      <c r="AK6" s="7"/>
    </row>
    <row r="7" spans="1:37" ht="19.5" customHeight="1">
      <c r="A7" s="7"/>
      <c r="B7" s="52" t="s">
        <v>6780</v>
      </c>
      <c r="C7" s="52" t="s">
        <v>6291</v>
      </c>
      <c r="D7" s="7"/>
      <c r="E7" s="52" t="s">
        <v>6780</v>
      </c>
      <c r="F7" s="52" t="s">
        <v>6781</v>
      </c>
      <c r="G7" s="7"/>
      <c r="H7" s="52" t="s">
        <v>6780</v>
      </c>
      <c r="I7" s="52" t="s">
        <v>6781</v>
      </c>
      <c r="J7" s="7"/>
      <c r="K7" s="52" t="s">
        <v>6780</v>
      </c>
      <c r="L7" s="52" t="s">
        <v>6781</v>
      </c>
      <c r="M7" s="7"/>
      <c r="N7" s="52" t="s">
        <v>6780</v>
      </c>
      <c r="O7" s="52" t="s">
        <v>6781</v>
      </c>
      <c r="P7" s="7"/>
      <c r="Q7" s="52" t="s">
        <v>6780</v>
      </c>
      <c r="R7" s="52" t="s">
        <v>6781</v>
      </c>
      <c r="S7" s="53"/>
      <c r="T7" s="52" t="s">
        <v>6780</v>
      </c>
      <c r="U7" s="52" t="s">
        <v>6781</v>
      </c>
      <c r="V7" s="53"/>
      <c r="W7" s="52" t="s">
        <v>6780</v>
      </c>
      <c r="X7" s="52" t="s">
        <v>6781</v>
      </c>
      <c r="Y7" s="53"/>
      <c r="Z7" s="52" t="s">
        <v>6780</v>
      </c>
      <c r="AA7" s="52" t="s">
        <v>6781</v>
      </c>
      <c r="AB7" s="53"/>
      <c r="AC7" s="52" t="s">
        <v>6780</v>
      </c>
      <c r="AD7" s="52" t="s">
        <v>6781</v>
      </c>
      <c r="AE7" s="7"/>
      <c r="AF7" s="7"/>
      <c r="AG7" s="54" t="s">
        <v>6782</v>
      </c>
      <c r="AH7" s="13" t="e">
        <f>IF(AND(this_instance="sfo",wld_domain_number_chosen=1),13,IF(AND(this_instance="sfo",wld_domain_number_chosen=2),15,IF(AND(this_instance="sfo",wld_domain_number_chosen=3),17,IF(AND(this_instance="lax",wld_domain_number_chosen=1),23,IF(AND(this_instance="lax",wld_domain_number_chosen=2),25,IF(AND(this_instance="lax",wld_domain_number_chosen=3),27))))))</f>
        <v>#REF!</v>
      </c>
      <c r="AI7" s="7"/>
      <c r="AJ7" s="7"/>
      <c r="AK7" s="7"/>
    </row>
    <row r="8" spans="1:37" ht="19.5" customHeight="1">
      <c r="A8" s="7"/>
      <c r="B8" s="30" t="s">
        <v>6783</v>
      </c>
      <c r="C8" s="13" t="e">
        <f>mgmt_offline_depot_chosen</f>
        <v>#REF!</v>
      </c>
      <c r="D8" s="7"/>
      <c r="E8" s="30" t="s">
        <v>6784</v>
      </c>
      <c r="F8" s="13" t="e">
        <v>#REF!</v>
      </c>
      <c r="G8" s="7"/>
      <c r="H8" s="30" t="s">
        <v>6784</v>
      </c>
      <c r="I8" s="13" t="e">
        <f>IF(ISBLANK(input_wld_az1_mgmt_vm_vlan),"Value Missing",input_wld_az1_mgmt_vm_vlan)</f>
        <v>#REF!</v>
      </c>
      <c r="J8" s="7"/>
      <c r="K8" s="30" t="s">
        <v>6784</v>
      </c>
      <c r="L8" s="13" t="str">
        <f>IF(ISBLANK(input_wld_az1_rack2_mgmt_vm_vlan),"Value Missing",input_wld_az1_rack2_mgmt_vm_vlan)</f>
        <v>Value Missing</v>
      </c>
      <c r="M8" s="7"/>
      <c r="N8" s="30" t="s">
        <v>6784</v>
      </c>
      <c r="O8" s="13" t="str">
        <f>IF(ISBLANK(input_wld_az1_rack3_mgmt_vm_vlan),"Value Missing",input_wld_az1_rack3_mgmt_vm_vlan)</f>
        <v>Value Missing</v>
      </c>
      <c r="P8" s="7"/>
      <c r="Q8" s="30" t="s">
        <v>6784</v>
      </c>
      <c r="R8" s="13" t="str">
        <f>IF(ISBLANK(input_wld_az1_rack4_mgmt_vm_vlan),"Value Missing",input_wld_az1_rack4_mgmt_vm_vlan)</f>
        <v>Value Missing</v>
      </c>
      <c r="S8" s="7"/>
      <c r="T8" s="30" t="s">
        <v>6784</v>
      </c>
      <c r="U8" s="13" t="str">
        <f>IF(ISBLANK(input_wld_az1_rack5_mgmt_vm_vlan),"Value Missing",input_wld_az1_rack5_mgmt_vm_vlan)</f>
        <v>Value Missing</v>
      </c>
      <c r="V8" s="7"/>
      <c r="W8" s="30" t="s">
        <v>6784</v>
      </c>
      <c r="X8" s="13" t="str">
        <f>IF(ISBLANK(input_wld_az1_rack6_mgmt_vm_vlan),"Value Missing",input_wld_az1_rack6_mgmt_vm_vlan)</f>
        <v>Value Missing</v>
      </c>
      <c r="Y8" s="7"/>
      <c r="Z8" s="30" t="s">
        <v>6784</v>
      </c>
      <c r="AA8" s="13" t="str">
        <f>IF(ISBLANK(input_wld_az1_rack7_mgmt_vm_vlan),"Value Missing",input_wld_az1_rack7_mgmt_vm_vlan)</f>
        <v>Value Missing</v>
      </c>
      <c r="AB8" s="7"/>
      <c r="AC8" s="30" t="s">
        <v>6784</v>
      </c>
      <c r="AD8" s="13" t="str">
        <f>IF(ISBLANK(input_wld_az1_rack8_mgmt_vm_vlan),"Value Missing",input_wld_az1_rack8_mgmt_vm_vlan)</f>
        <v>Value Missing</v>
      </c>
      <c r="AE8" s="7"/>
      <c r="AF8" s="7"/>
      <c r="AG8" s="54" t="s">
        <v>6785</v>
      </c>
      <c r="AH8" s="13" t="e">
        <f>IF(AND(this_instance="sfo",wld_domain_number_chosen=1),14,IF(AND(this_instance="sfo",wld_domain_number_chosen=2),16,IF(AND(this_instance="sfo",wld_domain_number_chosen=3),18,IF(AND(this_instance="lax",wld_domain_number_chosen=1),24,IF(AND(this_instance="lax",wld_domain_number_chosen=2),26,IF(AND(this_instance="lax",wld_domain_number_chosen=3),28))))))</f>
        <v>#REF!</v>
      </c>
      <c r="AI8" s="7"/>
      <c r="AJ8" s="7"/>
      <c r="AK8" s="7"/>
    </row>
    <row r="9" spans="1:37" ht="19.5" customHeight="1">
      <c r="A9" s="7"/>
      <c r="B9" s="30" t="s">
        <v>6786</v>
      </c>
      <c r="C9" s="13" t="e">
        <f>mgmt_offline_depot_fqdn</f>
        <v>#REF!</v>
      </c>
      <c r="D9" s="7"/>
      <c r="E9" s="30" t="s">
        <v>6787</v>
      </c>
      <c r="F9" s="13" t="e">
        <f>IF(ISBLANK(input_mgmt_az1_mgmt_vlan),"Value Missing",input_mgmt_az1_mgmt_vlan)</f>
        <v>#REF!</v>
      </c>
      <c r="G9" s="7"/>
      <c r="H9" s="30" t="s">
        <v>6787</v>
      </c>
      <c r="I9" s="13" t="e">
        <f>IF(ISBLANK(input_wld_az1_mgmt_vlan),"Value Missing",input_wld_az1_mgmt_vlan)</f>
        <v>#REF!</v>
      </c>
      <c r="J9" s="7"/>
      <c r="K9" s="30" t="s">
        <v>6787</v>
      </c>
      <c r="L9" s="13" t="e">
        <f>IF(ISBLANK(input_wld_az1_rack2_mgmt_vlan),"Value Missing",input_wld_az1_rack2_mgmt_vlan)</f>
        <v>#REF!</v>
      </c>
      <c r="M9" s="7"/>
      <c r="N9" s="30" t="s">
        <v>6787</v>
      </c>
      <c r="O9" s="13" t="e">
        <f>IF(ISBLANK(input_wld_az1_rack3_mgmt_vlan),"Value Missing",input_wld_az1_rack3_mgmt_vlan)</f>
        <v>#REF!</v>
      </c>
      <c r="P9" s="7"/>
      <c r="Q9" s="30" t="s">
        <v>6787</v>
      </c>
      <c r="R9" s="13" t="e">
        <f>IF(ISBLANK(input_wld_az1_rack4_mgmt_vlan),"Value Missing",input_wld_az1_rack4_mgmt_vlan)</f>
        <v>#REF!</v>
      </c>
      <c r="S9" s="7"/>
      <c r="T9" s="30" t="s">
        <v>6787</v>
      </c>
      <c r="U9" s="13" t="e">
        <f>IF(ISBLANK(input_wld_az1_rack5_mgmt_vlan),"Value Missing",input_wld_az1_rack5_mgmt_vlan)</f>
        <v>#REF!</v>
      </c>
      <c r="V9" s="7"/>
      <c r="W9" s="30" t="s">
        <v>6787</v>
      </c>
      <c r="X9" s="13" t="e">
        <f>IF(ISBLANK(input_wld_az1_rack6_mgmt_vlan),"Value Missing",input_wld_az1_rack6_mgmt_vlan)</f>
        <v>#REF!</v>
      </c>
      <c r="Y9" s="7"/>
      <c r="Z9" s="30" t="s">
        <v>6787</v>
      </c>
      <c r="AA9" s="13" t="e">
        <f>IF(ISBLANK(input_wld_az1_rack7_mgmt_vlan),"Value Missing",input_wld_az1_rack7_mgmt_vlan)</f>
        <v>#REF!</v>
      </c>
      <c r="AB9" s="7"/>
      <c r="AC9" s="30" t="s">
        <v>6787</v>
      </c>
      <c r="AD9" s="13" t="e">
        <f>IF(ISBLANK(input_wld_az1_rack8_mgmt_vlan),"Value Missing",input_wld_az1_rack8_mgmt_vlan)</f>
        <v>#REF!</v>
      </c>
      <c r="AE9" s="7"/>
      <c r="AF9" s="7"/>
      <c r="AG9" s="54" t="s">
        <v>6788</v>
      </c>
      <c r="AH9" s="13" t="e">
        <f>CONCATENATE("10.",prefix_wld_az1_rack_vlan,".")</f>
        <v>#REF!</v>
      </c>
      <c r="AI9" s="7"/>
      <c r="AJ9" s="7"/>
      <c r="AK9" s="7"/>
    </row>
    <row r="10" spans="1:37" ht="19.5" customHeight="1">
      <c r="A10" s="7"/>
      <c r="B10" s="30" t="s">
        <v>6789</v>
      </c>
      <c r="C10" s="13" t="e">
        <f>mgmt_offline_depot_port</f>
        <v>#REF!</v>
      </c>
      <c r="D10" s="7"/>
      <c r="E10" s="30" t="s">
        <v>6790</v>
      </c>
      <c r="F10" s="13" t="e">
        <f>IF(ISBLANK(input_mgmt_az1_vmotion_vlan),"Value Missing",input_mgmt_az1_vmotion_vlan)</f>
        <v>#REF!</v>
      </c>
      <c r="G10" s="7"/>
      <c r="H10" s="30" t="s">
        <v>6790</v>
      </c>
      <c r="I10" s="13" t="e">
        <f>IF(ISBLANK(input_wld_az1_vmotion_vlan),"Value Missing",input_wld_az1_vmotion_vlan)</f>
        <v>#REF!</v>
      </c>
      <c r="J10" s="7"/>
      <c r="K10" s="30" t="s">
        <v>6790</v>
      </c>
      <c r="L10" s="13" t="e">
        <f>IF(ISBLANK(input_wld_az1_rack2_vmotion_vlan),"Value Missing",input_wld_az1_rack2_vmotion_vlan)</f>
        <v>#REF!</v>
      </c>
      <c r="M10" s="7"/>
      <c r="N10" s="30" t="s">
        <v>6790</v>
      </c>
      <c r="O10" s="13" t="e">
        <f>IF(ISBLANK(input_wld_az1_rack3_vmotion_vlan),"Value Missing",input_wld_az1_rack3_vmotion_vlan)</f>
        <v>#REF!</v>
      </c>
      <c r="P10" s="7"/>
      <c r="Q10" s="30" t="s">
        <v>6790</v>
      </c>
      <c r="R10" s="13" t="e">
        <f>IF(ISBLANK(input_wld_az1_rack4_vmotion_vlan),"Value Missing",input_wld_az1_rack4_vmotion_vlan)</f>
        <v>#REF!</v>
      </c>
      <c r="S10" s="7"/>
      <c r="T10" s="30" t="s">
        <v>6790</v>
      </c>
      <c r="U10" s="13" t="e">
        <f>IF(ISBLANK(input_wld_az1_rack5_vmotion_vlan),"Value Missing",input_wld_az1_rack5_vmotion_vlan)</f>
        <v>#REF!</v>
      </c>
      <c r="V10" s="7"/>
      <c r="W10" s="30" t="s">
        <v>6790</v>
      </c>
      <c r="X10" s="13" t="e">
        <f>IF(ISBLANK(input_wld_az1_rack6_vmotion_vlan),"Value Missing",input_wld_az1_rack6_vmotion_vlan)</f>
        <v>#REF!</v>
      </c>
      <c r="Y10" s="7"/>
      <c r="Z10" s="30" t="s">
        <v>6790</v>
      </c>
      <c r="AA10" s="13" t="e">
        <f>IF(ISBLANK(input_wld_az1_rack7_vmotion_vlan),"Value Missing",input_wld_az1_rack7_vmotion_vlan)</f>
        <v>#REF!</v>
      </c>
      <c r="AB10" s="7"/>
      <c r="AC10" s="30" t="s">
        <v>6790</v>
      </c>
      <c r="AD10" s="13" t="e">
        <f>IF(ISBLANK(input_wld_az1_rack8_vmotion_vlan),"Value Missing",input_wld_az1_rack8_vmotion_vlan)</f>
        <v>#REF!</v>
      </c>
      <c r="AE10" s="7"/>
      <c r="AF10" s="7"/>
      <c r="AG10" s="54" t="s">
        <v>6791</v>
      </c>
      <c r="AH10" s="13" t="e">
        <f>CONCATENATE("10.",prefix_wld_az2_rack_vlan)</f>
        <v>#REF!</v>
      </c>
      <c r="AI10" s="7"/>
      <c r="AJ10" s="7"/>
      <c r="AK10" s="7"/>
    </row>
    <row r="11" spans="1:37" ht="19.5" customHeight="1">
      <c r="A11" s="7"/>
      <c r="B11" s="30" t="s">
        <v>6792</v>
      </c>
      <c r="C11" s="13" t="e">
        <f>svc_my_vmware_password</f>
        <v>#REF!</v>
      </c>
      <c r="D11" s="7"/>
      <c r="E11" s="39" t="e">
        <f>CONCATENATE("Principal Storage Network ",wld_principal_storage_chosen)</f>
        <v>#REF!</v>
      </c>
      <c r="F11" s="13" t="e">
        <f>IF(ISBLANK(input_mgmt_az1_vsan_vlan),"Value Missing",input_mgmt_az1_vsan_vlan)</f>
        <v>#REF!</v>
      </c>
      <c r="G11" s="7"/>
      <c r="H11" s="39" t="s">
        <v>6793</v>
      </c>
      <c r="I11" s="13" t="e">
        <f>IF(ISBLANK(input_wld_az1_principal_storage_vlan),"Value Missing",input_wld_az1_principal_storage_vlan)</f>
        <v>#REF!</v>
      </c>
      <c r="J11" s="7"/>
      <c r="K11" s="39" t="e">
        <f>CONCATENATE("Principal Storage Network ",wld_principal_storage_chosen)</f>
        <v>#REF!</v>
      </c>
      <c r="L11" s="13" t="e">
        <f>IF(ISBLANK(input_wld_az1_rack2_principal_storage_vlan),"Value Missing",input_wld_az1_rack2_principal_storage_vlan)</f>
        <v>#REF!</v>
      </c>
      <c r="M11" s="7"/>
      <c r="N11" s="39" t="e">
        <f>CONCATENATE("Principal Storage Network ",wld_principal_storage_chosen)</f>
        <v>#REF!</v>
      </c>
      <c r="O11" s="13" t="e">
        <f>IF(ISBLANK(input_wld_az1_rack3_principal_storage_vlan),"Value Missing",input_wld_az1_rack3_principal_storage_vlan)</f>
        <v>#REF!</v>
      </c>
      <c r="P11" s="7"/>
      <c r="Q11" s="39" t="e">
        <f>CONCATENATE("Principal Storage Network ",wld_principal_storage_chosen)</f>
        <v>#REF!</v>
      </c>
      <c r="R11" s="13" t="e">
        <f>IF(ISBLANK(input_wld_az1_rack4_principal_storage_vlan),"Value Missing",input_wld_az1_rack4_principal_storage_vlan)</f>
        <v>#REF!</v>
      </c>
      <c r="S11" s="7"/>
      <c r="T11" s="39" t="e">
        <f>CONCATENATE("Principal Storage Network ",wld_principal_storage_chosen)</f>
        <v>#REF!</v>
      </c>
      <c r="U11" s="13" t="e">
        <f>IF(ISBLANK(input_wld_az1_rack5_principal_storage_vlan),"Value Missing",input_wld_az1_rack5_principal_storage_vlan)</f>
        <v>#REF!</v>
      </c>
      <c r="V11" s="7"/>
      <c r="W11" s="39" t="e">
        <f>CONCATENATE("Principal Storage Network ",wld_principal_storage_chosen)</f>
        <v>#REF!</v>
      </c>
      <c r="X11" s="13" t="e">
        <f>IF(ISBLANK(input_wld_az1_rack6_principal_storage_vlan),"Value Missing",input_wld_az1_rack6_principal_storage_vlan)</f>
        <v>#REF!</v>
      </c>
      <c r="Y11" s="7"/>
      <c r="Z11" s="39" t="e">
        <f>CONCATENATE("Principal Storage Network ",wld_principal_storage_chosen)</f>
        <v>#REF!</v>
      </c>
      <c r="AA11" s="13" t="e">
        <f>IF(ISBLANK(input_wld_az1_rack7_principal_storage_vlan),"Value Missing",input_wld_az1_rack7_principal_storage_vlan)</f>
        <v>#REF!</v>
      </c>
      <c r="AB11" s="7"/>
      <c r="AC11" s="39" t="e">
        <f>CONCATENATE("Principal Storage Network ",wld_principal_storage_chosen)</f>
        <v>#REF!</v>
      </c>
      <c r="AD11" s="13" t="e">
        <f>IF(ISBLANK(input_wld_az1_rack8_principal_storage_vlan),"Value Missing",input_wld_az1_rack8_principal_storage_vlan)</f>
        <v>#REF!</v>
      </c>
      <c r="AE11" s="7"/>
      <c r="AF11" s="7"/>
      <c r="AG11" s="27"/>
      <c r="AH11" s="7"/>
      <c r="AI11" s="7"/>
      <c r="AJ11" s="7"/>
      <c r="AK11" s="7"/>
    </row>
    <row r="12" spans="1:37" ht="19.5" customHeight="1">
      <c r="A12" s="7"/>
      <c r="B12" s="30" t="s">
        <v>6794</v>
      </c>
      <c r="C12" s="13" t="e">
        <f>mgmt_offline_depot_chosen</f>
        <v>#REF!</v>
      </c>
      <c r="D12" s="7"/>
      <c r="E12" s="30" t="s">
        <v>6795</v>
      </c>
      <c r="F12" s="13" t="e">
        <f>IF(ISBLANK(input_mgmt_az1_host_overlay_vlan),"Value Missing",input_mgmt_az1_host_overlay_vlan)</f>
        <v>#REF!</v>
      </c>
      <c r="G12" s="7"/>
      <c r="H12" s="30" t="s">
        <v>6795</v>
      </c>
      <c r="I12" s="13" t="e">
        <f>IF(ISBLANK(input_wld_az1_host_overlay_vlan),"Value Missing",input_wld_az1_host_overlay_vlan)</f>
        <v>#REF!</v>
      </c>
      <c r="J12" s="7"/>
      <c r="K12" s="30" t="s">
        <v>6795</v>
      </c>
      <c r="L12" s="13" t="e">
        <f>IF(ISBLANK(input_wld_az1_rack2_host_overlay_vlan),"Value Missing",input_wld_az1_rack2_host_overlay_vlan)</f>
        <v>#REF!</v>
      </c>
      <c r="M12" s="7"/>
      <c r="N12" s="30" t="s">
        <v>6795</v>
      </c>
      <c r="O12" s="13" t="e">
        <f>IF(ISBLANK(input_wld_az1_rack3_host_overlay_vlan),"Value Missing",input_wld_az1_rack3_host_overlay_vlan)</f>
        <v>#REF!</v>
      </c>
      <c r="P12" s="7"/>
      <c r="Q12" s="30" t="s">
        <v>6795</v>
      </c>
      <c r="R12" s="13" t="e">
        <f>IF(ISBLANK(input_wld_az1_rack4_host_overlay_vlan),"Value Missing",input_wld_az1_rack4_host_overlay_vlan)</f>
        <v>#REF!</v>
      </c>
      <c r="S12" s="7"/>
      <c r="T12" s="30" t="s">
        <v>6795</v>
      </c>
      <c r="U12" s="13" t="e">
        <f>IF(ISBLANK(input_wld_az1_rack5_host_overlay_vlan),"Value Missing",input_wld_az1_rack5_host_overlay_vlan)</f>
        <v>#REF!</v>
      </c>
      <c r="V12" s="7"/>
      <c r="W12" s="30" t="s">
        <v>6795</v>
      </c>
      <c r="X12" s="13" t="e">
        <f>IF(ISBLANK(input_wld_az1_rack6_host_overlay_vlan),"Value Missing",input_wld_az1_rack6_host_overlay_vlan)</f>
        <v>#REF!</v>
      </c>
      <c r="Y12" s="7"/>
      <c r="Z12" s="30" t="s">
        <v>6795</v>
      </c>
      <c r="AA12" s="13" t="e">
        <f>IF(ISBLANK(input_wld_az1_rack7_host_overlay_vlan),"Value Missing",input_wld_az1_rack7_host_overlay_vlan)</f>
        <v>#REF!</v>
      </c>
      <c r="AB12" s="7"/>
      <c r="AC12" s="30" t="s">
        <v>6795</v>
      </c>
      <c r="AD12" s="13" t="e">
        <f>IF(ISBLANK(input_wld_az1_rack8_host_overlay_vlan),"Value Missing",input_wld_az1_rack8_host_overlay_vlan)</f>
        <v>#REF!</v>
      </c>
      <c r="AE12" s="7"/>
      <c r="AF12" s="7"/>
      <c r="AG12" s="7"/>
      <c r="AH12" s="7"/>
      <c r="AI12" s="7"/>
      <c r="AJ12" s="7"/>
      <c r="AK12" s="7"/>
    </row>
    <row r="13" spans="1:37" ht="19.5" customHeight="1">
      <c r="A13" s="7"/>
      <c r="B13" s="30" t="s">
        <v>6796</v>
      </c>
      <c r="C13" s="13" t="e">
        <f>mgmt_internet_proxy_type_chosen</f>
        <v>#REF!</v>
      </c>
      <c r="D13" s="7"/>
      <c r="E13" s="57" t="s">
        <v>6797</v>
      </c>
      <c r="F13" s="13" t="e">
        <f>IF(ISBLANK(input_mgmt_az1_secondary_storage_vlan),"Value Missing",input_mgmt_az1_secondary_storage_vlan)</f>
        <v>#REF!</v>
      </c>
      <c r="G13" s="7"/>
      <c r="H13" s="30" t="s">
        <v>6797</v>
      </c>
      <c r="I13" s="13" t="e">
        <f>IF(ISBLANK(input_wld_az1_secondary_storage_vlan),"Value Missing",input_wld_az1_secondary_storage_vlan)</f>
        <v>#REF!</v>
      </c>
      <c r="J13" s="7"/>
      <c r="K13" s="30" t="s">
        <v>6797</v>
      </c>
      <c r="L13" s="13" t="str">
        <f>IF(ISBLANK(input_wld_az1_rack2_secondary_storage_vlan),"Value Missing",input_wld_az1_rack2_secondary_storage_vlan)</f>
        <v>Value Missing</v>
      </c>
      <c r="M13" s="7"/>
      <c r="N13" s="30" t="s">
        <v>6797</v>
      </c>
      <c r="O13" s="13" t="str">
        <f>IF(ISBLANK(input_wld_az1_rack3_secondary_storage_vlan),"Value Missing",input_wld_az1_rack3_secondary_storage_vlan)</f>
        <v>Value Missing</v>
      </c>
      <c r="P13" s="7"/>
      <c r="Q13" s="30" t="s">
        <v>6797</v>
      </c>
      <c r="R13" s="13" t="str">
        <f>IF(ISBLANK(input_wld_az1_rack4_secondary_storage_vlan),"Value Missing",input_wld_az1_rack4_secondary_storage_vlan)</f>
        <v>Value Missing</v>
      </c>
      <c r="S13" s="7"/>
      <c r="T13" s="30" t="s">
        <v>6797</v>
      </c>
      <c r="U13" s="13" t="str">
        <f>IF(ISBLANK(input_wld_az1_rack5_secondary_storage_vlan),"Value Missing",input_wld_az1_rack5_secondary_storage_vlan)</f>
        <v>Value Missing</v>
      </c>
      <c r="V13" s="7"/>
      <c r="W13" s="30" t="s">
        <v>6797</v>
      </c>
      <c r="X13" s="13" t="str">
        <f>IF(ISBLANK(input_wld_az1_rack6_secondary_storage_vlan),"Value Missing",input_wld_az1_rack6_secondary_storage_vlan)</f>
        <v>Value Missing</v>
      </c>
      <c r="Y13" s="7"/>
      <c r="Z13" s="30" t="s">
        <v>6797</v>
      </c>
      <c r="AA13" s="13" t="str">
        <f>IF(ISBLANK(input_wld_az1_rack7_secondary_storage_vlan),"Value Missing",input_wld_az1_rack7_secondary_storage_vlan)</f>
        <v>Value Missing</v>
      </c>
      <c r="AB13" s="7"/>
      <c r="AC13" s="30" t="s">
        <v>6797</v>
      </c>
      <c r="AD13" s="13" t="str">
        <f>IF(ISBLANK(input_wld_az1_rack8_secondary_storage_vlan),"Value Missing",input_wld_az1_rack8_secondary_storage_vlan)</f>
        <v>Value Missing</v>
      </c>
      <c r="AE13" s="7"/>
      <c r="AF13" s="7"/>
      <c r="AG13" s="7"/>
      <c r="AH13" s="7"/>
      <c r="AI13" s="7"/>
      <c r="AJ13" s="7"/>
      <c r="AK13" s="7"/>
    </row>
    <row r="14" spans="1:37" ht="19.5" customHeight="1">
      <c r="A14" s="7"/>
      <c r="B14" s="30" t="s">
        <v>6798</v>
      </c>
      <c r="C14" s="7" t="e">
        <f>mgmt_internet_proxy_chosen</f>
        <v>#REF!</v>
      </c>
      <c r="D14" s="7"/>
      <c r="E14" s="57" t="s">
        <v>6799</v>
      </c>
      <c r="F14" s="13" t="e">
        <f>IF(ISBLANK(input_mgmt_az1_vcf_mgmt_vlan),"Value Missing",input_mgmt_az1_vcf_mgmt_vlan)</f>
        <v>#REF!</v>
      </c>
      <c r="G14" s="7"/>
      <c r="H14" s="30" t="s">
        <v>6800</v>
      </c>
      <c r="I14" s="13" t="e">
        <f>IF(ISBLANK(input_wld_az1_storage_cluster_vlan),"Value Missing",input_wld_az1_storage_cluster_vlan)</f>
        <v>#REF!</v>
      </c>
      <c r="J14" s="7"/>
      <c r="K14" s="42" t="s">
        <v>6800</v>
      </c>
      <c r="L14" s="13"/>
      <c r="M14" s="7"/>
      <c r="N14" s="42" t="s">
        <v>6800</v>
      </c>
      <c r="O14" s="13"/>
      <c r="P14" s="7"/>
      <c r="Q14" s="42" t="s">
        <v>6800</v>
      </c>
      <c r="R14" s="13"/>
      <c r="S14" s="7"/>
      <c r="T14" s="42" t="s">
        <v>6800</v>
      </c>
      <c r="U14" s="13"/>
      <c r="V14" s="7"/>
      <c r="W14" s="42" t="s">
        <v>6800</v>
      </c>
      <c r="X14" s="13"/>
      <c r="Y14" s="7"/>
      <c r="Z14" s="42" t="s">
        <v>6800</v>
      </c>
      <c r="AA14" s="13"/>
      <c r="AB14" s="7"/>
      <c r="AC14" s="42" t="s">
        <v>6800</v>
      </c>
      <c r="AD14" s="13"/>
      <c r="AE14" s="7"/>
      <c r="AF14" s="7"/>
      <c r="AG14" s="7"/>
      <c r="AH14" s="7"/>
      <c r="AI14" s="7"/>
      <c r="AJ14" s="7"/>
      <c r="AK14" s="7"/>
    </row>
    <row r="15" spans="1:37" ht="19.5" customHeight="1">
      <c r="A15" s="7"/>
      <c r="B15" s="30" t="s">
        <v>6801</v>
      </c>
      <c r="C15" s="13" t="e">
        <f>IF(ISBLANK(input_mgmt_internet_proxy_address),"Value Missing",input_mgmt_internet_proxy_address)</f>
        <v>#REF!</v>
      </c>
      <c r="D15" s="7"/>
      <c r="E15" s="30" t="s">
        <v>6802</v>
      </c>
      <c r="F15" s="13" t="e">
        <f>IF(ISBLANK(input_mgmt_az1_uplink01_vlan),"Value Missing",input_mgmt_az1_uplink01_vlan)</f>
        <v>#REF!</v>
      </c>
      <c r="G15" s="7"/>
      <c r="H15" s="30" t="s">
        <v>6802</v>
      </c>
      <c r="I15" s="13" t="e">
        <f>IF(ISBLANK(input_wld_az1_uplink01_vlan),"Value Missing",input_wld_az1_uplink01_vlan)</f>
        <v>#REF!</v>
      </c>
      <c r="J15" s="7"/>
      <c r="K15" s="30" t="s">
        <v>6802</v>
      </c>
      <c r="L15" s="13" t="str">
        <f>IF(ISBLANK(input_wld_az1_rack2_uplink01_vlan),"Value Missing",input_wld_az1_rack2_uplink01_vlan)</f>
        <v>Value Missing</v>
      </c>
      <c r="M15" s="7"/>
      <c r="N15" s="30" t="s">
        <v>6802</v>
      </c>
      <c r="O15" s="13" t="str">
        <f>IF(ISBLANK(input_wld_az1_rack3_uplink01_vlan),"Value Missing",input_wld_az1_rack3_uplink01_vlan)</f>
        <v>Value Missing</v>
      </c>
      <c r="P15" s="7"/>
      <c r="Q15" s="30" t="s">
        <v>6802</v>
      </c>
      <c r="R15" s="13" t="str">
        <f>IF(ISBLANK(input_wld_az1_rack4_uplink01_vlan),"Value Missing",input_wld_az1_rack4_uplink01_vlan)</f>
        <v>Value Missing</v>
      </c>
      <c r="S15" s="7"/>
      <c r="T15" s="30" t="s">
        <v>6802</v>
      </c>
      <c r="U15" s="13" t="str">
        <f>IF(ISBLANK(input_wld_az1_rack5_uplink01_vlan),"Value Missing",input_wld_az1_rack5_uplink01_vlan)</f>
        <v>Value Missing</v>
      </c>
      <c r="V15" s="7"/>
      <c r="W15" s="30" t="s">
        <v>6802</v>
      </c>
      <c r="X15" s="13" t="str">
        <f>IF(ISBLANK(input_wld_az1_rack6_uplink01_vlan),"Value Missing",input_wld_az1_rack6_uplink01_vlan)</f>
        <v>Value Missing</v>
      </c>
      <c r="Y15" s="7"/>
      <c r="Z15" s="30" t="s">
        <v>6802</v>
      </c>
      <c r="AA15" s="59" t="str">
        <f>IF(ISBLANK(input_wld_az1_rack7_uplink01_vlan),"Value Missing",input_wld_az1_rack7_uplink01_vlan)</f>
        <v>Value Missing</v>
      </c>
      <c r="AB15" s="7"/>
      <c r="AC15" s="30" t="s">
        <v>6802</v>
      </c>
      <c r="AD15" s="13" t="str">
        <f>IF(ISBLANK(input_wld_az1_rack8_uplink01_vlan),"Value Missing",input_wld_az1_rack8_uplink01_vlan)</f>
        <v>Value Missing</v>
      </c>
      <c r="AE15" s="7"/>
      <c r="AF15" s="7"/>
      <c r="AG15" s="7"/>
      <c r="AH15" s="7"/>
      <c r="AI15" s="7"/>
      <c r="AJ15" s="7"/>
      <c r="AK15" s="7"/>
    </row>
    <row r="16" spans="1:37" ht="19.5" customHeight="1">
      <c r="A16" s="7"/>
      <c r="B16" s="30" t="s">
        <v>6803</v>
      </c>
      <c r="C16" s="13" t="e">
        <f>mgmt_internet_proxy_port</f>
        <v>#REF!</v>
      </c>
      <c r="D16" s="7"/>
      <c r="E16" s="30" t="s">
        <v>6804</v>
      </c>
      <c r="F16" s="13" t="e">
        <f>IF(ISBLANK(input_mgmt_az1_uplink02_vlan),"Value Missing",input_mgmt_az1_uplink02_vlan)</f>
        <v>#REF!</v>
      </c>
      <c r="G16" s="7"/>
      <c r="H16" s="30" t="s">
        <v>6804</v>
      </c>
      <c r="I16" s="13" t="e">
        <f>IF(ISBLANK(input_wld_az1_uplink02_vlan),"Value Missing",input_wld_az1_uplink02_vlan)</f>
        <v>#REF!</v>
      </c>
      <c r="J16" s="7"/>
      <c r="K16" s="30" t="s">
        <v>6804</v>
      </c>
      <c r="L16" s="13" t="str">
        <f>IF(ISBLANK(input_wld_az1_rack2_uplink02_vlan),"Value Missing",input_wld_az1_rack2_uplink02_vlan)</f>
        <v>Value Missing</v>
      </c>
      <c r="M16" s="7"/>
      <c r="N16" s="30" t="s">
        <v>6804</v>
      </c>
      <c r="O16" s="13" t="str">
        <f>IF(ISBLANK(input_wld_az1_rack3_uplink02_vlan),"Value Missing",input_wld_az1_rack3_uplink02_vlan)</f>
        <v>Value Missing</v>
      </c>
      <c r="P16" s="7"/>
      <c r="Q16" s="30" t="s">
        <v>6804</v>
      </c>
      <c r="R16" s="13" t="str">
        <f>IF(ISBLANK(input_wld_az1_rack4_uplink02_vlan),"Value Missing",input_wld_az1_rack4_uplink02_vlan)</f>
        <v>Value Missing</v>
      </c>
      <c r="S16" s="7"/>
      <c r="T16" s="30" t="s">
        <v>6804</v>
      </c>
      <c r="U16" s="13" t="str">
        <f>IF(ISBLANK(input_wld_az1_rack5_uplink02_vlan),"Value Missing",input_wld_az1_rack5_uplink02_vlan)</f>
        <v>Value Missing</v>
      </c>
      <c r="V16" s="7"/>
      <c r="W16" s="30" t="s">
        <v>6804</v>
      </c>
      <c r="X16" s="13" t="str">
        <f>IF(ISBLANK(input_wld_az1_rack6_uplink02_vlan),"Value Missing",input_wld_az1_rack6_uplink02_vlan)</f>
        <v>Value Missing</v>
      </c>
      <c r="Y16" s="7"/>
      <c r="Z16" s="30" t="s">
        <v>6804</v>
      </c>
      <c r="AA16" s="13" t="str">
        <f>IF(ISBLANK(input_wld_az1_rack7_uplink02_vlan),"Value Missing",input_wld_az1_rack7_uplink02_vlan)</f>
        <v>Value Missing</v>
      </c>
      <c r="AB16" s="7"/>
      <c r="AC16" s="30" t="s">
        <v>6804</v>
      </c>
      <c r="AD16" s="13" t="str">
        <f>IF(ISBLANK(input_wld_az1_rack8_uplink02_vlan),"Value Missing",input_wld_az1_rack8_uplink02_vlan)</f>
        <v>Value Missing</v>
      </c>
      <c r="AE16" s="7"/>
      <c r="AF16" s="7"/>
      <c r="AG16" s="7"/>
      <c r="AH16" s="7"/>
      <c r="AI16" s="7"/>
      <c r="AJ16" s="7"/>
      <c r="AK16" s="7"/>
    </row>
    <row r="17" spans="1:37" ht="19.5" customHeight="1">
      <c r="A17" s="7"/>
      <c r="B17" s="30" t="s">
        <v>6805</v>
      </c>
      <c r="C17" s="7" t="e">
        <f>mgmt_internet_proxy_auth_chosen</f>
        <v>#REF!</v>
      </c>
      <c r="D17" s="7"/>
      <c r="E17" s="30" t="s">
        <v>6806</v>
      </c>
      <c r="F17" s="13" t="e">
        <f>IF(ISBLANK(input_mgmt_az1_edge_overlay_vlan),"Value Missing",input_mgmt_az1_edge_overlay_vlan)</f>
        <v>#REF!</v>
      </c>
      <c r="G17" s="7"/>
      <c r="H17" s="30" t="s">
        <v>6806</v>
      </c>
      <c r="I17" s="13" t="e">
        <f>IF(ISBLANK(input_wld_az1_edge_overlay_vlan),"Value Missing",input_wld_az1_edge_overlay_vlan)</f>
        <v>#REF!</v>
      </c>
      <c r="J17" s="7"/>
      <c r="K17" s="30" t="s">
        <v>6806</v>
      </c>
      <c r="L17" s="13" t="str">
        <f>IF(ISBLANK(input_wld_az1_rack2_edge_overlay_vlan),"Value Missing",input_wld_az1_rack2_edge_overlay_vlan)</f>
        <v>Value Missing</v>
      </c>
      <c r="M17" s="7"/>
      <c r="N17" s="30" t="s">
        <v>6806</v>
      </c>
      <c r="O17" s="13" t="str">
        <f>IF(ISBLANK(input_wld_az1_rack3_edge_overlay_vlan),"Value Missing",input_wld_az1_rack3_edge_overlay_vlan)</f>
        <v>Value Missing</v>
      </c>
      <c r="P17" s="7"/>
      <c r="Q17" s="30" t="s">
        <v>6806</v>
      </c>
      <c r="R17" s="13" t="str">
        <f>IF(ISBLANK(input_wld_az1_rack4_edge_overlay_vlan),"Value Missing",input_wld_az1_rack4_edge_overlay_vlan)</f>
        <v>Value Missing</v>
      </c>
      <c r="S17" s="7"/>
      <c r="T17" s="30" t="s">
        <v>6806</v>
      </c>
      <c r="U17" s="13" t="str">
        <f>IF(ISBLANK(input_wld_az1_rack5_edge_overlay_vlan),"Value Missing",input_wld_az1_rack5_edge_overlay_vlan)</f>
        <v>Value Missing</v>
      </c>
      <c r="V17" s="7"/>
      <c r="W17" s="30" t="s">
        <v>6806</v>
      </c>
      <c r="X17" s="13" t="str">
        <f>IF(ISBLANK(input_wld_az1_rack6_edge_overlay_vlan),"Value Missing",input_wld_az1_rack6_edge_overlay_vlan)</f>
        <v>Value Missing</v>
      </c>
      <c r="Y17" s="7"/>
      <c r="Z17" s="30" t="s">
        <v>6806</v>
      </c>
      <c r="AA17" s="13" t="str">
        <f>IF(ISBLANK(input_wld_az1_rack7_edge_overlay_vlan),"Value Missing",input_wld_az1_rack7_edge_overlay_vlan)</f>
        <v>Value Missing</v>
      </c>
      <c r="AB17" s="7"/>
      <c r="AC17" s="30" t="s">
        <v>6806</v>
      </c>
      <c r="AD17" s="13" t="str">
        <f>IF(ISBLANK(input_wld_az1_rack8_edge_overlay_vlan),"Value Missing",input_wld_az1_rack8_edge_overlay_vlan)</f>
        <v>Value Missing</v>
      </c>
      <c r="AE17" s="7"/>
      <c r="AF17" s="7"/>
      <c r="AG17" s="206" t="s">
        <v>6807</v>
      </c>
      <c r="AH17" s="200"/>
      <c r="AI17" s="7"/>
      <c r="AJ17" s="7"/>
      <c r="AK17" s="7"/>
    </row>
    <row r="18" spans="1:37" ht="19.5" customHeight="1">
      <c r="A18" s="7"/>
      <c r="B18" s="30" t="s">
        <v>6808</v>
      </c>
      <c r="C18" s="13" t="e">
        <f>IF(ISBLANK(input_mgmt_internet_proxy_email),"Value Missing",input_mgmt_internet_proxy_email)</f>
        <v>#REF!</v>
      </c>
      <c r="D18" s="7"/>
      <c r="E18" s="30" t="s">
        <v>6809</v>
      </c>
      <c r="F18" s="13" t="e">
        <f>IF(ISBLANK(input_mgmt_az1_rtep_overlay_vlan),"Value Missing",input_mgmt_az1_rtep_overlay_vlan)</f>
        <v>#REF!</v>
      </c>
      <c r="G18" s="7"/>
      <c r="H18" s="30" t="s">
        <v>6809</v>
      </c>
      <c r="I18" s="13" t="e">
        <f>IF(ISBLANK(input_wld_az1_rtep_overlay_vlan),"Value Missing",input_wld_az1_rtep_overlay_vlan)</f>
        <v>#REF!</v>
      </c>
      <c r="J18" s="7"/>
      <c r="K18" s="30" t="s">
        <v>6809</v>
      </c>
      <c r="L18" s="13"/>
      <c r="M18" s="7"/>
      <c r="N18" s="30" t="s">
        <v>6809</v>
      </c>
      <c r="O18" s="13"/>
      <c r="P18" s="7"/>
      <c r="Q18" s="30" t="s">
        <v>6809</v>
      </c>
      <c r="R18" s="13"/>
      <c r="S18" s="7"/>
      <c r="T18" s="30" t="s">
        <v>6809</v>
      </c>
      <c r="U18" s="13"/>
      <c r="V18" s="7"/>
      <c r="W18" s="30" t="s">
        <v>6809</v>
      </c>
      <c r="X18" s="13"/>
      <c r="Y18" s="7"/>
      <c r="Z18" s="30" t="s">
        <v>6809</v>
      </c>
      <c r="AA18" s="13"/>
      <c r="AB18" s="7"/>
      <c r="AC18" s="30" t="s">
        <v>6809</v>
      </c>
      <c r="AD18" s="13"/>
      <c r="AE18" s="7"/>
      <c r="AF18" s="7"/>
      <c r="AG18" s="13" t="s">
        <v>6810</v>
      </c>
      <c r="AH18" s="13" t="e">
        <f>IF(this_instance="sfo",1,2)</f>
        <v>#REF!</v>
      </c>
      <c r="AI18" s="7"/>
      <c r="AJ18" s="7"/>
      <c r="AK18" s="7"/>
    </row>
    <row r="19" spans="1:37" ht="19.5" customHeight="1">
      <c r="A19" s="7"/>
      <c r="B19" s="30" t="s">
        <v>6792</v>
      </c>
      <c r="C19" s="13" t="e">
        <f>IF(ISBLANK(input_mgmt_internet_proxy_password),"Value Missing",input_mgmt_internet_proxy_password)</f>
        <v>#REF!</v>
      </c>
      <c r="D19" s="7"/>
      <c r="E19" s="30" t="s">
        <v>6811</v>
      </c>
      <c r="F19" s="13" t="str">
        <f>IF(ISBLANK(input_mgmt_az1_vrms_vlan),"Value Missing",input_mgmt_az1_vrms_vlan)</f>
        <v>Value Missing</v>
      </c>
      <c r="G19" s="7"/>
      <c r="H19" s="30" t="s">
        <v>6811</v>
      </c>
      <c r="I19" s="13" t="str">
        <f>IF(ISBLANK(input_wld_az1_vrms_vlan),"Value Missing",input_wld_az1_vrms_vlan)</f>
        <v>Value Missing</v>
      </c>
      <c r="J19" s="7"/>
      <c r="K19" s="30" t="s">
        <v>6811</v>
      </c>
      <c r="L19" s="13"/>
      <c r="M19" s="7"/>
      <c r="N19" s="30" t="s">
        <v>6811</v>
      </c>
      <c r="O19" s="13"/>
      <c r="P19" s="7"/>
      <c r="Q19" s="30" t="s">
        <v>6811</v>
      </c>
      <c r="R19" s="13"/>
      <c r="S19" s="7"/>
      <c r="T19" s="30" t="s">
        <v>6811</v>
      </c>
      <c r="U19" s="13"/>
      <c r="V19" s="7"/>
      <c r="W19" s="30" t="s">
        <v>6811</v>
      </c>
      <c r="X19" s="13"/>
      <c r="Y19" s="7"/>
      <c r="Z19" s="30" t="s">
        <v>6811</v>
      </c>
      <c r="AA19" s="13"/>
      <c r="AB19" s="7"/>
      <c r="AC19" s="30" t="s">
        <v>6811</v>
      </c>
      <c r="AD19" s="13"/>
      <c r="AE19" s="7"/>
      <c r="AF19" s="7"/>
      <c r="AG19" s="13" t="s">
        <v>6812</v>
      </c>
      <c r="AH19" s="13">
        <v>1</v>
      </c>
      <c r="AI19" s="7"/>
      <c r="AJ19" s="7"/>
      <c r="AK19" s="7"/>
    </row>
    <row r="20" spans="1:37" ht="19.5" customHeight="1">
      <c r="A20" s="7"/>
      <c r="B20" s="60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13" t="s">
        <v>6813</v>
      </c>
      <c r="AH20" s="13">
        <v>2</v>
      </c>
      <c r="AI20" s="7"/>
      <c r="AJ20" s="7"/>
      <c r="AK20" s="7"/>
    </row>
    <row r="21" spans="1:37" ht="19.5" customHeight="1">
      <c r="A21" s="7"/>
      <c r="B21" s="205" t="s">
        <v>6814</v>
      </c>
      <c r="C21" s="200"/>
      <c r="D21" s="7"/>
      <c r="E21" s="47" t="s">
        <v>6815</v>
      </c>
      <c r="F21" s="48"/>
      <c r="G21" s="7"/>
      <c r="H21" s="47" t="s">
        <v>6816</v>
      </c>
      <c r="I21" s="48"/>
      <c r="J21" s="7"/>
      <c r="K21" s="47" t="s">
        <v>6817</v>
      </c>
      <c r="L21" s="48"/>
      <c r="M21" s="7"/>
      <c r="N21" s="47" t="s">
        <v>6818</v>
      </c>
      <c r="O21" s="48"/>
      <c r="P21" s="7"/>
      <c r="Q21" s="49" t="s">
        <v>6819</v>
      </c>
      <c r="R21" s="50"/>
      <c r="S21" s="7"/>
      <c r="T21" s="49" t="s">
        <v>6820</v>
      </c>
      <c r="U21" s="50"/>
      <c r="V21" s="7"/>
      <c r="W21" s="49" t="s">
        <v>6821</v>
      </c>
      <c r="X21" s="50"/>
      <c r="Y21" s="7"/>
      <c r="Z21" s="49" t="s">
        <v>6822</v>
      </c>
      <c r="AA21" s="50"/>
      <c r="AB21" s="7"/>
      <c r="AC21" s="49" t="s">
        <v>6823</v>
      </c>
      <c r="AD21" s="50"/>
      <c r="AE21" s="7"/>
      <c r="AF21" s="7"/>
      <c r="AG21" s="13" t="s">
        <v>6824</v>
      </c>
      <c r="AH21" s="13">
        <f>IF(wld_domain_number_chosen=1,3,IF(wld_domain_number_chosen=2,5,7))</f>
        <v>3</v>
      </c>
      <c r="AI21" s="7"/>
      <c r="AJ21" s="7"/>
      <c r="AK21" s="7"/>
    </row>
    <row r="22" spans="1:37" ht="19.5" customHeight="1">
      <c r="A22" s="7"/>
      <c r="B22" s="52" t="s">
        <v>6780</v>
      </c>
      <c r="C22" s="52" t="s">
        <v>6291</v>
      </c>
      <c r="D22" s="7"/>
      <c r="E22" s="52" t="s">
        <v>6780</v>
      </c>
      <c r="F22" s="52" t="s">
        <v>6781</v>
      </c>
      <c r="G22" s="7"/>
      <c r="H22" s="52" t="s">
        <v>6780</v>
      </c>
      <c r="I22" s="52" t="s">
        <v>6781</v>
      </c>
      <c r="J22" s="7"/>
      <c r="K22" s="52" t="s">
        <v>6780</v>
      </c>
      <c r="L22" s="52" t="s">
        <v>6781</v>
      </c>
      <c r="M22" s="7"/>
      <c r="N22" s="52" t="s">
        <v>6780</v>
      </c>
      <c r="O22" s="52" t="s">
        <v>6781</v>
      </c>
      <c r="P22" s="7"/>
      <c r="Q22" s="52" t="s">
        <v>6780</v>
      </c>
      <c r="R22" s="52" t="s">
        <v>6781</v>
      </c>
      <c r="S22" s="53"/>
      <c r="T22" s="52" t="s">
        <v>6780</v>
      </c>
      <c r="U22" s="52" t="s">
        <v>6781</v>
      </c>
      <c r="V22" s="53"/>
      <c r="W22" s="52" t="s">
        <v>6780</v>
      </c>
      <c r="X22" s="52" t="s">
        <v>6781</v>
      </c>
      <c r="Y22" s="53"/>
      <c r="Z22" s="52" t="s">
        <v>6780</v>
      </c>
      <c r="AA22" s="52" t="s">
        <v>6781</v>
      </c>
      <c r="AB22" s="53"/>
      <c r="AC22" s="52" t="s">
        <v>6780</v>
      </c>
      <c r="AD22" s="52" t="s">
        <v>6781</v>
      </c>
      <c r="AE22" s="7"/>
      <c r="AF22" s="7"/>
      <c r="AG22" s="13" t="s">
        <v>6825</v>
      </c>
      <c r="AH22" s="13">
        <f>IF(wld_domain_number_chosen=1,4,IF(wld_domain_number_chosen=2,6,8))</f>
        <v>4</v>
      </c>
      <c r="AI22" s="7"/>
      <c r="AJ22" s="7"/>
      <c r="AK22" s="7"/>
    </row>
    <row r="23" spans="1:37" ht="19.5" customHeight="1">
      <c r="A23" s="7"/>
      <c r="B23" s="30" t="s">
        <v>6310</v>
      </c>
      <c r="C23" s="13" t="e">
        <f>mgmt_domain_deployment_type_chosen</f>
        <v>#REF!</v>
      </c>
      <c r="D23" s="7"/>
      <c r="E23" s="30" t="s">
        <v>6784</v>
      </c>
      <c r="F23" s="13" t="e">
        <f>IF(mgmt_az1_mgmt_vm_network="Value missing","Value Missing",CONCATENATE(mgmt_az1_mgmt_vm_network,"/",VLOOKUP(mgmt_az1_mgmt_vm_mask,table_mask_to_cidr,2,FALSE)))</f>
        <v>#REF!</v>
      </c>
      <c r="G23" s="7"/>
      <c r="H23" s="30" t="s">
        <v>6784</v>
      </c>
      <c r="I23" s="13" t="e">
        <f>IF(wld_az1_mgmt_vm_network="Value missing","Value Missing",CONCATENATE(wld_az1_mgmt_vm_network,"/",VLOOKUP(wld_az1_mgmt_vm_mask,table_mask_to_cidr,2,FALSE)))</f>
        <v>#REF!</v>
      </c>
      <c r="J23" s="7"/>
      <c r="K23" s="30" t="s">
        <v>6784</v>
      </c>
      <c r="L23" s="13" t="str">
        <f>IF(ISBLANK(input_wld_az1_rack2_mgmt_vm_cidr),"Value Missing",input_wld_az1_rack2_mgmt_vm_cidr)</f>
        <v>Value Missing</v>
      </c>
      <c r="M23" s="7"/>
      <c r="N23" s="30" t="s">
        <v>6784</v>
      </c>
      <c r="O23" s="13" t="str">
        <f>IF(ISBLANK(input_wld_az1_rack3_mgmt_vm_cidr),"Value Missing",input_wld_az1_rack3_mgmt_vm_cidr)</f>
        <v>Value Missing</v>
      </c>
      <c r="P23" s="7"/>
      <c r="Q23" s="30" t="s">
        <v>6784</v>
      </c>
      <c r="R23" s="13" t="str">
        <f>IF(ISBLANK(input_wld_az1_rack4_mgmt_vm_cidr),"Value Missing",input_wld_az1_rack4_mgmt_vm_cidr)</f>
        <v>Value Missing</v>
      </c>
      <c r="S23" s="7"/>
      <c r="T23" s="30" t="s">
        <v>6784</v>
      </c>
      <c r="U23" s="13" t="str">
        <f>IF(ISBLANK(input_wld_az1_rack5_mgmt_vm_cidr),"Value Missing",input_wld_az1_rack5_mgmt_vm_cidr)</f>
        <v>Value Missing</v>
      </c>
      <c r="V23" s="7"/>
      <c r="W23" s="30" t="s">
        <v>6784</v>
      </c>
      <c r="X23" s="13" t="str">
        <f>IF(ISBLANK(input_wld_az1_rack6_mgmt_vm_cidr),"Value Missing",input_wld_az1_rack6_mgmt_vm_cidr)</f>
        <v>Value Missing</v>
      </c>
      <c r="Y23" s="7"/>
      <c r="Z23" s="30" t="s">
        <v>6784</v>
      </c>
      <c r="AA23" s="13" t="str">
        <f>IF(ISBLANK(input_wld_az1_rack7_mgmt_vm_cidr),"Value Missing",input_wld_az1_rack7_mgmt_vm_cidr)</f>
        <v>Value Missing</v>
      </c>
      <c r="AB23" s="7"/>
      <c r="AC23" s="30" t="s">
        <v>6784</v>
      </c>
      <c r="AD23" s="13" t="str">
        <f>IF(ISBLANK(input_wld_az1_rack8_mgmt_vm_cidr),"Value Missing",input_wld_az1_rack8_mgmt_vm_cidr)</f>
        <v>Value Missing</v>
      </c>
      <c r="AE23" s="7"/>
      <c r="AF23" s="7"/>
      <c r="AG23" s="27"/>
      <c r="AH23" s="7"/>
      <c r="AI23" s="7"/>
      <c r="AJ23" s="7"/>
      <c r="AK23" s="7"/>
    </row>
    <row r="24" spans="1:37" ht="19.5" customHeight="1">
      <c r="A24" s="7"/>
      <c r="B24" s="30" t="s">
        <v>6826</v>
      </c>
      <c r="C24" s="13" t="e">
        <f>IF(ISBLANK(input_mgmt_sddc_domain),"Value Missing",input_mgmt_sddc_domain)</f>
        <v>#REF!</v>
      </c>
      <c r="D24" s="7"/>
      <c r="E24" s="30" t="s">
        <v>6787</v>
      </c>
      <c r="F24" s="13" t="e">
        <f>IF(mgmt_az1_mgmt_network="Value missing","Value Missing",CONCATENATE(mgmt_az1_mgmt_network,"/",VLOOKUP(mgmt_az1_mgmt_mask,table_mask_to_cidr,2,FALSE)))</f>
        <v>#REF!</v>
      </c>
      <c r="G24" s="7"/>
      <c r="H24" s="30" t="s">
        <v>6787</v>
      </c>
      <c r="I24" s="13" t="e">
        <f>IF(wld_az1_mgmt_network="Value missing","Value Missing",CONCATENATE(wld_az1_mgmt_network,"/",VLOOKUP(wld_az1_mgmt_mask,table_mask_to_cidr,2,FALSE)))</f>
        <v>#REF!</v>
      </c>
      <c r="J24" s="7"/>
      <c r="K24" s="30" t="s">
        <v>6787</v>
      </c>
      <c r="L24" s="13" t="e">
        <f>IF(ISBLANK(input_wld_az1_rack2_mgmt_cidr),"Value Missing",input_wld_az1_rack2_mgmt_cidr)</f>
        <v>#REF!</v>
      </c>
      <c r="M24" s="7"/>
      <c r="N24" s="30" t="s">
        <v>6787</v>
      </c>
      <c r="O24" s="13" t="e">
        <f>IF(ISBLANK(input_wld_az1_rack3_mgmt_cidr),"Value Missing",input_wld_az1_rack3_mgmt_cidr)</f>
        <v>#REF!</v>
      </c>
      <c r="P24" s="7"/>
      <c r="Q24" s="30" t="s">
        <v>6787</v>
      </c>
      <c r="R24" s="13" t="e">
        <f>IF(ISBLANK(input_wld_az1_rack4_mgmt_cidr),"Value Missing",input_wld_az1_rack4_mgmt_cidr)</f>
        <v>#REF!</v>
      </c>
      <c r="S24" s="7"/>
      <c r="T24" s="30" t="s">
        <v>6787</v>
      </c>
      <c r="U24" s="13" t="e">
        <f>IF(ISBLANK(input_wld_az1_rack5_mgmt_cidr),"Value Missing",input_wld_az1_rack5_mgmt_cidr)</f>
        <v>#REF!</v>
      </c>
      <c r="V24" s="7"/>
      <c r="W24" s="30" t="s">
        <v>6787</v>
      </c>
      <c r="X24" s="13" t="e">
        <f>IF(ISBLANK(input_wld_az1_rack6_mgmt_cidr),"Value Missing",input_wld_az1_rack6_mgmt_cidr)</f>
        <v>#REF!</v>
      </c>
      <c r="Y24" s="7"/>
      <c r="Z24" s="30" t="s">
        <v>6787</v>
      </c>
      <c r="AA24" s="13" t="e">
        <f>IF(ISBLANK(input_wld_az1_rack7_mgmt_cidr),"Value Missing",input_wld_az1_rack7_mgmt_cidr)</f>
        <v>#REF!</v>
      </c>
      <c r="AB24" s="7"/>
      <c r="AC24" s="30" t="s">
        <v>6787</v>
      </c>
      <c r="AD24" s="13" t="e">
        <f>IF(ISBLANK(input_wld_az1_rack8_mgmt_cidr),"Value Missing",input_wld_az1_rack8_mgmt_cidr)</f>
        <v>#REF!</v>
      </c>
      <c r="AE24" s="7"/>
      <c r="AF24" s="7"/>
      <c r="AG24" s="27"/>
      <c r="AH24" s="7"/>
      <c r="AI24" s="7"/>
      <c r="AJ24" s="7"/>
      <c r="AK24" s="7"/>
    </row>
    <row r="25" spans="1:37" ht="19.5" customHeight="1">
      <c r="A25" s="7"/>
      <c r="B25" s="30" t="s">
        <v>6827</v>
      </c>
      <c r="C25" s="13" t="e">
        <f>vcf_version</f>
        <v>#REF!</v>
      </c>
      <c r="D25" s="7"/>
      <c r="E25" s="30" t="s">
        <v>6790</v>
      </c>
      <c r="F25" s="13" t="e">
        <f>IF(mgmt_az1_vmotion_network="Value missing","Value Missing",CONCATENATE(mgmt_az1_vmotion_network,"/",VLOOKUP(mgmt_az1_vmotion_mask,table_mask_to_cidr,2,FALSE)))</f>
        <v>#REF!</v>
      </c>
      <c r="G25" s="7"/>
      <c r="H25" s="30" t="s">
        <v>6790</v>
      </c>
      <c r="I25" s="13" t="e">
        <f>IF(wld_az1_vmotion_network="Value missing","Value Missing",CONCATENATE(wld_az1_vmotion_network,"/",VLOOKUP(wld_az1_vmotion_mask,table_mask_to_cidr,2,FALSE)))</f>
        <v>#REF!</v>
      </c>
      <c r="J25" s="7"/>
      <c r="K25" s="30" t="s">
        <v>6790</v>
      </c>
      <c r="L25" s="13" t="e">
        <f>IF(OR(wld_az1_rack2_vmotion_network="Value Missing",wld_az1_rack2_vmotion_mask="Value Missing"),"Value Missing",(CONCATENATE(wld_az1_rack2_vmotion_network,"/",VLOOKUP(wld_az1_rack2_vmotion_mask,table_mask_to_cidr,2,FALSE))))</f>
        <v>#REF!</v>
      </c>
      <c r="M25" s="7"/>
      <c r="N25" s="30" t="s">
        <v>6790</v>
      </c>
      <c r="O25" s="13" t="e">
        <f>IF(OR(wld_az1_rack3_vmotion_network="Value Missing",wld_az1_rack3_vmotion_mask="Value Missing"),"Value Missing",(CONCATENATE(wld_az1_rack3_vmotion_network,"/",VLOOKUP(wld_az1_rack3_vmotion_mask,table_mask_to_cidr,2,FALSE))))</f>
        <v>#REF!</v>
      </c>
      <c r="P25" s="7"/>
      <c r="Q25" s="30" t="s">
        <v>6790</v>
      </c>
      <c r="R25" s="13" t="e">
        <f>IF(OR(wld_az1_rack4_vmotion_network="Value Missing",wld_az1_rack4_vmotion_mask="Value Missing"),"Value Missing",(CONCATENATE(wld_az1_rack4_vmotion_network,"/",VLOOKUP(wld_az1_rack4_vmotion_mask,table_mask_to_cidr,2,FALSE))))</f>
        <v>#REF!</v>
      </c>
      <c r="S25" s="7"/>
      <c r="T25" s="30" t="s">
        <v>6790</v>
      </c>
      <c r="U25" s="13" t="e">
        <f>IF(OR(wld_az1_rack5_vmotion_network="Value Missing",wld_az1_rack5_vmotion_mask="Value Missing"),"Value Missing",(CONCATENATE(wld_az1_rack5_vmotion_network,"/",VLOOKUP(wld_az1_rack5_vmotion_mask,table_mask_to_cidr,2,FALSE))))</f>
        <v>#REF!</v>
      </c>
      <c r="V25" s="7"/>
      <c r="W25" s="30" t="s">
        <v>6790</v>
      </c>
      <c r="X25" s="13" t="e">
        <f>IF(OR(wld_az1_rack6_vmotion_network="Value Missing",wld_az1_rack6_vmotion_mask="Value Missing"),"Value Missing",(CONCATENATE(wld_az1_rack6_vmotion_network,"/",VLOOKUP(wld_az1_rack6_vmotion_mask,table_mask_to_cidr,2,FALSE))))</f>
        <v>#REF!</v>
      </c>
      <c r="Y25" s="7"/>
      <c r="Z25" s="30" t="s">
        <v>6790</v>
      </c>
      <c r="AA25" s="13" t="e">
        <f>IF(OR(wld_az1_rack7_vmotion_network="Value Missing",wld_az1_rack7_vmotion_mask="Value Missing"),"Value Missing",(CONCATENATE(wld_az1_rack7_vmotion_network,"/",VLOOKUP(wld_az1_rack7_vmotion_mask,table_mask_to_cidr,2,FALSE))))</f>
        <v>#REF!</v>
      </c>
      <c r="AB25" s="7"/>
      <c r="AC25" s="30" t="s">
        <v>6790</v>
      </c>
      <c r="AD25" s="13" t="e">
        <f>IF(OR(wld_az1_rack8_vmotion_network="Value Missing",wld_az1_rack8_vmotion_mask="Value Missing"),"Value Missing",(CONCATENATE(wld_az1_rack8_vmotion_network,"/",VLOOKUP(wld_az1_rack8_vmotion_mask,table_mask_to_cidr,2,FALSE))))</f>
        <v>#REF!</v>
      </c>
      <c r="AE25" s="7"/>
      <c r="AF25" s="7"/>
      <c r="AG25" s="7"/>
      <c r="AH25" s="7"/>
      <c r="AI25" s="7"/>
      <c r="AJ25" s="7"/>
      <c r="AK25" s="7"/>
    </row>
    <row r="26" spans="1:37" ht="19.5" customHeight="1">
      <c r="A26" s="7"/>
      <c r="B26" s="30" t="s">
        <v>6828</v>
      </c>
      <c r="C26" s="13" t="e">
        <f>mgmt_domain_vcf_operations_ha_mode_chosen</f>
        <v>#REF!</v>
      </c>
      <c r="D26" s="7"/>
      <c r="E26" s="39" t="e">
        <f>CONCATENATE("Principal Storage Network ",wld_principal_storage_chosen)</f>
        <v>#REF!</v>
      </c>
      <c r="F26" s="13" t="e">
        <f>IF(mgmt_az1_vsan_network="Value missing","Value Missing",CONCATENATE(mgmt_az1_vsan_network,"/",VLOOKUP(mgmt_az1_vsan_mask,table_mask_to_cidr,2,FALSE)))</f>
        <v>#REF!</v>
      </c>
      <c r="G26" s="7"/>
      <c r="H26" s="39" t="s">
        <v>6793</v>
      </c>
      <c r="I26" s="13" t="e">
        <f>IF(wld_az1_principal_storage_network="Value missing","Value Missing",CONCATENATE(wld_az1_principal_storage_network,"/",VLOOKUP(wld_az1_principal_storage_mask,table_mask_to_cidr,2,FALSE)))</f>
        <v>#REF!</v>
      </c>
      <c r="J26" s="7"/>
      <c r="K26" s="39" t="e">
        <f>CONCATENATE("Principal Storage Network ",wld_principal_storage_chosen)</f>
        <v>#REF!</v>
      </c>
      <c r="L26" s="13" t="e">
        <f>IF(OR(wld_az1_rack2_principal_storage_network="Value Missing",wld_az1_rack2_principal_storage_mask="Value Missing"),"Value Missing",(CONCATENATE(wld_az1_rack2_principal_storage_network,"/",VLOOKUP(wld_az1_rack2_principal_storage_mask,table_mask_to_cidr,2,FALSE))))</f>
        <v>#REF!</v>
      </c>
      <c r="M26" s="7"/>
      <c r="N26" s="39" t="e">
        <f>CONCATENATE("Principal Storage Network ",wld_principal_storage_chosen)</f>
        <v>#REF!</v>
      </c>
      <c r="O26" s="13" t="e">
        <f>IF(OR(wld_az1_rack3_principal_storage_network="Value Missing",wld_az1_rack3_principal_storage_mask="Value Missing"),"Value Missing",(CONCATENATE(wld_az1_rack3_principal_storage_network,"/",VLOOKUP(wld_az1_rack3_principal_storage_mask,table_mask_to_cidr,2,FALSE))))</f>
        <v>#REF!</v>
      </c>
      <c r="P26" s="7"/>
      <c r="Q26" s="39" t="e">
        <f>CONCATENATE("Principal Storage Network ",wld_principal_storage_chosen)</f>
        <v>#REF!</v>
      </c>
      <c r="R26" s="13" t="e">
        <f>IF(OR(wld_az1_rack4_principal_storage_network="Value Missing",wld_az1_rack4_principal_storage_mask="Value Missing"),"Value Missing",(CONCATENATE(wld_az1_rack4_principal_storage_network,"/",VLOOKUP(wld_az1_rack4_principal_storage_mask,table_mask_to_cidr,2,FALSE))))</f>
        <v>#REF!</v>
      </c>
      <c r="S26" s="7"/>
      <c r="T26" s="39" t="e">
        <f>CONCATENATE("Principal Storage Network ",wld_principal_storage_chosen)</f>
        <v>#REF!</v>
      </c>
      <c r="U26" s="13" t="e">
        <f>IF(OR(wld_az1_rack5_principal_storage_network="Value Missing",wld_az1_rack5_principal_storage_mask="Value Missing"),"Value Missing",(CONCATENATE(wld_az1_rack5_principal_storage_network,"/",VLOOKUP(wld_az1_rack5_principal_storage_mask,table_mask_to_cidr,2,FALSE))))</f>
        <v>#REF!</v>
      </c>
      <c r="V26" s="7"/>
      <c r="W26" s="39" t="e">
        <f>CONCATENATE("Principal Storage Network ",wld_principal_storage_chosen)</f>
        <v>#REF!</v>
      </c>
      <c r="X26" s="13" t="e">
        <f>IF(OR(wld_az1_rack6_principal_storage_network="Value Missing",wld_az1_rack6_principal_storage_mask="Value Missing"),"Value Missing",(CONCATENATE(wld_az1_rack6_principal_storage_network,"/",VLOOKUP(wld_az1_rack6_principal_storage_mask,table_mask_to_cidr,2,FALSE))))</f>
        <v>#REF!</v>
      </c>
      <c r="Y26" s="7"/>
      <c r="Z26" s="39" t="e">
        <f>CONCATENATE("Principal Storage Network ",wld_principal_storage_chosen)</f>
        <v>#REF!</v>
      </c>
      <c r="AA26" s="13" t="e">
        <f>IF(OR(wld_az1_rack7_principal_storage_network="Value Missing",wld_az1_rack7_principal_storage_mask="Value Missing"),"Value Missing",(CONCATENATE(wld_az1_rack7_principal_storage_network,"/",VLOOKUP(wld_az1_rack7_principal_storage_mask,table_mask_to_cidr,2,FALSE))))</f>
        <v>#REF!</v>
      </c>
      <c r="AB26" s="7"/>
      <c r="AC26" s="39" t="e">
        <f>CONCATENATE("Principal Storage Network ",wld_principal_storage_chosen)</f>
        <v>#REF!</v>
      </c>
      <c r="AD26" s="13" t="e">
        <f>IF(OR(wld_az1_rack8_principal_storage_network="Value Missing",wld_az1_rack8_principal_storage_mask="Value Missing"),"Value Missing",(CONCATENATE(wld_az1_rack8_principal_storage_network,"/",VLOOKUP(wld_az1_rack8_principal_storage_mask,table_mask_to_cidr,2,FALSE))))</f>
        <v>#REF!</v>
      </c>
      <c r="AE26" s="7"/>
      <c r="AF26" s="7"/>
      <c r="AG26" s="27"/>
      <c r="AH26" s="7"/>
      <c r="AI26" s="7"/>
      <c r="AJ26" s="7"/>
      <c r="AK26" s="7"/>
    </row>
    <row r="27" spans="1:37" ht="19.5" customHeight="1">
      <c r="A27" s="7"/>
      <c r="B27" s="30" t="s">
        <v>6829</v>
      </c>
      <c r="C27" s="13" t="e">
        <f>IF(mgmt_domain_password_creation_chosen="Included","Selected","Unselected")</f>
        <v>#REF!</v>
      </c>
      <c r="D27" s="7"/>
      <c r="E27" s="30" t="s">
        <v>6795</v>
      </c>
      <c r="F27" s="13" t="e">
        <f>IF(mgmt_az1_host_overlay_network="Value missing","Value Missing",CONCATENATE(mgmt_az1_host_overlay_network,"/",VLOOKUP(mgmt_az1_host_overlay_mask,table_mask_to_cidr,2,FALSE)))</f>
        <v>#REF!</v>
      </c>
      <c r="G27" s="7"/>
      <c r="H27" s="30" t="s">
        <v>6795</v>
      </c>
      <c r="I27" s="13" t="e">
        <f>IF(ISBLANK(input_wld_az1_host_overlay_cidr),"Value Missing",input_wld_az1_host_overlay_cidr)</f>
        <v>#REF!</v>
      </c>
      <c r="J27" s="7"/>
      <c r="K27" s="30" t="s">
        <v>6795</v>
      </c>
      <c r="L27" s="13" t="e">
        <f>IF(OR(wld_az1_rack2_host_overlay_network="Value Missing",wld_az1_rack2_host_overlay_mask="Value Missing"),"Value Missing",(CONCATENATE(wld_az1_rack2_host_overlay_network,"/",VLOOKUP(wld_az1_rack2_host_overlay_mask,table_mask_to_cidr,2,FALSE))))</f>
        <v>#REF!</v>
      </c>
      <c r="M27" s="7"/>
      <c r="N27" s="30" t="s">
        <v>6795</v>
      </c>
      <c r="O27" s="13" t="e">
        <f>IF(OR(wld_az1_rack3_host_overlay_network="Value Missing",wld_az1_rack3_host_overlay_mask="Value Missing"),"Value Missing",(CONCATENATE(wld_az1_rack3_host_overlay_network,"/",VLOOKUP(wld_az1_rack3_host_overlay_mask,table_mask_to_cidr,2,FALSE))))</f>
        <v>#REF!</v>
      </c>
      <c r="P27" s="7"/>
      <c r="Q27" s="30" t="s">
        <v>6795</v>
      </c>
      <c r="R27" s="13" t="e">
        <f>IF(OR(wld_az1_rack4_host_overlay_network="Value Missing",wld_az1_rack4_host_overlay_mask="Value Missing"),"Value Missing",(CONCATENATE(wld_az1_rack4_host_overlay_network,"/",VLOOKUP(wld_az1_rack4_host_overlay_mask,table_mask_to_cidr,2,FALSE))))</f>
        <v>#REF!</v>
      </c>
      <c r="S27" s="7"/>
      <c r="T27" s="30" t="s">
        <v>6795</v>
      </c>
      <c r="U27" s="13" t="e">
        <f>IF(OR(wld_az1_rack5_host_overlay_network="Value Missing",wld_az1_rack5_host_overlay_mask="Value Missing"),"Value Missing",(CONCATENATE(wld_az1_rack5_host_overlay_network,"/",VLOOKUP(wld_az1_rack5_host_overlay_mask,table_mask_to_cidr,2,FALSE))))</f>
        <v>#REF!</v>
      </c>
      <c r="V27" s="7"/>
      <c r="W27" s="30" t="s">
        <v>6795</v>
      </c>
      <c r="X27" s="13" t="e">
        <f>IF(OR(wld_az1_rack6_host_overlay_network="Value Missing",wld_az1_rack6_host_overlay_mask="Value Missing"),"Value Missing",(CONCATENATE(wld_az1_rack6_host_overlay_network,"/",VLOOKUP(wld_az1_rack6_host_overlay_mask,table_mask_to_cidr,2,FALSE))))</f>
        <v>#REF!</v>
      </c>
      <c r="Y27" s="7"/>
      <c r="Z27" s="30" t="s">
        <v>6795</v>
      </c>
      <c r="AA27" s="13" t="e">
        <f>IF(OR(wld_az1_rack7_host_overlay_network="Value Missing",wld_az1_rack7_host_overlay_mask="Value Missing"),"Value Missing",(CONCATENATE(wld_az1_rack7_host_overlay_network,"/",VLOOKUP(wld_az1_rack7_host_overlay_mask,table_mask_to_cidr,2,FALSE))))</f>
        <v>#REF!</v>
      </c>
      <c r="AB27" s="7"/>
      <c r="AC27" s="30" t="s">
        <v>6795</v>
      </c>
      <c r="AD27" s="13" t="e">
        <f>IF(OR(wld_az1_rack8_host_overlay_network="Value Missing",wld_az1_rack8_host_overlay_mask="Value Missing"),"Value Missing",(CONCATENATE(wld_az1_rack8_host_overlay_network,"/",VLOOKUP(wld_az1_rack8_host_overlay_mask,table_mask_to_cidr,2,FALSE))))</f>
        <v>#REF!</v>
      </c>
      <c r="AE27" s="7"/>
      <c r="AF27" s="7"/>
      <c r="AG27" s="27"/>
      <c r="AH27" s="7"/>
      <c r="AI27" s="7"/>
      <c r="AJ27" s="7"/>
      <c r="AK27" s="7"/>
    </row>
    <row r="28" spans="1:37" ht="19.5" customHeight="1">
      <c r="A28" s="7"/>
      <c r="B28" s="30" t="s">
        <v>6830</v>
      </c>
      <c r="C28" s="13" t="str">
        <f>mgmt_flt_fm_reuse_password_chosen</f>
        <v>Unselected</v>
      </c>
      <c r="D28" s="7"/>
      <c r="E28" s="57" t="s">
        <v>6797</v>
      </c>
      <c r="F28" s="13" t="e">
        <f>IF(mgmt_az1_secondary_storage_network="Value missing","Value Missing",CONCATENATE(mgmt_az1_secondary_storage_network,"/",VLOOKUP(mgmt_az1_secondary_storage_mask,table_mask_to_cidr,2,FALSE)))</f>
        <v>#REF!</v>
      </c>
      <c r="G28" s="7"/>
      <c r="H28" s="30" t="s">
        <v>6797</v>
      </c>
      <c r="I28" s="13" t="e">
        <f>IF(wld_az1_secondary_storage_network="Value missing","Value Missing",CONCATENATE(wld_az1_secondary_storage_network,"/",VLOOKUP(wld_az1_secondary_storage_mask,table_mask_to_cidr,2,FALSE)))</f>
        <v>#REF!</v>
      </c>
      <c r="J28" s="7"/>
      <c r="K28" s="30" t="s">
        <v>6797</v>
      </c>
      <c r="L28" s="13" t="str">
        <f>IF(OR(wld_az1_rack2_secondary_storage_network="Value Missing",wld_az1_rack2_secondary_storage_mask="Value Missing"),"Value Missing",(CONCATENATE(wld_az1_rack2_secondary_storage_network,"/",VLOOKUP(wld_az1_rack2_secondary_storage_mask,table_mask_to_cidr,2,FALSE))))</f>
        <v>Value Missing</v>
      </c>
      <c r="M28" s="7"/>
      <c r="N28" s="30" t="s">
        <v>6797</v>
      </c>
      <c r="O28" s="13" t="str">
        <f>IF(OR(wld_az1_rack3_secondary_storage_network="Value Missing",wld_az1_rack3_secondary_storage_mask="Value Missing"),"Value Missing",(CONCATENATE(wld_az1_rack3_secondary_storage_network,"/",VLOOKUP(wld_az1_rack3_secondary_storage_mask,table_mask_to_cidr,2,FALSE))))</f>
        <v>Value Missing</v>
      </c>
      <c r="P28" s="7"/>
      <c r="Q28" s="30" t="s">
        <v>6797</v>
      </c>
      <c r="R28" s="13" t="str">
        <f>IF(OR(wld_az1_rack4_secondary_storage_network="Value Missing",wld_az1_rack4_secondary_storage_mask="Value Missing"),"Value Missing",(CONCATENATE(wld_az1_rack4_secondary_storage_network,"/",VLOOKUP(wld_az1_rack4_secondary_storage_mask,table_mask_to_cidr,2,FALSE))))</f>
        <v>Value Missing</v>
      </c>
      <c r="S28" s="7"/>
      <c r="T28" s="30" t="s">
        <v>6797</v>
      </c>
      <c r="U28" s="13" t="str">
        <f>IF(OR(wld_az1_rack5_secondary_storage_network="Value Missing",wld_az1_rack5_secondary_storage_mask="Value Missing"),"Value Missing",(CONCATENATE(wld_az1_rack5_secondary_storage_network,"/",VLOOKUP(wld_az1_rack5_secondary_storage_mask,table_mask_to_cidr,2,FALSE))))</f>
        <v>Value Missing</v>
      </c>
      <c r="V28" s="7"/>
      <c r="W28" s="30" t="s">
        <v>6797</v>
      </c>
      <c r="X28" s="13" t="str">
        <f>IF(OR(wld_az1_rack6_secondary_storage_network="Value Missing",wld_az1_rack6_secondary_storage_mask="Value Missing"),"Value Missing",(CONCATENATE(wld_az1_rack6_secondary_storage_network,"/",VLOOKUP(wld_az1_rack6_secondary_storage_mask,table_mask_to_cidr,2,FALSE))))</f>
        <v>Value Missing</v>
      </c>
      <c r="Y28" s="7"/>
      <c r="Z28" s="30" t="s">
        <v>6797</v>
      </c>
      <c r="AA28" s="13" t="str">
        <f>IF(OR(wld_az1_rack7_secondary_storage_network="Value Missing",wld_az1_rack7_secondary_storage_mask="Value Missing"),"Value Missing",(CONCATENATE(wld_az1_rack7_secondary_storage_network,"/",VLOOKUP(wld_az1_rack7_secondary_storage_mask,table_mask_to_cidr,2,FALSE))))</f>
        <v>Value Missing</v>
      </c>
      <c r="AB28" s="7"/>
      <c r="AC28" s="30" t="s">
        <v>6797</v>
      </c>
      <c r="AD28" s="13" t="str">
        <f>IF(OR(wld_az1_rack7_secondary_storage_network="Value Missing",wld_az1_rack8_secondary_storage_mask="Value Missing"),"Value Missing",(CONCATENATE(wld_az1_rack8_secondary_storage_network,"/",VLOOKUP(wld_az1_rack8_secondary_storage_mask,table_mask_to_cidr,2,FALSE))))</f>
        <v>Value Missing</v>
      </c>
      <c r="AE28" s="7"/>
      <c r="AF28" s="7"/>
      <c r="AG28" s="27"/>
      <c r="AH28" s="7"/>
      <c r="AI28" s="7"/>
      <c r="AJ28" s="7"/>
      <c r="AK28" s="7"/>
    </row>
    <row r="29" spans="1:37" ht="19.5" customHeight="1">
      <c r="A29" s="7"/>
      <c r="B29" s="7"/>
      <c r="C29" s="7"/>
      <c r="D29" s="7"/>
      <c r="E29" s="57" t="s">
        <v>6831</v>
      </c>
      <c r="F29" s="13" t="e">
        <f>IF(mgmt_az1_vcf_mgmt_network="Value missing","Value Missing",CONCATENATE(mgmt_az1_vcf_mgmt_network,"/",VLOOKUP(mgmt_az1_vcf_mgmt_mask,table_mask_to_cidr,2,FALSE)))</f>
        <v>#REF!</v>
      </c>
      <c r="G29" s="7"/>
      <c r="H29" s="30" t="s">
        <v>6800</v>
      </c>
      <c r="I29" s="13" t="e">
        <f>IF(wld_az1_storage_cluster_network="Value missing","Value Missing",CONCATENATE(wld_az1_storage_cluster_network,"/",VLOOKUP(wld_az1_storage_cluster_mask,table_mask_to_cidr,2,FALSE)))</f>
        <v>#REF!</v>
      </c>
      <c r="J29" s="7"/>
      <c r="K29" s="42" t="s">
        <v>6800</v>
      </c>
      <c r="L29" s="13"/>
      <c r="M29" s="7"/>
      <c r="N29" s="42" t="s">
        <v>6800</v>
      </c>
      <c r="O29" s="13"/>
      <c r="P29" s="7"/>
      <c r="Q29" s="42" t="s">
        <v>6800</v>
      </c>
      <c r="R29" s="13"/>
      <c r="S29" s="7"/>
      <c r="T29" s="42" t="s">
        <v>6800</v>
      </c>
      <c r="U29" s="13"/>
      <c r="V29" s="7"/>
      <c r="W29" s="42" t="s">
        <v>6800</v>
      </c>
      <c r="X29" s="13"/>
      <c r="Y29" s="7"/>
      <c r="Z29" s="42" t="s">
        <v>6800</v>
      </c>
      <c r="AA29" s="13"/>
      <c r="AB29" s="7"/>
      <c r="AC29" s="42" t="s">
        <v>6800</v>
      </c>
      <c r="AD29" s="13"/>
      <c r="AE29" s="7"/>
      <c r="AF29" s="7"/>
      <c r="AG29" s="27"/>
      <c r="AH29" s="7"/>
      <c r="AI29" s="7"/>
      <c r="AJ29" s="7"/>
      <c r="AK29" s="7"/>
    </row>
    <row r="30" spans="1:37" ht="19.5" customHeight="1">
      <c r="A30" s="7"/>
      <c r="B30" s="205" t="s">
        <v>6832</v>
      </c>
      <c r="C30" s="200"/>
      <c r="D30" s="7"/>
      <c r="E30" s="30" t="s">
        <v>6802</v>
      </c>
      <c r="F30" s="13" t="e">
        <f>IF(ISBLANK(input_mgmt_az1_uplink01_cidr),"Value Missing",input_mgmt_az1_uplink01_cidr)</f>
        <v>#REF!</v>
      </c>
      <c r="G30" s="7"/>
      <c r="H30" s="30" t="s">
        <v>6802</v>
      </c>
      <c r="I30" s="13" t="e">
        <f>IF(ISBLANK(input_wld_az1_uplink01_cidr),"Value Missing",input_wld_az1_uplink01_cidr)</f>
        <v>#REF!</v>
      </c>
      <c r="J30" s="7"/>
      <c r="K30" s="30" t="s">
        <v>6802</v>
      </c>
      <c r="L30" s="13" t="str">
        <f>IF(OR(wld_az1_rack2_uplink01_network="Value Missing",wld_az1_rack2_uplink01_mask="Value Missing"),"Value Missing",(CONCATENATE(wld_az1_rack2_uplink01_network,"/",VLOOKUP(wld_az1_rack2_uplink01_mask,table_mask_to_cidr,2,FALSE))))</f>
        <v>Value Missing</v>
      </c>
      <c r="M30" s="7"/>
      <c r="N30" s="30" t="s">
        <v>6802</v>
      </c>
      <c r="O30" s="13" t="str">
        <f>IF(OR(wld_az1_rack3_uplink01_network="Value Missing",wld_az1_rack3_uplink01_mask="Value Missing"),"Value Missing",(CONCATENATE(wld_az1_rack3_uplink01_network,"/",VLOOKUP(wld_az1_rack3_uplink01_mask,table_mask_to_cidr,2,FALSE))))</f>
        <v>Value Missing</v>
      </c>
      <c r="P30" s="7"/>
      <c r="Q30" s="30" t="s">
        <v>6802</v>
      </c>
      <c r="R30" s="13" t="str">
        <f>IF(OR(wld_az1_rack4_uplink01_network="Value Missing",wld_az1_rack4_uplink01_mask="Value Missing"),"Value Missing",(CONCATENATE(wld_az1_rack4_uplink01_network,"/",VLOOKUP(wld_az1_rack4_uplink01_mask,table_mask_to_cidr,2,FALSE))))</f>
        <v>Value Missing</v>
      </c>
      <c r="S30" s="7"/>
      <c r="T30" s="30" t="s">
        <v>6802</v>
      </c>
      <c r="U30" s="13" t="str">
        <f>IF(OR(wld_az1_rack5_uplink01_network="Value Missing",wld_az1_rack5_uplink01_mask="Value Missing"),"Value Missing",(CONCATENATE(wld_az1_rack5_uplink01_network,"/",VLOOKUP(wld_az1_rack5_uplink01_mask,table_mask_to_cidr,2,FALSE))))</f>
        <v>Value Missing</v>
      </c>
      <c r="V30" s="7"/>
      <c r="W30" s="30" t="s">
        <v>6802</v>
      </c>
      <c r="X30" s="13" t="str">
        <f>IF(OR(wld_az1_rack6_uplink01_network="Value Missing",wld_az1_rack6_uplink01_mask="Value Missing"),"Value Missing",(CONCATENATE(wld_az1_rack6_uplink01_network,"/",VLOOKUP(wld_az1_rack6_uplink01_mask,table_mask_to_cidr,2,FALSE))))</f>
        <v>Value Missing</v>
      </c>
      <c r="Y30" s="7"/>
      <c r="Z30" s="30" t="s">
        <v>6802</v>
      </c>
      <c r="AA30" s="13" t="str">
        <f>IF(OR(wld_az1_rack7_uplink01_network="Value Missing",wld_az1_rack7_uplink01_mask="Value Missing"),"Value Missing",(CONCATENATE(wld_az1_rack7_uplink01_network,"/",VLOOKUP(wld_az1_rack7_uplink01_mask,table_mask_to_cidr,2,FALSE))))</f>
        <v>Value Missing</v>
      </c>
      <c r="AB30" s="7"/>
      <c r="AC30" s="30" t="s">
        <v>6802</v>
      </c>
      <c r="AD30" s="13" t="str">
        <f>IF(OR(wld_az1_rack8_uplink01_network="Value Missing",wld_az1_rack8_uplink01_mask="Value Missing"),"Value Missing",(CONCATENATE(wld_az1_rack8_uplink01_network,"/",VLOOKUP(wld_az1_rack8_uplink01_mask,table_mask_to_cidr,2,FALSE))))</f>
        <v>Value Missing</v>
      </c>
      <c r="AE30" s="7"/>
      <c r="AF30" s="7"/>
      <c r="AG30" s="27"/>
      <c r="AH30" s="7"/>
      <c r="AI30" s="7"/>
      <c r="AJ30" s="7"/>
      <c r="AK30" s="7"/>
    </row>
    <row r="31" spans="1:37" ht="19.5" customHeight="1">
      <c r="A31" s="7"/>
      <c r="B31" s="52" t="s">
        <v>6780</v>
      </c>
      <c r="C31" s="52" t="s">
        <v>6291</v>
      </c>
      <c r="D31" s="7"/>
      <c r="E31" s="30" t="s">
        <v>6804</v>
      </c>
      <c r="F31" s="13" t="e">
        <f>IF(ISBLANK(input_mgmt_az1_uplink02_cidr),"Value Missing",input_mgmt_az1_uplink02_cidr)</f>
        <v>#REF!</v>
      </c>
      <c r="G31" s="7"/>
      <c r="H31" s="30" t="s">
        <v>6804</v>
      </c>
      <c r="I31" s="13" t="e">
        <f>IF(ISBLANK(input_wld_az1_uplink02_cidr),"Value Missing",input_wld_az1_uplink02_cidr)</f>
        <v>#REF!</v>
      </c>
      <c r="J31" s="7"/>
      <c r="K31" s="30" t="s">
        <v>6804</v>
      </c>
      <c r="L31" s="13" t="str">
        <f>IF(OR(wld_az1_rack2_uplink02_network="Value Missing",wld_az1_rack2_uplink02_mask="Value Missing"),"Value Missing",(CONCATENATE(wld_az1_rack2_uplink02_network,"/",VLOOKUP(wld_az1_rack2_uplink02_mask,table_mask_to_cidr,2,FALSE))))</f>
        <v>Value Missing</v>
      </c>
      <c r="M31" s="7"/>
      <c r="N31" s="30" t="s">
        <v>6804</v>
      </c>
      <c r="O31" s="13" t="str">
        <f>IF(OR(wld_az1_rack3_uplink02_network="Value Missing",wld_az1_rack3_uplink02_mask="Value Missing"),"Value Missing",(CONCATENATE(wld_az1_rack3_uplink02_network,"/",VLOOKUP(wld_az1_rack3_uplink02_mask,table_mask_to_cidr,2,FALSE))))</f>
        <v>Value Missing</v>
      </c>
      <c r="P31" s="7"/>
      <c r="Q31" s="30" t="s">
        <v>6804</v>
      </c>
      <c r="R31" s="13" t="str">
        <f>IF(OR(wld_az1_rack4_uplink02_network="Value Missing",wld_az1_rack4_uplink02_mask="Value Missing"),"Value Missing",(CONCATENATE(wld_az1_rack4_uplink02_network,"/",VLOOKUP(wld_az1_rack4_uplink02_mask,table_mask_to_cidr,2,FALSE))))</f>
        <v>Value Missing</v>
      </c>
      <c r="S31" s="7"/>
      <c r="T31" s="30" t="s">
        <v>6804</v>
      </c>
      <c r="U31" s="13" t="str">
        <f>IF(OR(wld_az1_rack5_uplink02_network="Value Missing",wld_az1_rack5_uplink02_mask="Value Missing"),"Value Missing",(CONCATENATE(wld_az1_rack5_uplink02_network,"/",VLOOKUP(wld_az1_rack5_uplink02_mask,table_mask_to_cidr,2,FALSE))))</f>
        <v>Value Missing</v>
      </c>
      <c r="V31" s="7"/>
      <c r="W31" s="30" t="s">
        <v>6804</v>
      </c>
      <c r="X31" s="13" t="str">
        <f>IF(OR(wld_az1_rack6_uplink02_network="Value Missing",wld_az1_rack6_uplink02_mask="Value Missing"),"Value Missing",(CONCATENATE(wld_az1_rack6_uplink02_network,"/",VLOOKUP(wld_az1_rack6_uplink02_mask,table_mask_to_cidr,2,FALSE))))</f>
        <v>Value Missing</v>
      </c>
      <c r="Y31" s="7"/>
      <c r="Z31" s="30" t="s">
        <v>6804</v>
      </c>
      <c r="AA31" s="13" t="str">
        <f>IF(OR(wld_az1_rack7_uplink02_network="Value Missing",wld_az1_rack7_uplink02_mask="Value Missing"),"Value Missing",(CONCATENATE(wld_az1_rack7_uplink02_network,"/",VLOOKUP(wld_az1_rack7_uplink02_mask,table_mask_to_cidr,2,FALSE))))</f>
        <v>Value Missing</v>
      </c>
      <c r="AB31" s="7"/>
      <c r="AC31" s="30" t="s">
        <v>6804</v>
      </c>
      <c r="AD31" s="13" t="str">
        <f>IF(OR(wld_az1_rack8_uplink02_network="Value Missing",wld_az1_rack8_uplink02_mask="Value Missing"),"Value Missing",(CONCATENATE(wld_az1_rack8_uplink02_network,"/",VLOOKUP(wld_az1_rack8_uplink02_mask,table_mask_to_cidr,2,FALSE))))</f>
        <v>Value Missing</v>
      </c>
      <c r="AE31" s="7"/>
      <c r="AF31" s="7"/>
      <c r="AG31" s="27"/>
      <c r="AH31" s="7"/>
      <c r="AI31" s="7"/>
      <c r="AJ31" s="7"/>
      <c r="AK31" s="7"/>
    </row>
    <row r="32" spans="1:37" ht="19.5" customHeight="1">
      <c r="A32" s="7"/>
      <c r="B32" s="52" t="s">
        <v>6833</v>
      </c>
      <c r="C32" s="52"/>
      <c r="D32" s="7"/>
      <c r="E32" s="30" t="s">
        <v>6806</v>
      </c>
      <c r="F32" s="13" t="e">
        <f>IF(ISBLANK(input_mgmt_az1_edge_overlay_cidr),"Value Missing",input_mgmt_az1_edge_overlay_cidr)</f>
        <v>#REF!</v>
      </c>
      <c r="G32" s="7"/>
      <c r="H32" s="30" t="s">
        <v>6806</v>
      </c>
      <c r="I32" s="13" t="e">
        <f>IF(ISBLANK(input_wld_az1_edge_overlay_cidr),"Value Missing",input_wld_az1_edge_overlay_cidr)</f>
        <v>#REF!</v>
      </c>
      <c r="J32" s="7"/>
      <c r="K32" s="30" t="s">
        <v>6806</v>
      </c>
      <c r="L32" s="13" t="str">
        <f>IF(OR(wld_az1_rack2_edge_overlay_network="Value Missing",wld_az1_rack2_edge_overlay_mask="Value Missing"),"Value Missing",(CONCATENATE(wld_az1_rack2_edge_overlay_network,"/",VLOOKUP(wld_az1_rack2_edge_overlay_mask,table_mask_to_cidr,2,FALSE))))</f>
        <v>Value Missing</v>
      </c>
      <c r="M32" s="7"/>
      <c r="N32" s="30" t="s">
        <v>6806</v>
      </c>
      <c r="O32" s="13" t="str">
        <f>IF(OR(wld_az1_rack3_edge_overlay_network="Value Missing",wld_az1_rack3_edge_overlay_mask="Value Missing"),"Value Missing",(CONCATENATE(wld_az1_rack3_edge_overlay_network,"/",VLOOKUP(wld_az1_rack3_edge_overlay_mask,table_mask_to_cidr,2,FALSE))))</f>
        <v>Value Missing</v>
      </c>
      <c r="P32" s="7"/>
      <c r="Q32" s="30" t="s">
        <v>6806</v>
      </c>
      <c r="R32" s="13" t="str">
        <f>IF(OR(wld_az1_rack4_edge_overlay_network="Value Missing",wld_az1_rack4_edge_overlay_mask="Value Missing"),"Value Missing",(CONCATENATE(wld_az1_rack4_edge_overlay_network,"/",VLOOKUP(wld_az1_rack4_edge_overlay_mask,table_mask_to_cidr,2,FALSE))))</f>
        <v>Value Missing</v>
      </c>
      <c r="S32" s="7"/>
      <c r="T32" s="30" t="s">
        <v>6806</v>
      </c>
      <c r="U32" s="13" t="str">
        <f>IF(OR(wld_az1_rack5_edge_overlay_network="Value Missing",wld_az1_rack5_edge_overlay_mask="Value Missing"),"Value Missing",(CONCATENATE(wld_az1_rack5_edge_overlay_network,"/",VLOOKUP(wld_az1_rack5_edge_overlay_mask,table_mask_to_cidr,2,FALSE))))</f>
        <v>Value Missing</v>
      </c>
      <c r="V32" s="7"/>
      <c r="W32" s="30" t="s">
        <v>6806</v>
      </c>
      <c r="X32" s="13" t="str">
        <f>IF(OR(wld_az1_rack6_edge_overlay_network="Value Missing",wld_az1_rack6_edge_overlay_mask="Value Missing"),"Value Missing",(CONCATENATE(wld_az1_rack6_edge_overlay_network,"/",VLOOKUP(wld_az1_rack6_edge_overlay_mask,table_mask_to_cidr,2,FALSE))))</f>
        <v>Value Missing</v>
      </c>
      <c r="Y32" s="7"/>
      <c r="Z32" s="30" t="s">
        <v>6806</v>
      </c>
      <c r="AA32" s="13" t="str">
        <f>IF(OR(wld_az1_rack7_edge_overlay_network="Value Missing",wld_az1_rack7_edge_overlay_mask="Value Missing"),"Value Missing",(CONCATENATE(wld_az1_rack7_edge_overlay_network,"/",VLOOKUP(wld_az1_rack7_edge_overlay_mask,table_mask_to_cidr,2,FALSE))))</f>
        <v>Value Missing</v>
      </c>
      <c r="AB32" s="7"/>
      <c r="AC32" s="30" t="s">
        <v>6806</v>
      </c>
      <c r="AD32" s="13" t="str">
        <f>IF(OR(wld_az1_rack8_edge_overlay_network="Value Missing",wld_az1_rack8_edge_overlay_mask="Value Missing"),"Value Missing",(CONCATENATE(wld_az1_rack8_edge_overlay_network,"/",VLOOKUP(wld_az1_rack8_edge_overlay_mask,table_mask_to_cidr,2,FALSE))))</f>
        <v>Value Missing</v>
      </c>
      <c r="AE32" s="7"/>
      <c r="AF32" s="7"/>
      <c r="AG32" s="27"/>
      <c r="AH32" s="7"/>
      <c r="AI32" s="7"/>
      <c r="AJ32" s="7"/>
      <c r="AK32" s="7"/>
    </row>
    <row r="33" spans="1:37" ht="19.5" customHeight="1">
      <c r="A33" s="7"/>
      <c r="B33" s="30" t="s">
        <v>6834</v>
      </c>
      <c r="C33" s="13" t="e">
        <f>parent_dns_zone</f>
        <v>#REF!</v>
      </c>
      <c r="D33" s="7"/>
      <c r="E33" s="30" t="s">
        <v>6809</v>
      </c>
      <c r="F33" s="13" t="e">
        <f>IF(ISBLANK(input_mgmt_az1_rtep_overlay_cidr),"Value Missing",input_mgmt_az1_rtep_overlay_cidr)</f>
        <v>#REF!</v>
      </c>
      <c r="G33" s="7"/>
      <c r="H33" s="30" t="s">
        <v>6809</v>
      </c>
      <c r="I33" s="13" t="e">
        <f>IF(ISBLANK(input_wld_az1_rtep_overlay_cidr),"Value Missing",input_wld_az1_rtep_overlay_cidr)</f>
        <v>#REF!</v>
      </c>
      <c r="J33" s="7"/>
      <c r="K33" s="30" t="s">
        <v>6809</v>
      </c>
      <c r="L33" s="13"/>
      <c r="M33" s="7"/>
      <c r="N33" s="30" t="s">
        <v>6809</v>
      </c>
      <c r="O33" s="13"/>
      <c r="P33" s="7"/>
      <c r="Q33" s="30" t="s">
        <v>6809</v>
      </c>
      <c r="R33" s="13"/>
      <c r="S33" s="7"/>
      <c r="T33" s="30" t="s">
        <v>6809</v>
      </c>
      <c r="U33" s="13"/>
      <c r="V33" s="7"/>
      <c r="W33" s="30" t="s">
        <v>6809</v>
      </c>
      <c r="X33" s="13"/>
      <c r="Y33" s="7"/>
      <c r="Z33" s="30" t="s">
        <v>6809</v>
      </c>
      <c r="AA33" s="13"/>
      <c r="AB33" s="7"/>
      <c r="AC33" s="30" t="s">
        <v>6809</v>
      </c>
      <c r="AD33" s="13"/>
      <c r="AE33" s="7"/>
      <c r="AF33" s="7"/>
      <c r="AG33" s="27"/>
      <c r="AH33" s="7"/>
      <c r="AI33" s="7"/>
      <c r="AJ33" s="7"/>
      <c r="AK33" s="7"/>
    </row>
    <row r="34" spans="1:37" ht="19.5" customHeight="1">
      <c r="A34" s="7"/>
      <c r="B34" s="30" t="s">
        <v>6835</v>
      </c>
      <c r="C34" s="13" t="e">
        <f>region_dns1_ip</f>
        <v>#REF!</v>
      </c>
      <c r="D34" s="7"/>
      <c r="E34" s="30" t="s">
        <v>6811</v>
      </c>
      <c r="F34" s="13"/>
      <c r="G34" s="7"/>
      <c r="H34" s="30" t="s">
        <v>6811</v>
      </c>
      <c r="I34" s="13" t="str">
        <f>IF(ISBLANK(input_wld_az1_vrms_cidr),"Value Missing",input_wld_az1_vrms_cidr)</f>
        <v>Value Missing</v>
      </c>
      <c r="J34" s="7"/>
      <c r="K34" s="30" t="s">
        <v>6811</v>
      </c>
      <c r="L34" s="13"/>
      <c r="M34" s="7"/>
      <c r="N34" s="30" t="s">
        <v>6811</v>
      </c>
      <c r="O34" s="13"/>
      <c r="P34" s="7"/>
      <c r="Q34" s="30" t="s">
        <v>6811</v>
      </c>
      <c r="R34" s="13"/>
      <c r="S34" s="7"/>
      <c r="T34" s="30" t="s">
        <v>6811</v>
      </c>
      <c r="U34" s="13"/>
      <c r="V34" s="7"/>
      <c r="W34" s="30" t="s">
        <v>6811</v>
      </c>
      <c r="X34" s="13"/>
      <c r="Y34" s="7"/>
      <c r="Z34" s="30" t="s">
        <v>6811</v>
      </c>
      <c r="AA34" s="13"/>
      <c r="AB34" s="7"/>
      <c r="AC34" s="30" t="s">
        <v>6811</v>
      </c>
      <c r="AD34" s="13"/>
      <c r="AE34" s="7"/>
      <c r="AF34" s="7"/>
      <c r="AG34" s="27"/>
      <c r="AH34" s="27"/>
      <c r="AI34" s="7"/>
      <c r="AJ34" s="7"/>
      <c r="AK34" s="7"/>
    </row>
    <row r="35" spans="1:37" ht="19.5" customHeight="1">
      <c r="A35" s="7"/>
      <c r="B35" s="30" t="s">
        <v>6836</v>
      </c>
      <c r="C35" s="13" t="e">
        <f>region_dns2_ip</f>
        <v>#REF!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27"/>
      <c r="AH35" s="27"/>
      <c r="AI35" s="7"/>
      <c r="AJ35" s="7"/>
      <c r="AK35" s="7"/>
    </row>
    <row r="36" spans="1:37" ht="19.5" customHeight="1">
      <c r="A36" s="7"/>
      <c r="B36" s="52" t="s">
        <v>6837</v>
      </c>
      <c r="C36" s="52"/>
      <c r="D36" s="7"/>
      <c r="E36" s="47" t="s">
        <v>6838</v>
      </c>
      <c r="F36" s="48"/>
      <c r="G36" s="7"/>
      <c r="H36" s="47" t="s">
        <v>6839</v>
      </c>
      <c r="I36" s="48"/>
      <c r="J36" s="7"/>
      <c r="K36" s="47" t="s">
        <v>6840</v>
      </c>
      <c r="L36" s="48"/>
      <c r="M36" s="7"/>
      <c r="N36" s="47" t="s">
        <v>6841</v>
      </c>
      <c r="O36" s="48"/>
      <c r="P36" s="7"/>
      <c r="Q36" s="49" t="s">
        <v>6842</v>
      </c>
      <c r="R36" s="50"/>
      <c r="S36" s="7"/>
      <c r="T36" s="49" t="s">
        <v>6843</v>
      </c>
      <c r="U36" s="50"/>
      <c r="V36" s="7"/>
      <c r="W36" s="49" t="s">
        <v>6844</v>
      </c>
      <c r="X36" s="50"/>
      <c r="Y36" s="7"/>
      <c r="Z36" s="49" t="s">
        <v>6845</v>
      </c>
      <c r="AA36" s="50"/>
      <c r="AB36" s="7"/>
      <c r="AC36" s="49" t="s">
        <v>6846</v>
      </c>
      <c r="AD36" s="50"/>
      <c r="AE36" s="7"/>
      <c r="AF36" s="7"/>
      <c r="AG36" s="27"/>
      <c r="AH36" s="27"/>
      <c r="AI36" s="7"/>
      <c r="AJ36" s="7"/>
      <c r="AK36" s="7"/>
    </row>
    <row r="37" spans="1:37" ht="19.5" customHeight="1">
      <c r="A37" s="7"/>
      <c r="B37" s="30" t="s">
        <v>6835</v>
      </c>
      <c r="C37" s="13" t="e">
        <f>region_ntp1_server</f>
        <v>#REF!</v>
      </c>
      <c r="D37" s="7"/>
      <c r="E37" s="52" t="s">
        <v>6780</v>
      </c>
      <c r="F37" s="52" t="s">
        <v>6781</v>
      </c>
      <c r="G37" s="7"/>
      <c r="H37" s="52" t="s">
        <v>6780</v>
      </c>
      <c r="I37" s="52" t="s">
        <v>6781</v>
      </c>
      <c r="J37" s="7"/>
      <c r="K37" s="52" t="s">
        <v>6780</v>
      </c>
      <c r="L37" s="52" t="s">
        <v>6781</v>
      </c>
      <c r="M37" s="7"/>
      <c r="N37" s="52" t="s">
        <v>6780</v>
      </c>
      <c r="O37" s="52" t="s">
        <v>6781</v>
      </c>
      <c r="P37" s="7"/>
      <c r="Q37" s="52" t="s">
        <v>6780</v>
      </c>
      <c r="R37" s="52" t="s">
        <v>6781</v>
      </c>
      <c r="S37" s="53"/>
      <c r="T37" s="52" t="s">
        <v>6780</v>
      </c>
      <c r="U37" s="52" t="s">
        <v>6781</v>
      </c>
      <c r="V37" s="53"/>
      <c r="W37" s="52" t="s">
        <v>6780</v>
      </c>
      <c r="X37" s="52" t="s">
        <v>6781</v>
      </c>
      <c r="Y37" s="53"/>
      <c r="Z37" s="52" t="s">
        <v>6780</v>
      </c>
      <c r="AA37" s="52" t="s">
        <v>6781</v>
      </c>
      <c r="AB37" s="53"/>
      <c r="AC37" s="52" t="s">
        <v>6780</v>
      </c>
      <c r="AD37" s="52" t="s">
        <v>6781</v>
      </c>
      <c r="AE37" s="7"/>
      <c r="AF37" s="7"/>
      <c r="AG37" s="27"/>
      <c r="AH37" s="27"/>
      <c r="AI37" s="7"/>
      <c r="AJ37" s="7"/>
      <c r="AK37" s="7"/>
    </row>
    <row r="38" spans="1:37" ht="19.5" customHeight="1">
      <c r="A38" s="7"/>
      <c r="B38" s="30" t="s">
        <v>6836</v>
      </c>
      <c r="C38" s="13" t="e">
        <f>region_ntp2_server</f>
        <v>#REF!</v>
      </c>
      <c r="D38" s="7"/>
      <c r="E38" s="30" t="s">
        <v>6784</v>
      </c>
      <c r="F38" s="13" t="e">
        <f>IF(mgmt_az1_mgmt_vm_gateway_cidr="Value Missing","Value Missing",CONCATENATE(_xludf.TEXTBEFORE(mgmt_az1_mgmt_vm_gateway_cidr,".",3),".0"))</f>
        <v>#REF!</v>
      </c>
      <c r="G38" s="7"/>
      <c r="H38" s="30" t="s">
        <v>6784</v>
      </c>
      <c r="I38" s="13" t="e">
        <f>IF(wld_az1_mgmt_vm_gateway_cidr="Value Missing","Value Missing",CONCATENATE(_xludf.TEXTBEFORE(wld_az1_mgmt_vm_gateway_cidr,".",3),".0"))</f>
        <v>#REF!</v>
      </c>
      <c r="J38" s="7"/>
      <c r="K38" s="30" t="s">
        <v>6784</v>
      </c>
      <c r="L38" s="7"/>
      <c r="M38" s="7"/>
      <c r="N38" s="30" t="s">
        <v>6784</v>
      </c>
      <c r="O38" s="7"/>
      <c r="P38" s="7"/>
      <c r="Q38" s="30" t="s">
        <v>6784</v>
      </c>
      <c r="R38" s="7"/>
      <c r="S38" s="7"/>
      <c r="T38" s="30" t="s">
        <v>6784</v>
      </c>
      <c r="U38" s="7"/>
      <c r="V38" s="7"/>
      <c r="W38" s="30" t="s">
        <v>6784</v>
      </c>
      <c r="X38" s="7"/>
      <c r="Y38" s="7"/>
      <c r="Z38" s="30" t="s">
        <v>6784</v>
      </c>
      <c r="AA38" s="7"/>
      <c r="AB38" s="7"/>
      <c r="AC38" s="30" t="s">
        <v>6784</v>
      </c>
      <c r="AD38" s="7"/>
      <c r="AE38" s="7"/>
      <c r="AF38" s="7"/>
      <c r="AG38" s="27"/>
      <c r="AH38" s="27"/>
      <c r="AI38" s="7"/>
      <c r="AJ38" s="7"/>
      <c r="AK38" s="7"/>
    </row>
    <row r="39" spans="1:37" ht="19.5" customHeight="1">
      <c r="A39" s="7"/>
      <c r="B39" s="61" t="s">
        <v>6847</v>
      </c>
      <c r="C39" s="13"/>
      <c r="D39" s="7"/>
      <c r="E39" s="30" t="s">
        <v>6787</v>
      </c>
      <c r="F39" s="13" t="e">
        <f>IF(mgmt_az1_mgmt_gateway_cidr="Value Missing","Value Missing",CONCATENATE(_xludf.TEXTBEFORE(mgmt_az1_mgmt_gateway_cidr,".",3),".0"))</f>
        <v>#REF!</v>
      </c>
      <c r="G39" s="7"/>
      <c r="H39" s="30" t="s">
        <v>6787</v>
      </c>
      <c r="I39" s="13" t="e">
        <f>IF(wld_az1_mgmt_gateway_cidr="Value Missing","Value Missing",CONCATENATE(_xludf.TEXTBEFORE(wld_az1_mgmt_gateway_cidr,".",3),".0"))</f>
        <v>#REF!</v>
      </c>
      <c r="J39" s="7"/>
      <c r="K39" s="30" t="s">
        <v>6787</v>
      </c>
      <c r="L39" s="13" t="e">
        <f>IF(wld_az1_rack2_mgmt_cidr="Value Missing","Value Missing",IF(ISBLANK(wld_az1_rack2_mgmt_cidr),"Value Missing",LEFT(wld_az1_rack2_mgmt_cidr,(FIND("/",wld_az1_rack2_mgmt_cidr)-1))))</f>
        <v>#REF!</v>
      </c>
      <c r="M39" s="7"/>
      <c r="N39" s="30" t="s">
        <v>6787</v>
      </c>
      <c r="O39" s="13" t="e">
        <f>IF(wld_az1_rack3_mgmt_cidr="Value Missing","Value Missing",IF(ISBLANK(wld_az1_rack3_mgmt_cidr),"Value Missing",LEFT(wld_az1_rack3_mgmt_cidr,(FIND("/",wld_az1_rack3_mgmt_cidr)-1))))</f>
        <v>#REF!</v>
      </c>
      <c r="P39" s="7"/>
      <c r="Q39" s="30" t="s">
        <v>6787</v>
      </c>
      <c r="R39" s="13" t="e">
        <f>IF(wld_az1_rack4_mgmt_cidr="Value Missing","Value Missing",IF(ISBLANK(wld_az1_rack4_mgmt_cidr),"Value Missing",LEFT(wld_az1_rack4_mgmt_cidr,(FIND("/",wld_az1_rack4_mgmt_cidr)-1))))</f>
        <v>#REF!</v>
      </c>
      <c r="S39" s="7"/>
      <c r="T39" s="30" t="s">
        <v>6787</v>
      </c>
      <c r="U39" s="13" t="e">
        <f>IF(wld_az1_rack5_mgmt_cidr="Value Missing","Value Missing",IF(ISBLANK(wld_az1_rack5_mgmt_cidr),"Value Missing",LEFT(wld_az1_rack5_mgmt_cidr,(FIND("/",wld_az1_rack5_mgmt_cidr)-1))))</f>
        <v>#REF!</v>
      </c>
      <c r="V39" s="7"/>
      <c r="W39" s="30" t="s">
        <v>6787</v>
      </c>
      <c r="X39" s="13" t="e">
        <f>IF(wld_az1_rack6_mgmt_cidr="Value Missing","Value Missing",IF(ISBLANK(wld_az1_rack6_mgmt_cidr),"Value Missing",LEFT(wld_az1_rack6_mgmt_cidr,(FIND("/",wld_az1_rack6_mgmt_cidr)-1))))</f>
        <v>#REF!</v>
      </c>
      <c r="Y39" s="7"/>
      <c r="Z39" s="30" t="s">
        <v>6787</v>
      </c>
      <c r="AA39" s="13" t="e">
        <f>IF(wld_az1_rack7_mgmt_cidr="Value Missing","Value Missing",IF(ISBLANK(wld_az1_rack7_mgmt_cidr),"Value Missing",LEFT(wld_az1_rack7_mgmt_cidr,(FIND("/",wld_az1_rack7_mgmt_cidr)-1))))</f>
        <v>#REF!</v>
      </c>
      <c r="AB39" s="7"/>
      <c r="AC39" s="30" t="s">
        <v>6787</v>
      </c>
      <c r="AD39" s="13" t="e">
        <f>IF(wld_az1_rack8_mgmt_cidr="Value Missing","Value Missing",IF(ISBLANK(wld_az1_rack8_mgmt_cidr),"Value Missing",LEFT(wld_az1_rack8_mgmt_cidr,(FIND("/",wld_az1_rack8_mgmt_cidr)-1))))</f>
        <v>#REF!</v>
      </c>
      <c r="AE39" s="7"/>
      <c r="AF39" s="7"/>
      <c r="AG39" s="27"/>
      <c r="AH39" s="27"/>
      <c r="AI39" s="7"/>
      <c r="AJ39" s="7"/>
      <c r="AK39" s="7"/>
    </row>
    <row r="40" spans="1:37" ht="19.5" customHeight="1">
      <c r="A40" s="7"/>
      <c r="B40" s="30" t="s">
        <v>6848</v>
      </c>
      <c r="C40" s="13" t="e">
        <f>IF(ISBLANK(mgmt_ceip_status_chosen),"Value Missing",mgmt_ceip_status_chosen)</f>
        <v>#REF!</v>
      </c>
      <c r="D40" s="7"/>
      <c r="E40" s="30" t="s">
        <v>6790</v>
      </c>
      <c r="F40" s="13" t="e">
        <f>IF(mgmt_az1_vmotion_gateway_cidr="Value Missing","Value Missing",CONCATENATE(_xludf.TEXTBEFORE(mgmt_az1_vmotion_gateway_cidr,".",3),".0"))</f>
        <v>#REF!</v>
      </c>
      <c r="G40" s="7"/>
      <c r="H40" s="30" t="s">
        <v>6790</v>
      </c>
      <c r="I40" s="13" t="e">
        <f>IF(wld_az1_vmotion_gateway_cidr="Value Missing","Value Missing",CONCATENATE(_xludf.TEXTBEFORE(wld_az1_vmotion_gateway_cidr,".",3),".0"))</f>
        <v>#REF!</v>
      </c>
      <c r="J40" s="7"/>
      <c r="K40" s="30" t="s">
        <v>6790</v>
      </c>
      <c r="L40" s="13" t="e">
        <f>IF(ISBLANK(input_wld_az1_rack2_vmotion_network),"Value Missing",input_wld_az1_rack2_vmotion_network)</f>
        <v>#REF!</v>
      </c>
      <c r="M40" s="7"/>
      <c r="N40" s="30" t="s">
        <v>6790</v>
      </c>
      <c r="O40" s="13" t="e">
        <f>IF(ISBLANK(input_wld_az1_rack3_vmotion_network),"Value Missing",input_wld_az1_rack3_vmotion_network)</f>
        <v>#REF!</v>
      </c>
      <c r="P40" s="7"/>
      <c r="Q40" s="30" t="s">
        <v>6790</v>
      </c>
      <c r="R40" s="13" t="e">
        <f>IF(ISBLANK(input_wld_az1_rack4_vmotion_network),"Value Missing",input_wld_az1_rack4_vmotion_network)</f>
        <v>#REF!</v>
      </c>
      <c r="S40" s="7"/>
      <c r="T40" s="30" t="s">
        <v>6790</v>
      </c>
      <c r="U40" s="13" t="e">
        <f>IF(ISBLANK(input_wld_az1_rack5_vmotion_network),"Value Missing",input_wld_az1_rack5_vmotion_network)</f>
        <v>#REF!</v>
      </c>
      <c r="V40" s="7"/>
      <c r="W40" s="30" t="s">
        <v>6790</v>
      </c>
      <c r="X40" s="13" t="e">
        <f>IF(ISBLANK(input_wld_az1_rack6_vmotion_network),"Value Missing",input_wld_az1_rack6_vmotion_network)</f>
        <v>#REF!</v>
      </c>
      <c r="Y40" s="7"/>
      <c r="Z40" s="30" t="s">
        <v>6790</v>
      </c>
      <c r="AA40" s="13" t="e">
        <f>IF(ISBLANK(input_wld_az1_rack7_vmotion_network),"Value Missing",input_wld_az1_rack7_vmotion_network)</f>
        <v>#REF!</v>
      </c>
      <c r="AB40" s="7"/>
      <c r="AC40" s="30" t="s">
        <v>6790</v>
      </c>
      <c r="AD40" s="13" t="e">
        <f>IF(ISBLANK(input_wld_az1_rack8_vmotion_network),"Value Missing",input_wld_az1_rack8_vmotion_network)</f>
        <v>#REF!</v>
      </c>
      <c r="AE40" s="7"/>
      <c r="AF40" s="7"/>
      <c r="AG40" s="27"/>
      <c r="AH40" s="27"/>
      <c r="AI40" s="7"/>
      <c r="AJ40" s="7"/>
      <c r="AK40" s="7"/>
    </row>
    <row r="41" spans="1:37" ht="19.5" customHeight="1">
      <c r="A41" s="7"/>
      <c r="B41" s="7"/>
      <c r="C41" s="7"/>
      <c r="D41" s="7"/>
      <c r="E41" s="39" t="e">
        <f>CONCATENATE("Principal Storage Network ",wld_principal_storage_chosen)</f>
        <v>#REF!</v>
      </c>
      <c r="F41" s="13" t="e">
        <f>IF(mgmt_az1_vsan_gateway_cidr="Value Missing","Value Missing",CONCATENATE(_xludf.TEXTBEFORE(mgmt_az1_vsan_gateway_cidr,".",3),".0"))</f>
        <v>#REF!</v>
      </c>
      <c r="G41" s="7"/>
      <c r="H41" s="39" t="s">
        <v>6793</v>
      </c>
      <c r="I41" s="13" t="e">
        <f>IF(wld_az1_principal_storage_gateway_cidr="Value Missing","Value Missing",CONCATENATE(_xludf.TEXTBEFORE(wld_az1_principal_storage_gateway_cidr,".",3),".0"))</f>
        <v>#REF!</v>
      </c>
      <c r="J41" s="7"/>
      <c r="K41" s="39" t="e">
        <f>CONCATENATE("Principal Storage Network ",wld_principal_storage_chosen)</f>
        <v>#REF!</v>
      </c>
      <c r="L41" s="13" t="e">
        <f>IF(ISBLANK(input_wld_az1_rack2_principal_storage_network),"Value Missing",input_wld_az1_rack2_principal_storage_network)</f>
        <v>#REF!</v>
      </c>
      <c r="M41" s="7"/>
      <c r="N41" s="39" t="e">
        <f>CONCATENATE("Principal Storage Network ",wld_principal_storage_chosen)</f>
        <v>#REF!</v>
      </c>
      <c r="O41" s="13" t="e">
        <f>IF(ISBLANK(input_wld_az1_rack3_principal_storage_network),"Value Missing",input_wld_az1_rack3_principal_storage_network)</f>
        <v>#REF!</v>
      </c>
      <c r="P41" s="7"/>
      <c r="Q41" s="39" t="e">
        <f>CONCATENATE("Principal Storage Network ",wld_principal_storage_chosen)</f>
        <v>#REF!</v>
      </c>
      <c r="R41" s="13" t="e">
        <f>IF(ISBLANK(input_wld_az1_rack4_principal_storage_network),"Value Missing",input_wld_az1_rack4_principal_storage_network)</f>
        <v>#REF!</v>
      </c>
      <c r="S41" s="7"/>
      <c r="T41" s="39" t="e">
        <f>CONCATENATE("Principal Storage Network ",wld_principal_storage_chosen)</f>
        <v>#REF!</v>
      </c>
      <c r="U41" s="13" t="e">
        <f>IF(ISBLANK(input_wld_az1_rack5_principal_storage_network),"Value Missing",input_wld_az1_rack5_principal_storage_network)</f>
        <v>#REF!</v>
      </c>
      <c r="V41" s="7"/>
      <c r="W41" s="39" t="e">
        <f>CONCATENATE("Principal Storage Network ",wld_principal_storage_chosen)</f>
        <v>#REF!</v>
      </c>
      <c r="X41" s="13" t="e">
        <f>IF(ISBLANK(input_wld_az1_rack6_principal_storage_network),"Value Missing",input_wld_az1_rack6_principal_storage_network)</f>
        <v>#REF!</v>
      </c>
      <c r="Y41" s="7"/>
      <c r="Z41" s="39" t="e">
        <f>CONCATENATE("Principal Storage Network ",wld_principal_storage_chosen)</f>
        <v>#REF!</v>
      </c>
      <c r="AA41" s="13" t="e">
        <f>IF(ISBLANK(input_wld_az1_rack7_principal_storage_network),"Value Missing",input_wld_az1_rack7_principal_storage_network)</f>
        <v>#REF!</v>
      </c>
      <c r="AB41" s="7"/>
      <c r="AC41" s="39" t="e">
        <f>CONCATENATE("Principal Storage Network ",wld_principal_storage_chosen)</f>
        <v>#REF!</v>
      </c>
      <c r="AD41" s="13" t="e">
        <f>IF(ISBLANK(input_wld_az1_rack8_principal_storage_network),"Value Missing",input_wld_az1_rack8_principal_storage_network)</f>
        <v>#REF!</v>
      </c>
      <c r="AE41" s="7"/>
      <c r="AF41" s="7"/>
      <c r="AG41" s="27"/>
      <c r="AH41" s="27"/>
      <c r="AI41" s="7"/>
      <c r="AJ41" s="7"/>
      <c r="AK41" s="7"/>
    </row>
    <row r="42" spans="1:37" ht="19.5" customHeight="1">
      <c r="A42" s="7"/>
      <c r="B42" s="205" t="s">
        <v>6248</v>
      </c>
      <c r="C42" s="200"/>
      <c r="D42" s="7"/>
      <c r="E42" s="30" t="s">
        <v>6795</v>
      </c>
      <c r="F42" s="13" t="e">
        <f>IF(mgmt_az1_host_overlay_gateway_cidr="Value Missing","Value Missing",CONCATENATE(_xludf.TEXTBEFORE(mgmt_az1_host_overlay_gateway_cidr,".",3),".0"))</f>
        <v>#REF!</v>
      </c>
      <c r="G42" s="7"/>
      <c r="H42" s="30" t="s">
        <v>6795</v>
      </c>
      <c r="I42" s="13" t="e">
        <f>IF(wld_az1_host_overlay_cidr="Value Missing","Value Missing",IF(ISBLANK(wld_az1_host_overlay_cidr),"Value Missing",LEFT(wld_az1_host_overlay_cidr,(FIND("/",wld_az1_host_overlay_cidr)-1))))</f>
        <v>#REF!</v>
      </c>
      <c r="J42" s="7"/>
      <c r="K42" s="30" t="s">
        <v>6795</v>
      </c>
      <c r="L42" s="13" t="e">
        <f>IF(ISBLANK(input_wld_az1_rack2_host_overlay_network),"Value Missing",input_wld_az1_rack2_host_overlay_network)</f>
        <v>#REF!</v>
      </c>
      <c r="M42" s="7"/>
      <c r="N42" s="30" t="s">
        <v>6795</v>
      </c>
      <c r="O42" s="13" t="e">
        <f>IF(ISBLANK(input_wld_az1_rack2_host_overlay_network),"Value Missing",input_wld_az1_rack3_host_overlay_network)</f>
        <v>#REF!</v>
      </c>
      <c r="P42" s="7"/>
      <c r="Q42" s="30" t="s">
        <v>6795</v>
      </c>
      <c r="R42" s="13" t="e">
        <f>IF(ISBLANK(input_wld_az1_rack4_host_overlay_network),"Value Missing",input_wld_az1_rack4_host_overlay_network)</f>
        <v>#REF!</v>
      </c>
      <c r="S42" s="7"/>
      <c r="T42" s="30" t="s">
        <v>6795</v>
      </c>
      <c r="U42" s="13" t="e">
        <f>IF(ISBLANK(input_wld_az1_rack5_host_overlay_network),"Value Missing",input_wld_az1_rack5_host_overlay_network)</f>
        <v>#REF!</v>
      </c>
      <c r="V42" s="7"/>
      <c r="W42" s="30" t="s">
        <v>6795</v>
      </c>
      <c r="X42" s="13" t="e">
        <f>IF(ISBLANK(input_wld_az1_rack6_host_overlay_network),"Value Missing",input_wld_az1_rack6_host_overlay_network)</f>
        <v>#REF!</v>
      </c>
      <c r="Y42" s="7"/>
      <c r="Z42" s="30" t="s">
        <v>6795</v>
      </c>
      <c r="AA42" s="13" t="e">
        <f>IF(ISBLANK(input_wld_az1_rack7_host_overlay_network),"Value Missing",input_wld_az1_rack7_host_overlay_network)</f>
        <v>#REF!</v>
      </c>
      <c r="AB42" s="7"/>
      <c r="AC42" s="30" t="s">
        <v>6795</v>
      </c>
      <c r="AD42" s="13" t="e">
        <f>IF(ISBLANK(input_wld_az1_rack8_host_overlay_network),"Value Missing",input_wld_az1_rack8_host_overlay_network)</f>
        <v>#REF!</v>
      </c>
      <c r="AE42" s="7"/>
      <c r="AF42" s="7"/>
      <c r="AG42" s="27"/>
      <c r="AH42" s="27"/>
      <c r="AI42" s="7"/>
      <c r="AJ42" s="7"/>
      <c r="AK42" s="7"/>
    </row>
    <row r="43" spans="1:37" ht="19.5" customHeight="1">
      <c r="A43" s="7"/>
      <c r="B43" s="52" t="s">
        <v>6780</v>
      </c>
      <c r="C43" s="52" t="s">
        <v>6291</v>
      </c>
      <c r="D43" s="7"/>
      <c r="E43" s="57" t="s">
        <v>6797</v>
      </c>
      <c r="F43" s="13" t="e">
        <f>IF(mgmt_az1_secondary_storage_gateway_cidr="Value Missing","Value Missing",CONCATENATE(_xludf.TEXTBEFORE(mgmt_az1_secondary_storage_gateway_cidr,".",3),".0"))</f>
        <v>#REF!</v>
      </c>
      <c r="G43" s="7"/>
      <c r="H43" s="30" t="s">
        <v>6797</v>
      </c>
      <c r="I43" s="13" t="e">
        <f>IF(wld_az1_secondary_storage_gateway_cidr="Value Missing","Value Missing",CONCATENATE(_xludf.TEXTBEFORE(wld_az1_secondary_storage_gateway_cidr,".",3),".0"))</f>
        <v>#REF!</v>
      </c>
      <c r="J43" s="7"/>
      <c r="K43" s="42" t="s">
        <v>6800</v>
      </c>
      <c r="L43" s="13"/>
      <c r="M43" s="7"/>
      <c r="N43" s="42" t="s">
        <v>6800</v>
      </c>
      <c r="O43" s="13"/>
      <c r="P43" s="7"/>
      <c r="Q43" s="42" t="s">
        <v>6800</v>
      </c>
      <c r="R43" s="13"/>
      <c r="S43" s="7"/>
      <c r="T43" s="42" t="s">
        <v>6800</v>
      </c>
      <c r="U43" s="13"/>
      <c r="V43" s="7"/>
      <c r="W43" s="42" t="s">
        <v>6800</v>
      </c>
      <c r="X43" s="13"/>
      <c r="Y43" s="7"/>
      <c r="Z43" s="42" t="s">
        <v>6800</v>
      </c>
      <c r="AA43" s="13"/>
      <c r="AB43" s="7"/>
      <c r="AC43" s="42" t="s">
        <v>6800</v>
      </c>
      <c r="AD43" s="13"/>
      <c r="AE43" s="7"/>
      <c r="AF43" s="7"/>
      <c r="AG43" s="27"/>
      <c r="AH43" s="27"/>
      <c r="AI43" s="7"/>
      <c r="AJ43" s="7"/>
      <c r="AK43" s="7"/>
    </row>
    <row r="44" spans="1:37" ht="19.5" customHeight="1">
      <c r="A44" s="7"/>
      <c r="B44" s="30" t="s">
        <v>6716</v>
      </c>
      <c r="C44" s="13" t="e">
        <f>IF(ISBLANK(mgmt_vc_fqdn),"Value Missing",mgmt_vc_fqdn)</f>
        <v>#REF!</v>
      </c>
      <c r="D44" s="7"/>
      <c r="E44" s="57" t="s">
        <v>6831</v>
      </c>
      <c r="F44" s="13" t="e">
        <f>IF(mgmt_az1_vcf_mgmt_gateway_cidr="Value Missing","Value Missing",CONCATENATE(_xludf.TEXTBEFORE(mgmt_az1_vcf_mgmt_gateway_cidr,".",3),".0"))</f>
        <v>#REF!</v>
      </c>
      <c r="G44" s="7"/>
      <c r="H44" s="30" t="s">
        <v>6800</v>
      </c>
      <c r="I44" s="13" t="e">
        <f>IF(wld_az1_storage_cluster_gateway_cidr="Value Missing","Value Missing",CONCATENATE(_xludf.TEXTBEFORE(wld_az1_storage_cluster_gateway_cidr,".",3),".0"))</f>
        <v>#REF!</v>
      </c>
      <c r="J44" s="7"/>
      <c r="K44" s="57" t="s">
        <v>6797</v>
      </c>
      <c r="L44" s="13" t="str">
        <f>IF(ISBLANK(input_wld_az1_rack2_secondary_storage_network),"Value Missing",input_wld_az1_rack2_secondary_storage_network)</f>
        <v>Value Missing</v>
      </c>
      <c r="M44" s="7"/>
      <c r="N44" s="57" t="s">
        <v>6797</v>
      </c>
      <c r="O44" s="13" t="str">
        <f>IF(ISBLANK(input_wld_az1_rack3_secondary_storage_network),"Value Missing",input_wld_az1_rack3_secondary_storage_network)</f>
        <v>Value Missing</v>
      </c>
      <c r="P44" s="7"/>
      <c r="Q44" s="57" t="s">
        <v>6797</v>
      </c>
      <c r="R44" s="13" t="str">
        <f>IF(ISBLANK(input_wld_az1_rack4_secondary_storage_network),"Value Missing",input_wld_az1_rack4_secondary_storage_network)</f>
        <v>Value Missing</v>
      </c>
      <c r="S44" s="7"/>
      <c r="T44" s="57" t="s">
        <v>6797</v>
      </c>
      <c r="U44" s="13" t="str">
        <f>IF(ISBLANK(input_wld_az1_rack5_secondary_storage_network),"Value Missing",input_wld_az1_rack5_secondary_storage_network)</f>
        <v>Value Missing</v>
      </c>
      <c r="V44" s="7"/>
      <c r="W44" s="57" t="s">
        <v>6797</v>
      </c>
      <c r="X44" s="13" t="str">
        <f>IF(ISBLANK(input_wld_az1_rack6_secondary_storage_network),"Value Missing",input_wld_az1_rack6_secondary_storage_network)</f>
        <v>Value Missing</v>
      </c>
      <c r="Y44" s="7"/>
      <c r="Z44" s="57" t="s">
        <v>6797</v>
      </c>
      <c r="AA44" s="13" t="str">
        <f>IF(ISBLANK(input_wld_az1_rack7_secondary_storage_network),"Value Missing",input_wld_az1_rack7_secondary_storage_network)</f>
        <v>Value Missing</v>
      </c>
      <c r="AB44" s="7"/>
      <c r="AC44" s="57" t="s">
        <v>6797</v>
      </c>
      <c r="AD44" s="13" t="str">
        <f>IF(ISBLANK(input_wld_az1_rack8_secondary_storage_network),"Value Missing",input_wld_az1_rack8_secondary_storage_network)</f>
        <v>Value Missing</v>
      </c>
      <c r="AE44" s="7"/>
      <c r="AF44" s="7"/>
      <c r="AG44" s="27"/>
      <c r="AH44" s="27"/>
      <c r="AI44" s="7"/>
      <c r="AJ44" s="7"/>
      <c r="AK44" s="7"/>
    </row>
    <row r="45" spans="1:37" ht="19.5" customHeight="1">
      <c r="A45" s="7"/>
      <c r="B45" s="30" t="s">
        <v>6849</v>
      </c>
      <c r="C45" s="13" t="e">
        <f>mgmt_vcenter_appliance_size_chosen</f>
        <v>#REF!</v>
      </c>
      <c r="D45" s="7"/>
      <c r="E45" s="30" t="s">
        <v>6802</v>
      </c>
      <c r="F45" s="13" t="e">
        <f>IF(mgmt_az1_uplink01_cidr="Value Missing",mgmt_az1_uplink01_cidr,LEFT(mgmt_az1_uplink01_cidr,(FIND("/",mgmt_az1_uplink01_cidr)-1)))</f>
        <v>#REF!</v>
      </c>
      <c r="G45" s="7"/>
      <c r="H45" s="30" t="s">
        <v>6802</v>
      </c>
      <c r="I45" s="13" t="e">
        <f>IF(wld_az1_uplink01_cidr="Value Missing",wld_az1_uplink01_cidr,IF(ISBLANK(wld_az1_uplink01_cidr),"Value Missing",LEFT(wld_az1_uplink01_cidr,(FIND("/",wld_az1_uplink01_cidr)-1))))</f>
        <v>#REF!</v>
      </c>
      <c r="J45" s="7"/>
      <c r="K45" s="30" t="s">
        <v>6802</v>
      </c>
      <c r="L45" s="13" t="str">
        <f>IF(ISBLANK(input_wld_az1_rack2_uplink01_network),"Value Missing",input_wld_az1_rack2_uplink01_network)</f>
        <v>Value Missing</v>
      </c>
      <c r="M45" s="7"/>
      <c r="N45" s="30" t="s">
        <v>6802</v>
      </c>
      <c r="O45" s="13" t="str">
        <f>IF(ISBLANK(input_wld_az1_rack3_uplink01_network),"Value Missing",input_wld_az1_rack3_uplink01_network)</f>
        <v>Value Missing</v>
      </c>
      <c r="P45" s="7"/>
      <c r="Q45" s="30" t="s">
        <v>6802</v>
      </c>
      <c r="R45" s="13" t="str">
        <f>IF(ISBLANK(input_wld_az1_rack4_uplink01_network),"Value Missing",input_wld_az1_rack4_uplink01_network)</f>
        <v>Value Missing</v>
      </c>
      <c r="S45" s="7"/>
      <c r="T45" s="30" t="s">
        <v>6802</v>
      </c>
      <c r="U45" s="13" t="str">
        <f>IF(ISBLANK(input_wld_az1_rack5_uplink01_network),"Value Missing",input_wld_az1_rack5_uplink01_network)</f>
        <v>Value Missing</v>
      </c>
      <c r="V45" s="7"/>
      <c r="W45" s="30" t="s">
        <v>6802</v>
      </c>
      <c r="X45" s="13" t="str">
        <f>IF(ISBLANK(input_wld_az1_rack6_uplink01_network),"Value Missing",input_wld_az1_rack6_uplink01_network)</f>
        <v>Value Missing</v>
      </c>
      <c r="Y45" s="7"/>
      <c r="Z45" s="30" t="s">
        <v>6802</v>
      </c>
      <c r="AA45" s="13" t="str">
        <f>IF(ISBLANK(input_wld_az1_rack7_uplink01_network),"Value Missing",input_wld_az1_rack7_uplink01_network)</f>
        <v>Value Missing</v>
      </c>
      <c r="AB45" s="7"/>
      <c r="AC45" s="30" t="s">
        <v>6802</v>
      </c>
      <c r="AD45" s="13" t="str">
        <f>IF(ISBLANK(input_wld_az1_rack8_uplink01_network),"Value Missing",input_wld_az1_rack8_uplink01_network)</f>
        <v>Value Missing</v>
      </c>
      <c r="AE45" s="7"/>
      <c r="AF45" s="7"/>
      <c r="AG45" s="27"/>
      <c r="AH45" s="27"/>
      <c r="AI45" s="7"/>
      <c r="AJ45" s="7"/>
      <c r="AK45" s="7"/>
    </row>
    <row r="46" spans="1:37" ht="19.5" customHeight="1">
      <c r="A46" s="7"/>
      <c r="B46" s="30" t="s">
        <v>6850</v>
      </c>
      <c r="C46" s="13" t="e">
        <f>sizing_m01_vcenter_storage_size_chosen</f>
        <v>#REF!</v>
      </c>
      <c r="D46" s="7"/>
      <c r="E46" s="30" t="s">
        <v>6804</v>
      </c>
      <c r="F46" s="13" t="e">
        <f>IF(mgmt_az1_uplink02_cidr="Value Missing",mgmt_az1_uplink02_cidr,LEFT(mgmt_az1_uplink02_cidr,(FIND("/",mgmt_az1_uplink02_cidr)-1)))</f>
        <v>#REF!</v>
      </c>
      <c r="G46" s="7"/>
      <c r="H46" s="30" t="s">
        <v>6804</v>
      </c>
      <c r="I46" s="13" t="e">
        <f>IF(wld_az1_uplink02_cidr="Value Missing",wld_az1_uplink02_cidr,IF(ISBLANK(wld_az1_uplink02_cidr),"Value Missing",LEFT(wld_az1_uplink02_cidr,(FIND("/",wld_az1_uplink02_cidr)-1))))</f>
        <v>#REF!</v>
      </c>
      <c r="J46" s="7"/>
      <c r="K46" s="30" t="s">
        <v>6804</v>
      </c>
      <c r="L46" s="13" t="str">
        <f>IF(ISBLANK(input_wld_az1_rack2_uplink02_network),"Value Missing",input_wld_az1_rack2_uplink02_network)</f>
        <v>Value Missing</v>
      </c>
      <c r="M46" s="7"/>
      <c r="N46" s="30" t="s">
        <v>6804</v>
      </c>
      <c r="O46" s="13" t="str">
        <f>IF(ISBLANK(input_wld_az1_rack3_uplink02_network),"Value Missing",input_wld_az1_rack3_uplink02_network)</f>
        <v>Value Missing</v>
      </c>
      <c r="P46" s="7"/>
      <c r="Q46" s="30" t="s">
        <v>6804</v>
      </c>
      <c r="R46" s="13" t="str">
        <f>IF(ISBLANK(input_wld_az1_rack4_uplink02_network),"Value Missing",input_wld_az1_rack4_uplink02_network)</f>
        <v>Value Missing</v>
      </c>
      <c r="S46" s="7"/>
      <c r="T46" s="30" t="s">
        <v>6804</v>
      </c>
      <c r="U46" s="13" t="str">
        <f>IF(ISBLANK(input_wld_az1_rack5_uplink02_network),"Value Missing",input_wld_az1_rack5_uplink02_network)</f>
        <v>Value Missing</v>
      </c>
      <c r="V46" s="7"/>
      <c r="W46" s="30" t="s">
        <v>6804</v>
      </c>
      <c r="X46" s="13" t="str">
        <f>IF(ISBLANK(input_wld_az1_rack6_uplink02_network),"Value Missing",input_wld_az1_rack6_uplink02_network)</f>
        <v>Value Missing</v>
      </c>
      <c r="Y46" s="7"/>
      <c r="Z46" s="30" t="s">
        <v>6804</v>
      </c>
      <c r="AA46" s="13" t="str">
        <f>IF(ISBLANK(input_wld_az1_rack7_uplink02_network),"Value Missing",input_wld_az1_rack7_uplink02_network)</f>
        <v>Value Missing</v>
      </c>
      <c r="AB46" s="7"/>
      <c r="AC46" s="30" t="s">
        <v>6804</v>
      </c>
      <c r="AD46" s="13" t="str">
        <f>IF(ISBLANK(input_wld_az1_rack8_uplink02_network),"Value Missing",input_wld_az1_rack8_uplink02_network)</f>
        <v>Value Missing</v>
      </c>
      <c r="AE46" s="7"/>
      <c r="AF46" s="7"/>
      <c r="AG46" s="27"/>
      <c r="AH46" s="7"/>
      <c r="AI46" s="7"/>
      <c r="AJ46" s="7"/>
      <c r="AK46" s="7"/>
    </row>
    <row r="47" spans="1:37" ht="19.5" customHeight="1">
      <c r="A47" s="7"/>
      <c r="B47" s="30" t="s">
        <v>6851</v>
      </c>
      <c r="C47" s="13" t="e">
        <f>IF(ISBLANK(input_mgmt_datacenter),"Value Missing",input_mgmt_datacenter)</f>
        <v>#REF!</v>
      </c>
      <c r="D47" s="7"/>
      <c r="E47" s="30" t="s">
        <v>6806</v>
      </c>
      <c r="F47" s="13" t="e">
        <f>IF(mgmt_az1_edge_overlay_cidr="Value Missing",mgmt_az1_edge_overlay_cidr,(LEFT(mgmt_az1_edge_overlay_cidr,(FIND("/",mgmt_az1_edge_overlay_cidr)-1))))</f>
        <v>#REF!</v>
      </c>
      <c r="G47" s="7"/>
      <c r="H47" s="30" t="s">
        <v>6806</v>
      </c>
      <c r="I47" s="13" t="e">
        <f>IF(wld_az1_edge_overlay_cidr="Value Missing",wld_az1_edge_overlay_cidr,IF(ISBLANK(wld_az1_edge_overlay_cidr),"Value Missing",LEFT(wld_az1_edge_overlay_cidr,(FIND("/",wld_az1_edge_overlay_cidr)-1))))</f>
        <v>#REF!</v>
      </c>
      <c r="J47" s="7"/>
      <c r="K47" s="30" t="s">
        <v>6806</v>
      </c>
      <c r="L47" s="13" t="str">
        <f>IF(ISBLANK(input_wld_az1_rack2_edge_overlay_network),"Value Missing",input_wld_az1_rack2_edge_overlay_network)</f>
        <v>Value Missing</v>
      </c>
      <c r="M47" s="7"/>
      <c r="N47" s="30" t="s">
        <v>6806</v>
      </c>
      <c r="O47" s="13" t="str">
        <f>IF(ISBLANK(input_wld_az1_rack3_edge_overlay_network),"Value Missing",input_wld_az1_rack3_edge_overlay_network)</f>
        <v>Value Missing</v>
      </c>
      <c r="P47" s="7"/>
      <c r="Q47" s="30" t="s">
        <v>6806</v>
      </c>
      <c r="R47" s="13" t="str">
        <f>IF(ISBLANK(input_wld_az1_rack4_edge_overlay_network),"Value Missing",input_wld_az1_rack4_edge_overlay_network)</f>
        <v>Value Missing</v>
      </c>
      <c r="S47" s="7"/>
      <c r="T47" s="30" t="s">
        <v>6806</v>
      </c>
      <c r="U47" s="13" t="str">
        <f>IF(ISBLANK(input_wld_az1_rack5_edge_overlay_network),"Value Missing",input_wld_az1_rack5_edge_overlay_network)</f>
        <v>Value Missing</v>
      </c>
      <c r="V47" s="7"/>
      <c r="W47" s="30" t="s">
        <v>6806</v>
      </c>
      <c r="X47" s="13" t="str">
        <f>IF(ISBLANK(input_wld_az1_rack6_edge_overlay_network),"Value Missing",input_wld_az1_rack6_edge_overlay_network)</f>
        <v>Value Missing</v>
      </c>
      <c r="Y47" s="7"/>
      <c r="Z47" s="30" t="s">
        <v>6806</v>
      </c>
      <c r="AA47" s="13" t="str">
        <f>IF(ISBLANK(input_wld_az1_rack7_edge_overlay_network),"Value Missing",input_wld_az1_rack7_edge_overlay_network)</f>
        <v>Value Missing</v>
      </c>
      <c r="AB47" s="7"/>
      <c r="AC47" s="30" t="s">
        <v>6806</v>
      </c>
      <c r="AD47" s="13" t="str">
        <f>IF(ISBLANK(input_wld_az1_rack8_edge_overlay_network),"Value Missing",input_wld_az1_rack8_edge_overlay_network)</f>
        <v>Value Missing</v>
      </c>
      <c r="AE47" s="7"/>
      <c r="AF47" s="7"/>
      <c r="AG47" s="27"/>
      <c r="AH47" s="7"/>
      <c r="AI47" s="7"/>
      <c r="AJ47" s="7"/>
      <c r="AK47" s="7"/>
    </row>
    <row r="48" spans="1:37" ht="19.5" customHeight="1">
      <c r="A48" s="7"/>
      <c r="B48" s="30" t="s">
        <v>6852</v>
      </c>
      <c r="C48" s="13" t="e">
        <f>IF(ISBLANK(input_mgmt_cl01_cluster),"Value Missing",input_mgmt_cl01_cluster)</f>
        <v>#REF!</v>
      </c>
      <c r="D48" s="7"/>
      <c r="E48" s="30" t="s">
        <v>6809</v>
      </c>
      <c r="F48" s="13" t="e">
        <f>IF(mgmt_az1_rtep_overlay_cidr="Value Missing",mgmt_az1_rtep_overlay_cidr,(LEFT(mgmt_az1_rtep_overlay_cidr,(FIND("/",mgmt_az1_rtep_overlay_cidr)-1))))</f>
        <v>#REF!</v>
      </c>
      <c r="G48" s="7"/>
      <c r="H48" s="30" t="s">
        <v>6809</v>
      </c>
      <c r="I48" s="13" t="e">
        <f>IF(wld_az1_rtep_overlay_cidr="Value Missing",wld_az1_rtep_overlay_cidr,(LEFT(wld_az1_rtep_overlay_cidr,(FIND("/",wld_az1_rtep_overlay_cidr)-1))))</f>
        <v>#REF!</v>
      </c>
      <c r="J48" s="7"/>
      <c r="K48" s="30" t="s">
        <v>6809</v>
      </c>
      <c r="L48" s="7"/>
      <c r="M48" s="7"/>
      <c r="N48" s="30" t="s">
        <v>6809</v>
      </c>
      <c r="O48" s="7"/>
      <c r="P48" s="7"/>
      <c r="Q48" s="30" t="s">
        <v>6809</v>
      </c>
      <c r="R48" s="7"/>
      <c r="S48" s="7"/>
      <c r="T48" s="30" t="s">
        <v>6809</v>
      </c>
      <c r="U48" s="7"/>
      <c r="V48" s="7"/>
      <c r="W48" s="30" t="s">
        <v>6809</v>
      </c>
      <c r="X48" s="7"/>
      <c r="Y48" s="7"/>
      <c r="Z48" s="30" t="s">
        <v>6809</v>
      </c>
      <c r="AA48" s="7"/>
      <c r="AB48" s="7"/>
      <c r="AC48" s="30" t="s">
        <v>6809</v>
      </c>
      <c r="AD48" s="7"/>
      <c r="AE48" s="7"/>
      <c r="AF48" s="7"/>
      <c r="AG48" s="27"/>
      <c r="AH48" s="7"/>
      <c r="AI48" s="7"/>
      <c r="AJ48" s="7"/>
      <c r="AK48" s="7"/>
    </row>
    <row r="49" spans="1:37" ht="19.5" customHeight="1">
      <c r="A49" s="7"/>
      <c r="B49" s="7"/>
      <c r="C49" s="7"/>
      <c r="D49" s="7"/>
      <c r="E49" s="30" t="s">
        <v>6811</v>
      </c>
      <c r="F49" s="13"/>
      <c r="G49" s="7"/>
      <c r="H49" s="30" t="s">
        <v>6811</v>
      </c>
      <c r="I49" s="13" t="str">
        <f>IF(wld_az1_vrms_cidr="Value Missing",wld_az1_vrms_cidr,(LEFT(wld_az1_vrms_cidr,(FIND("/",wld_az1_vrms_cidr)-1))))</f>
        <v>Value Missing</v>
      </c>
      <c r="J49" s="7"/>
      <c r="K49" s="30" t="s">
        <v>6811</v>
      </c>
      <c r="L49" s="7"/>
      <c r="M49" s="7"/>
      <c r="N49" s="30" t="s">
        <v>6811</v>
      </c>
      <c r="O49" s="7"/>
      <c r="P49" s="7"/>
      <c r="Q49" s="30" t="s">
        <v>6811</v>
      </c>
      <c r="R49" s="7"/>
      <c r="S49" s="7"/>
      <c r="T49" s="30" t="s">
        <v>6811</v>
      </c>
      <c r="U49" s="7"/>
      <c r="V49" s="7"/>
      <c r="W49" s="30" t="s">
        <v>6811</v>
      </c>
      <c r="X49" s="7"/>
      <c r="Y49" s="7"/>
      <c r="Z49" s="30" t="s">
        <v>6811</v>
      </c>
      <c r="AA49" s="7"/>
      <c r="AB49" s="7"/>
      <c r="AC49" s="30" t="s">
        <v>6811</v>
      </c>
      <c r="AD49" s="7"/>
      <c r="AE49" s="7"/>
      <c r="AF49" s="7"/>
      <c r="AG49" s="27"/>
      <c r="AH49" s="7"/>
      <c r="AI49" s="7"/>
      <c r="AJ49" s="7"/>
      <c r="AK49" s="7"/>
    </row>
    <row r="50" spans="1:37" ht="19.5" customHeight="1">
      <c r="A50" s="7"/>
      <c r="B50" s="205" t="s">
        <v>334</v>
      </c>
      <c r="C50" s="200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51"/>
      <c r="R50" s="51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27"/>
      <c r="AH50" s="7"/>
      <c r="AI50" s="7"/>
      <c r="AJ50" s="7"/>
      <c r="AK50" s="7"/>
    </row>
    <row r="51" spans="1:37" ht="19.5" customHeight="1">
      <c r="A51" s="7"/>
      <c r="B51" s="52" t="s">
        <v>6780</v>
      </c>
      <c r="C51" s="52" t="s">
        <v>6291</v>
      </c>
      <c r="D51" s="7"/>
      <c r="E51" s="62" t="s">
        <v>6853</v>
      </c>
      <c r="F51" s="63"/>
      <c r="G51" s="7"/>
      <c r="H51" s="62" t="s">
        <v>6854</v>
      </c>
      <c r="I51" s="63"/>
      <c r="J51" s="7"/>
      <c r="K51" s="62" t="s">
        <v>6855</v>
      </c>
      <c r="L51" s="63"/>
      <c r="M51" s="7"/>
      <c r="N51" s="62" t="s">
        <v>6856</v>
      </c>
      <c r="O51" s="63"/>
      <c r="P51" s="7"/>
      <c r="Q51" s="62" t="s">
        <v>6857</v>
      </c>
      <c r="R51" s="63"/>
      <c r="S51" s="7"/>
      <c r="T51" s="62" t="s">
        <v>6858</v>
      </c>
      <c r="U51" s="63"/>
      <c r="V51" s="7"/>
      <c r="W51" s="62" t="s">
        <v>6859</v>
      </c>
      <c r="X51" s="63"/>
      <c r="Y51" s="7"/>
      <c r="Z51" s="62" t="s">
        <v>6860</v>
      </c>
      <c r="AA51" s="63"/>
      <c r="AB51" s="7"/>
      <c r="AC51" s="62" t="s">
        <v>6861</v>
      </c>
      <c r="AD51" s="63"/>
      <c r="AE51" s="7"/>
      <c r="AF51" s="7"/>
      <c r="AG51" s="27"/>
      <c r="AH51" s="7"/>
      <c r="AI51" s="7"/>
      <c r="AJ51" s="7"/>
      <c r="AK51" s="7"/>
    </row>
    <row r="52" spans="1:37" ht="19.5" customHeight="1">
      <c r="A52" s="7"/>
      <c r="B52" s="13" t="s">
        <v>6849</v>
      </c>
      <c r="C52" s="13" t="e">
        <f>sizing_m01_nsxt_appliance_size</f>
        <v>#REF!</v>
      </c>
      <c r="D52" s="7"/>
      <c r="E52" s="64" t="s">
        <v>6780</v>
      </c>
      <c r="F52" s="65" t="s">
        <v>6781</v>
      </c>
      <c r="G52" s="7"/>
      <c r="H52" s="64" t="s">
        <v>6780</v>
      </c>
      <c r="I52" s="65" t="s">
        <v>6781</v>
      </c>
      <c r="J52" s="7"/>
      <c r="K52" s="64" t="s">
        <v>6780</v>
      </c>
      <c r="L52" s="65" t="s">
        <v>6781</v>
      </c>
      <c r="M52" s="7"/>
      <c r="N52" s="64" t="s">
        <v>6780</v>
      </c>
      <c r="O52" s="65" t="s">
        <v>6781</v>
      </c>
      <c r="P52" s="7"/>
      <c r="Q52" s="64" t="s">
        <v>6780</v>
      </c>
      <c r="R52" s="65" t="s">
        <v>6781</v>
      </c>
      <c r="S52" s="7"/>
      <c r="T52" s="64" t="s">
        <v>6780</v>
      </c>
      <c r="U52" s="65" t="s">
        <v>6781</v>
      </c>
      <c r="V52" s="7"/>
      <c r="W52" s="64" t="s">
        <v>6780</v>
      </c>
      <c r="X52" s="65" t="s">
        <v>6781</v>
      </c>
      <c r="Y52" s="7"/>
      <c r="Z52" s="64" t="s">
        <v>6780</v>
      </c>
      <c r="AA52" s="65" t="s">
        <v>6781</v>
      </c>
      <c r="AB52" s="7"/>
      <c r="AC52" s="64" t="s">
        <v>6780</v>
      </c>
      <c r="AD52" s="65" t="s">
        <v>6781</v>
      </c>
      <c r="AE52" s="7"/>
      <c r="AF52" s="7"/>
      <c r="AG52" s="27"/>
      <c r="AH52" s="7"/>
      <c r="AI52" s="7"/>
      <c r="AJ52" s="7"/>
      <c r="AK52" s="7"/>
    </row>
    <row r="53" spans="1:37" ht="19.5" customHeight="1">
      <c r="A53" s="7"/>
      <c r="B53" s="13" t="s">
        <v>6862</v>
      </c>
      <c r="C53" s="13" t="e">
        <f>IF(ISBLANK(mgmt_nsxt_mgra_fqdn),"Value Missing",mgmt_nsxt_mgra_fqdn)</f>
        <v>#REF!</v>
      </c>
      <c r="D53" s="7"/>
      <c r="E53" s="42" t="s">
        <v>6784</v>
      </c>
      <c r="F53" s="13" t="e">
        <f>IF(mgmt_az1_mgmt_vm_gateway_cidr="Value Missing",mgmt_az1_mgmt_vm_gateway_cidr,VLOOKUP(INT(RIGHT(mgmt_az1_mgmt_vm_gateway_cidr,LEN(mgmt_az1_mgmt_vm_gateway_cidr)-FIND("/",mgmt_az1_mgmt_vm_gateway_cidr))),table_cidr_to_mask,2,FALSE))</f>
        <v>#REF!</v>
      </c>
      <c r="G53" s="7"/>
      <c r="H53" s="42" t="s">
        <v>6784</v>
      </c>
      <c r="I53" s="13" t="e">
        <f>IF(wld_az1_mgmt_vm_gateway_cidr="Value Missing",wld_az1_mgmt_vm_gateway_cidr,VLOOKUP(INT(RIGHT(wld_az1_mgmt_vm_gateway_cidr,LEN(wld_az1_mgmt_vm_gateway_cidr)-FIND("/",wld_az1_mgmt_vm_gateway_cidr))),table_cidr_to_mask,2,FALSE))</f>
        <v>#REF!</v>
      </c>
      <c r="J53" s="7"/>
      <c r="K53" s="42" t="s">
        <v>6784</v>
      </c>
      <c r="L53" s="66"/>
      <c r="M53" s="7"/>
      <c r="N53" s="42" t="s">
        <v>6784</v>
      </c>
      <c r="O53" s="66"/>
      <c r="P53" s="7"/>
      <c r="Q53" s="42" t="s">
        <v>6784</v>
      </c>
      <c r="R53" s="66"/>
      <c r="S53" s="7"/>
      <c r="T53" s="42" t="s">
        <v>6784</v>
      </c>
      <c r="U53" s="66"/>
      <c r="V53" s="7"/>
      <c r="W53" s="42" t="s">
        <v>6784</v>
      </c>
      <c r="X53" s="66"/>
      <c r="Y53" s="7"/>
      <c r="Z53" s="42" t="s">
        <v>6784</v>
      </c>
      <c r="AA53" s="66"/>
      <c r="AB53" s="7"/>
      <c r="AC53" s="42" t="s">
        <v>6784</v>
      </c>
      <c r="AD53" s="66"/>
      <c r="AE53" s="7"/>
      <c r="AF53" s="7"/>
      <c r="AG53" s="27"/>
      <c r="AH53" s="7"/>
      <c r="AI53" s="7"/>
      <c r="AJ53" s="7"/>
      <c r="AK53" s="7"/>
    </row>
    <row r="54" spans="1:37" ht="19.5" customHeight="1">
      <c r="A54" s="7"/>
      <c r="B54" s="13" t="s">
        <v>6863</v>
      </c>
      <c r="C54" s="13" t="e">
        <f>IF(ISBLANK(mgmt_nsxt_mgrb_fqdn),"Value Missing",mgmt_nsxt_mgrb_fqdn)</f>
        <v>#REF!</v>
      </c>
      <c r="D54" s="7"/>
      <c r="E54" s="42" t="s">
        <v>6787</v>
      </c>
      <c r="F54" s="13" t="e">
        <f>IF(mgmt_az1_mgmt_gateway_cidr="Value Missing",mgmt_az1_mgmt_gateway_cidr,VLOOKUP(INT(RIGHT(mgmt_az1_mgmt_gateway_cidr,LEN(mgmt_az1_mgmt_gateway_cidr)-FIND("/",mgmt_az1_mgmt_gateway_cidr))),table_cidr_to_mask,2,FALSE))</f>
        <v>#REF!</v>
      </c>
      <c r="G54" s="7"/>
      <c r="H54" s="42" t="s">
        <v>6787</v>
      </c>
      <c r="I54" s="13" t="e">
        <f>IF(wld_az1_mgmt_gateway_cidr="Value Missing",wld_az1_mgmt_gateway_cidr,VLOOKUP(INT(RIGHT(wld_az1_mgmt_gateway_cidr,LEN(wld_az1_mgmt_gateway_cidr)-FIND("/",wld_az1_mgmt_gateway_cidr))),table_cidr_to_mask,2,FALSE))</f>
        <v>#REF!</v>
      </c>
      <c r="J54" s="7"/>
      <c r="K54" s="42" t="s">
        <v>6787</v>
      </c>
      <c r="L54" s="13" t="e">
        <f>IF(wld_az1_rack2_mgmt_cidr="Value Missing","Value Missing",IF(ISBLANK(wld_az1_rack2_mgmt_cidr),"Value Missing",VLOOKUP(INT(RIGHT(wld_az1_rack2_mgmt_cidr,LEN(wld_az1_rack2_mgmt_cidr)-FIND("/",wld_az1_rack2_mgmt_cidr))),table_cidr_to_mask,2,FALSE)))</f>
        <v>#REF!</v>
      </c>
      <c r="M54" s="7"/>
      <c r="N54" s="42" t="s">
        <v>6787</v>
      </c>
      <c r="O54" s="13" t="e">
        <f>IF(wld_az1_rack3_mgmt_cidr="Value Missing","Value Missing",IF(ISBLANK(wld_az1_rack3_mgmt_cidr),"Value Missing",VLOOKUP(INT(RIGHT(wld_az1_rack3_mgmt_cidr,LEN(wld_az1_rack3_mgmt_cidr)-FIND("/",wld_az1_rack3_mgmt_cidr))),table_cidr_to_mask,2,FALSE)))</f>
        <v>#REF!</v>
      </c>
      <c r="P54" s="7"/>
      <c r="Q54" s="42" t="s">
        <v>6787</v>
      </c>
      <c r="R54" s="13" t="e">
        <f>IF(wld_az1_rack4_mgmt_cidr="Value Missing","Value Missing",IF(ISBLANK(wld_az1_rack4_mgmt_cidr),"Value Missing",VLOOKUP(INT(RIGHT(wld_az1_rack4_mgmt_cidr,LEN(wld_az1_rack4_mgmt_cidr)-FIND("/",wld_az1_rack4_mgmt_cidr))),table_cidr_to_mask,2,FALSE)))</f>
        <v>#REF!</v>
      </c>
      <c r="S54" s="7"/>
      <c r="T54" s="42" t="s">
        <v>6787</v>
      </c>
      <c r="U54" s="13" t="e">
        <f>IF(wld_az1_rack5_mgmt_cidr="Value Missing","Value Missing",IF(ISBLANK(wld_az1_rack5_mgmt_cidr),"Value Missing",VLOOKUP(INT(RIGHT(wld_az1_rack5_mgmt_cidr,LEN(wld_az1_rack5_mgmt_cidr)-FIND("/",wld_az1_rack5_mgmt_cidr))),table_cidr_to_mask,2,FALSE)))</f>
        <v>#REF!</v>
      </c>
      <c r="V54" s="7"/>
      <c r="W54" s="42" t="s">
        <v>6787</v>
      </c>
      <c r="X54" s="13" t="e">
        <f>IF(wld_az1_rack6_mgmt_cidr="Value Missing","Value Missing",IF(ISBLANK(wld_az1_rack6_mgmt_cidr),"Value Missing",VLOOKUP(INT(RIGHT(wld_az1_rack6_mgmt_cidr,LEN(wld_az1_rack6_mgmt_cidr)-FIND("/",wld_az1_rack6_mgmt_cidr))),table_cidr_to_mask,2,FALSE)))</f>
        <v>#REF!</v>
      </c>
      <c r="Y54" s="7"/>
      <c r="Z54" s="42" t="s">
        <v>6787</v>
      </c>
      <c r="AA54" s="13" t="e">
        <f>IF(wld_az1_rack7_mgmt_cidr="Value Missing","Value Missing",IF(ISBLANK(wld_az1_rack7_mgmt_cidr),"Value Missing",VLOOKUP(INT(RIGHT(wld_az1_rack7_mgmt_cidr,LEN(wld_az1_rack7_mgmt_cidr)-FIND("/",wld_az1_rack7_mgmt_cidr))),table_cidr_to_mask,2,FALSE)))</f>
        <v>#REF!</v>
      </c>
      <c r="AB54" s="7"/>
      <c r="AC54" s="42" t="s">
        <v>6787</v>
      </c>
      <c r="AD54" s="13" t="e">
        <f>IF(wld_az1_rack8_mgmt_cidr="Value Missing","Value Missing",IF(ISBLANK(wld_az1_rack8_mgmt_cidr),"Value Missing",VLOOKUP(INT(RIGHT(wld_az1_rack8_mgmt_cidr,LEN(wld_az1_rack8_mgmt_cidr)-FIND("/",wld_az1_rack8_mgmt_cidr))),table_cidr_to_mask,2,FALSE)))</f>
        <v>#REF!</v>
      </c>
      <c r="AE54" s="7"/>
      <c r="AF54" s="7"/>
      <c r="AG54" s="27"/>
      <c r="AH54" s="7"/>
      <c r="AI54" s="7"/>
      <c r="AJ54" s="7"/>
      <c r="AK54" s="7"/>
    </row>
    <row r="55" spans="1:37" ht="19.5" customHeight="1">
      <c r="A55" s="7"/>
      <c r="B55" s="13" t="s">
        <v>6864</v>
      </c>
      <c r="C55" s="13" t="e">
        <f>IF(ISBLANK(mgmt_nsxt_mgrc_fqdn),"Value Missing",mgmt_nsxt_mgrc_fqdn)</f>
        <v>#REF!</v>
      </c>
      <c r="D55" s="7"/>
      <c r="E55" s="42" t="s">
        <v>6790</v>
      </c>
      <c r="F55" s="13" t="e">
        <f>IF(mgmt_az1_vmotion_gateway_cidr="Value Missing",mgmt_az1_vmotion_gateway_cidr,VLOOKUP(INT(RIGHT(mgmt_az1_vmotion_gateway_cidr,LEN(mgmt_az1_vmotion_gateway_cidr)-FIND("/",mgmt_az1_vmotion_gateway_cidr))),table_cidr_to_mask,2,FALSE))</f>
        <v>#REF!</v>
      </c>
      <c r="G55" s="7"/>
      <c r="H55" s="42" t="s">
        <v>6790</v>
      </c>
      <c r="I55" s="13" t="e">
        <f>IF(wld_az1_vmotion_gateway_cidr="Value Missing",wld_az1_vmotion_gateway_cidr,VLOOKUP(INT(RIGHT(wld_az1_vmotion_gateway_cidr,LEN(wld_az1_vmotion_gateway_cidr)-FIND("/",wld_az1_vmotion_gateway_cidr))),table_cidr_to_mask,2,FALSE))</f>
        <v>#REF!</v>
      </c>
      <c r="J55" s="7"/>
      <c r="K55" s="42" t="s">
        <v>6790</v>
      </c>
      <c r="L55" s="13" t="e">
        <f>IF(ISBLANK(input_wld_az1_rack2_vmotion_mask),"Value Missing",input_wld_az1_rack2_vmotion_mask)</f>
        <v>#REF!</v>
      </c>
      <c r="M55" s="7"/>
      <c r="N55" s="42" t="s">
        <v>6790</v>
      </c>
      <c r="O55" s="13" t="e">
        <f>IF(ISBLANK(input_wld_az1_rack3_vmotion_mask),"Value Missing",input_wld_az1_rack3_vmotion_mask)</f>
        <v>#REF!</v>
      </c>
      <c r="P55" s="7"/>
      <c r="Q55" s="42" t="s">
        <v>6790</v>
      </c>
      <c r="R55" s="13" t="e">
        <f>IF(ISBLANK(input_wld_az1_rack4_vmotion_mask),"Value Missing",input_wld_az1_rack4_vmotion_mask)</f>
        <v>#REF!</v>
      </c>
      <c r="S55" s="7"/>
      <c r="T55" s="42" t="s">
        <v>6790</v>
      </c>
      <c r="U55" s="13" t="e">
        <f>IF(ISBLANK(input_wld_az1_rack5_vmotion_mask),"Value Missing",input_wld_az1_rack5_vmotion_mask)</f>
        <v>#REF!</v>
      </c>
      <c r="V55" s="7"/>
      <c r="W55" s="42" t="s">
        <v>6790</v>
      </c>
      <c r="X55" s="13" t="e">
        <f>IF(ISBLANK(input_wld_az1_rack6_vmotion_mask),"Value Missing",input_wld_az1_rack6_vmotion_mask)</f>
        <v>#REF!</v>
      </c>
      <c r="Y55" s="7"/>
      <c r="Z55" s="42" t="s">
        <v>6790</v>
      </c>
      <c r="AA55" s="13" t="e">
        <f>IF(ISBLANK(input_wld_az1_rack7_vmotion_mask),"Value Missing",input_wld_az1_rack7_vmotion_mask)</f>
        <v>#REF!</v>
      </c>
      <c r="AB55" s="7"/>
      <c r="AC55" s="42" t="s">
        <v>6790</v>
      </c>
      <c r="AD55" s="13" t="e">
        <f>IF(ISBLANK(input_wld_az1_rack8_vmotion_mask),"Value Missing",input_wld_az1_rack8_vmotion_mask)</f>
        <v>#REF!</v>
      </c>
      <c r="AE55" s="7"/>
      <c r="AF55" s="7"/>
      <c r="AG55" s="27"/>
      <c r="AH55" s="7"/>
      <c r="AI55" s="7"/>
      <c r="AJ55" s="7"/>
      <c r="AK55" s="7"/>
    </row>
    <row r="56" spans="1:37" ht="19.5" customHeight="1">
      <c r="A56" s="7"/>
      <c r="B56" s="13" t="s">
        <v>6865</v>
      </c>
      <c r="C56" s="13" t="e">
        <f>IF(ISBLANK(mgmt_nsxt_vip_fqdn),"Value Missing",mgmt_nsxt_vip_fqdn)</f>
        <v>#REF!</v>
      </c>
      <c r="D56" s="7"/>
      <c r="E56" s="42" t="s">
        <v>6866</v>
      </c>
      <c r="F56" s="13" t="e">
        <f>IF(mgmt_az1_vsan_gateway_cidr="Value Missing",mgmt_az1_vsan_gateway_cidr,VLOOKUP(INT(RIGHT(mgmt_az1_vsan_gateway_cidr,LEN(mgmt_az1_vsan_gateway_cidr)-FIND("/",mgmt_az1_vsan_gateway_cidr))),table_cidr_to_mask,2,FALSE))</f>
        <v>#REF!</v>
      </c>
      <c r="G56" s="7"/>
      <c r="H56" s="42" t="s">
        <v>6866</v>
      </c>
      <c r="I56" s="13" t="e">
        <f>IF(wld_az1_principal_storage_gateway_cidr="Value Missing",wld_az1_principal_storage_gateway_cidr,VLOOKUP(INT(RIGHT(wld_az1_principal_storage_gateway_cidr,LEN(wld_az1_principal_storage_gateway_cidr)-FIND("/",wld_az1_principal_storage_gateway_cidr))),table_cidr_to_mask,2,FALSE))</f>
        <v>#REF!</v>
      </c>
      <c r="J56" s="7"/>
      <c r="K56" s="42" t="s">
        <v>6866</v>
      </c>
      <c r="L56" s="13" t="e">
        <f>IF(ISBLANK(input_wld_az1_rack2_principal_storage_mask),"Value Missing",input_wld_az1_rack2_principal_storage_mask)</f>
        <v>#REF!</v>
      </c>
      <c r="M56" s="7"/>
      <c r="N56" s="42" t="s">
        <v>6866</v>
      </c>
      <c r="O56" s="13" t="e">
        <f>IF(ISBLANK(input_wld_az1_rack3_principal_storage_mask),"Value Missing",input_wld_az1_rack3_principal_storage_mask)</f>
        <v>#REF!</v>
      </c>
      <c r="P56" s="7"/>
      <c r="Q56" s="42" t="s">
        <v>6866</v>
      </c>
      <c r="R56" s="13" t="e">
        <f>IF(ISBLANK(input_wld_az1_rack4_principal_storage_mask),"Value Missing",input_wld_az1_rack4_principal_storage_mask)</f>
        <v>#REF!</v>
      </c>
      <c r="S56" s="7"/>
      <c r="T56" s="42" t="s">
        <v>6866</v>
      </c>
      <c r="U56" s="13" t="e">
        <f>IF(ISBLANK(input_wld_az1_rack5_principal_storage_mask),"Value Missing",input_wld_az1_rack5_principal_storage_mask)</f>
        <v>#REF!</v>
      </c>
      <c r="V56" s="7"/>
      <c r="W56" s="42" t="s">
        <v>6866</v>
      </c>
      <c r="X56" s="13" t="e">
        <f>IF(ISBLANK(input_wld_az1_rack6_principal_storage_mask),"Value Missing",input_wld_az1_rack6_principal_storage_mask)</f>
        <v>#REF!</v>
      </c>
      <c r="Y56" s="7"/>
      <c r="Z56" s="42" t="s">
        <v>6866</v>
      </c>
      <c r="AA56" s="13" t="e">
        <f>IF(ISBLANK(input_wld_az1_rack7_principal_storage_mask),"Value Missing",input_wld_az1_rack7_principal_storage_mask)</f>
        <v>#REF!</v>
      </c>
      <c r="AB56" s="7"/>
      <c r="AC56" s="42" t="s">
        <v>6866</v>
      </c>
      <c r="AD56" s="13" t="e">
        <f>IF(ISBLANK(input_wld_az1_rack8_principal_storage_mask),"Value Missing",input_wld_az1_rack8_principal_storage_mask)</f>
        <v>#REF!</v>
      </c>
      <c r="AE56" s="7"/>
      <c r="AF56" s="7"/>
      <c r="AG56" s="27"/>
      <c r="AH56" s="7"/>
      <c r="AI56" s="7"/>
      <c r="AJ56" s="7"/>
      <c r="AK56" s="7"/>
    </row>
    <row r="57" spans="1:37" ht="19.5" customHeight="1">
      <c r="A57" s="7"/>
      <c r="B57" s="7"/>
      <c r="C57" s="7"/>
      <c r="D57" s="7"/>
      <c r="E57" s="42" t="s">
        <v>6795</v>
      </c>
      <c r="F57" s="13" t="e">
        <f>IF(mgmt_az1_host_overlay_gateway_cidr="Value Missing",mgmt_az1_host_overlay_gateway_cidr,VLOOKUP(INT(RIGHT(mgmt_az1_host_overlay_gateway_cidr,LEN(mgmt_az1_host_overlay_gateway_cidr)-FIND("/",mgmt_az1_host_overlay_gateway_cidr))),table_cidr_to_mask,2,FALSE))</f>
        <v>#REF!</v>
      </c>
      <c r="G57" s="7"/>
      <c r="H57" s="42" t="s">
        <v>6795</v>
      </c>
      <c r="I57" s="13" t="e">
        <f>IF(wld_az1_host_overlay_cidr="Value Missing","Value Missing",VLOOKUP(INT(RIGHT(wld_az1_host_overlay_cidr,LEN(wld_az1_host_overlay_cidr)-FIND("/",wld_az1_host_overlay_cidr))),table_cidr_to_mask,2,FALSE))</f>
        <v>#REF!</v>
      </c>
      <c r="J57" s="7"/>
      <c r="K57" s="42" t="s">
        <v>6795</v>
      </c>
      <c r="L57" s="13" t="e">
        <f>IF(ISBLANK(input_wld_az1_rack2_host_overlay_mask),"Value Missing",input_wld_az1_rack2_host_overlay_mask)</f>
        <v>#REF!</v>
      </c>
      <c r="M57" s="7"/>
      <c r="N57" s="42" t="s">
        <v>6795</v>
      </c>
      <c r="O57" s="13" t="e">
        <f>IF(ISBLANK(input_wld_az1_rack3_host_overlay_mask),"Value Missing",input_wld_az1_rack3_host_overlay_mask)</f>
        <v>#REF!</v>
      </c>
      <c r="P57" s="7"/>
      <c r="Q57" s="42" t="s">
        <v>6795</v>
      </c>
      <c r="R57" s="13" t="e">
        <f>IF(ISBLANK(input_wld_az1_rack4_host_overlay_mask),"Value Missing",input_wld_az1_rack4_host_overlay_mask)</f>
        <v>#REF!</v>
      </c>
      <c r="S57" s="7"/>
      <c r="T57" s="42" t="s">
        <v>6795</v>
      </c>
      <c r="U57" s="13" t="e">
        <f>IF(ISBLANK(input_wld_az1_rack5_host_overlay_mask),"Value Missing",input_wld_az1_rack5_host_overlay_mask)</f>
        <v>#REF!</v>
      </c>
      <c r="V57" s="7"/>
      <c r="W57" s="42" t="s">
        <v>6795</v>
      </c>
      <c r="X57" s="13" t="e">
        <f>IF(ISBLANK(input_wld_az1_rack6_host_overlay_mask),"Value Missing",input_wld_az1_rack6_host_overlay_mask)</f>
        <v>#REF!</v>
      </c>
      <c r="Y57" s="7"/>
      <c r="Z57" s="42" t="s">
        <v>6795</v>
      </c>
      <c r="AA57" s="13" t="e">
        <f>IF(ISBLANK(input_wld_az1_rack7_host_overlay_mask),"Value Missing",input_wld_az1_rack7_host_overlay_mask)</f>
        <v>#REF!</v>
      </c>
      <c r="AB57" s="7"/>
      <c r="AC57" s="42" t="s">
        <v>6795</v>
      </c>
      <c r="AD57" s="13" t="e">
        <f>IF(ISBLANK(input_wld_az1_rack8_host_overlay_mask),"Value Missing",input_wld_az1_rack8_host_overlay_mask)</f>
        <v>#REF!</v>
      </c>
      <c r="AE57" s="7"/>
      <c r="AF57" s="7"/>
      <c r="AG57" s="27"/>
      <c r="AH57" s="7"/>
      <c r="AI57" s="7"/>
      <c r="AJ57" s="7"/>
      <c r="AK57" s="7"/>
    </row>
    <row r="58" spans="1:37" ht="19.5" customHeight="1">
      <c r="A58" s="7"/>
      <c r="B58" s="205" t="s">
        <v>6018</v>
      </c>
      <c r="C58" s="200"/>
      <c r="D58" s="7"/>
      <c r="E58" s="57" t="s">
        <v>6831</v>
      </c>
      <c r="F58" s="13" t="e">
        <f>IF(mgmt_az1_vcf_mgmt_gateway_cidr="Value Missing",mgmt_az1_vcf_mgmt_gateway_cidr,VLOOKUP(INT(RIGHT(mgmt_az1_vcf_mgmt_gateway_cidr,LEN(mgmt_az1_vcf_mgmt_gateway_cidr)-FIND("/",mgmt_az1_vcf_mgmt_gateway_cidr))),table_cidr_to_mask,2,FALSE))</f>
        <v>#REF!</v>
      </c>
      <c r="G58" s="7"/>
      <c r="H58" s="42" t="s">
        <v>6797</v>
      </c>
      <c r="I58" s="13" t="e">
        <f>IF(wld_az1_secondary_storage_gateway_cidr="Value Missing",wld_az1_secondary_storage_gateway_cidr,VLOOKUP(INT(RIGHT(wld_az1_secondary_storage_gateway_cidr,LEN(wld_az1_secondary_storage_gateway_cidr)-FIND("/",wld_az1_secondary_storage_gateway_cidr))),table_cidr_to_mask,2,FALSE))</f>
        <v>#REF!</v>
      </c>
      <c r="J58" s="7"/>
      <c r="K58" s="42" t="s">
        <v>6797</v>
      </c>
      <c r="L58" s="13" t="str">
        <f>IF(ISBLANK(input_wld_az1_rack2_secondary_storage_mask),"Value Missing",input_wld_az1_rack2_secondary_storage_mask)</f>
        <v>Value Missing</v>
      </c>
      <c r="M58" s="7"/>
      <c r="N58" s="42" t="s">
        <v>6797</v>
      </c>
      <c r="O58" s="13" t="str">
        <f>IF(ISBLANK(input_wld_az1_rack3_secondary_storage_mask),"Value Missing",input_wld_az1_rack3_secondary_storage_mask)</f>
        <v>Value Missing</v>
      </c>
      <c r="P58" s="7"/>
      <c r="Q58" s="42" t="s">
        <v>6797</v>
      </c>
      <c r="R58" s="13" t="str">
        <f>IF(ISBLANK(input_wld_az1_rack4_secondary_storage_mask),"Value Missing",input_wld_az1_rack4_secondary_storage_mask)</f>
        <v>Value Missing</v>
      </c>
      <c r="S58" s="7"/>
      <c r="T58" s="42" t="s">
        <v>6797</v>
      </c>
      <c r="U58" s="13" t="str">
        <f>IF(ISBLANK(input_wld_az1_rack5_secondary_storage_mask),"Value Missing",input_wld_az1_rack5_secondary_storage_mask)</f>
        <v>Value Missing</v>
      </c>
      <c r="V58" s="7"/>
      <c r="W58" s="42" t="s">
        <v>6797</v>
      </c>
      <c r="X58" s="13" t="str">
        <f>IF(ISBLANK(input_wld_az1_rack6_secondary_storage_mask),"Value Missing",input_wld_az1_rack6_secondary_storage_mask)</f>
        <v>Value Missing</v>
      </c>
      <c r="Y58" s="7"/>
      <c r="Z58" s="42" t="s">
        <v>6797</v>
      </c>
      <c r="AA58" s="13" t="str">
        <f>IF(ISBLANK(input_wld_az1_rack7_secondary_storage_mask),"Value Missing",input_wld_az1_rack7_secondary_storage_mask)</f>
        <v>Value Missing</v>
      </c>
      <c r="AB58" s="7"/>
      <c r="AC58" s="42" t="s">
        <v>6797</v>
      </c>
      <c r="AD58" s="13" t="str">
        <f>IF(ISBLANK(input_wld_az1_rack8_secondary_storage_mask),"Value Missing",input_wld_az1_rack8_secondary_storage_mask)</f>
        <v>Value Missing</v>
      </c>
      <c r="AE58" s="7"/>
      <c r="AF58" s="7"/>
      <c r="AG58" s="27"/>
      <c r="AH58" s="7"/>
      <c r="AI58" s="7"/>
      <c r="AJ58" s="7"/>
      <c r="AK58" s="7"/>
    </row>
    <row r="59" spans="1:37" ht="19.5" customHeight="1">
      <c r="A59" s="7"/>
      <c r="B59" s="52" t="s">
        <v>6780</v>
      </c>
      <c r="C59" s="52" t="s">
        <v>6291</v>
      </c>
      <c r="D59" s="7"/>
      <c r="E59" s="67" t="s">
        <v>6797</v>
      </c>
      <c r="F59" s="13" t="e">
        <f>IF(mgmt_az1_secondary_storage_gateway_cidr="Value Missing",mgmt_az1_secondary_storage_gateway_cidr,VLOOKUP(INT(RIGHT(mgmt_az1_secondary_storage_gateway_cidr,LEN(mgmt_az1_secondary_storage_gateway_cidr)-FIND("/",mgmt_az1_secondary_storage_gateway_cidr))),table_cidr_to_mask,2,FALSE))</f>
        <v>#REF!</v>
      </c>
      <c r="G59" s="7"/>
      <c r="H59" s="42" t="s">
        <v>6800</v>
      </c>
      <c r="I59" s="13" t="e">
        <f>IF(wld_az1_storage_cluster_gateway_cidr="Value Missing",wld_az1_storage_cluster_gateway_cidr,VLOOKUP(INT(RIGHT(wld_az1_storage_cluster_gateway_cidr,LEN(wld_az1_storage_cluster_gateway_cidr)-FIND("/",wld_az1_storage_cluster_gateway_cidr))),table_cidr_to_mask,2,FALSE))</f>
        <v>#REF!</v>
      </c>
      <c r="J59" s="7"/>
      <c r="K59" s="42" t="s">
        <v>6800</v>
      </c>
      <c r="L59" s="13"/>
      <c r="M59" s="7"/>
      <c r="N59" s="42" t="s">
        <v>6800</v>
      </c>
      <c r="O59" s="13"/>
      <c r="P59" s="7"/>
      <c r="Q59" s="42" t="s">
        <v>6800</v>
      </c>
      <c r="R59" s="13"/>
      <c r="S59" s="7"/>
      <c r="T59" s="42" t="s">
        <v>6800</v>
      </c>
      <c r="U59" s="13"/>
      <c r="V59" s="7"/>
      <c r="W59" s="42" t="s">
        <v>6800</v>
      </c>
      <c r="X59" s="13"/>
      <c r="Y59" s="7"/>
      <c r="Z59" s="42" t="s">
        <v>6800</v>
      </c>
      <c r="AA59" s="13"/>
      <c r="AB59" s="7"/>
      <c r="AC59" s="42" t="s">
        <v>6800</v>
      </c>
      <c r="AD59" s="13"/>
      <c r="AE59" s="7"/>
      <c r="AF59" s="7"/>
      <c r="AG59" s="27"/>
      <c r="AH59" s="7"/>
      <c r="AI59" s="7"/>
      <c r="AJ59" s="7"/>
      <c r="AK59" s="7"/>
    </row>
    <row r="60" spans="1:37" ht="19.5" customHeight="1">
      <c r="A60" s="7"/>
      <c r="B60" s="13" t="s">
        <v>6867</v>
      </c>
      <c r="C60" s="13" t="e">
        <f>'Value Reference Tables'!R87</f>
        <v>#REF!</v>
      </c>
      <c r="D60" s="7"/>
      <c r="E60" s="42" t="s">
        <v>6802</v>
      </c>
      <c r="F60" s="13" t="e">
        <f>IF(mgmt_az1_uplink01_cidr="Value Missing",mgmt_az1_uplink01_cidr,VLOOKUP(INT(RIGHT(mgmt_az1_uplink01_cidr,LEN(mgmt_az1_uplink01_cidr)-FIND("/",mgmt_az1_uplink01_cidr))),table_cidr_to_mask,2,FALSE))</f>
        <v>#REF!</v>
      </c>
      <c r="G60" s="7"/>
      <c r="H60" s="42" t="s">
        <v>6802</v>
      </c>
      <c r="I60" s="13" t="e">
        <f>IF(wld_az1_uplink01_cidr="Value Missing",wld_az1_uplink01_cidr,VLOOKUP(INT(RIGHT(wld_az1_uplink01_cidr,LEN(wld_az1_uplink01_cidr)-FIND("/",wld_az1_uplink01_cidr))),table_cidr_to_mask,2,FALSE))</f>
        <v>#REF!</v>
      </c>
      <c r="J60" s="7"/>
      <c r="K60" s="42" t="s">
        <v>6802</v>
      </c>
      <c r="L60" s="13" t="str">
        <f>IF(ISBLANK(input_wld_az1_rack2_uplink01_mask),"Value Missing",input_wld_az1_rack2_uplink01_mask)</f>
        <v>Value Missing</v>
      </c>
      <c r="M60" s="7"/>
      <c r="N60" s="42" t="s">
        <v>6802</v>
      </c>
      <c r="O60" s="13" t="str">
        <f>IF(ISBLANK(input_wld_az1_rack3_uplink01_mask),"Value Missing",input_wld_az1_rack3_uplink01_mask)</f>
        <v>Value Missing</v>
      </c>
      <c r="P60" s="7"/>
      <c r="Q60" s="42" t="s">
        <v>6802</v>
      </c>
      <c r="R60" s="13" t="str">
        <f>IF(ISBLANK(input_wld_az1_rack4_uplink01_mask),"Value Missing",input_wld_az1_rack4_uplink01_mask)</f>
        <v>Value Missing</v>
      </c>
      <c r="S60" s="7"/>
      <c r="T60" s="42" t="s">
        <v>6802</v>
      </c>
      <c r="U60" s="13" t="str">
        <f>IF(ISBLANK(input_wld_az1_rack5_uplink01_mask),"Value Missing",input_wld_az1_rack5_uplink01_mask)</f>
        <v>Value Missing</v>
      </c>
      <c r="V60" s="7"/>
      <c r="W60" s="42" t="s">
        <v>6802</v>
      </c>
      <c r="X60" s="13" t="str">
        <f>IF(ISBLANK(input_wld_az1_rack6_uplink01_mask),"Value Missing",input_wld_az1_rack6_uplink01_mask)</f>
        <v>Value Missing</v>
      </c>
      <c r="Y60" s="7"/>
      <c r="Z60" s="42" t="s">
        <v>6802</v>
      </c>
      <c r="AA60" s="13" t="str">
        <f>IF(ISBLANK(input_wld_az1_rack7_uplink01_mask),"Value Missing",input_wld_az1_rack7_uplink01_mask)</f>
        <v>Value Missing</v>
      </c>
      <c r="AB60" s="7"/>
      <c r="AC60" s="42" t="s">
        <v>6802</v>
      </c>
      <c r="AD60" s="13" t="str">
        <f>IF(ISBLANK(input_wld_az1_rack8_uplink01_mask),"Value Missing",input_wld_az1_rack8_uplink01_mask)</f>
        <v>Value Missing</v>
      </c>
      <c r="AE60" s="7"/>
      <c r="AF60" s="7"/>
      <c r="AG60" s="27"/>
      <c r="AH60" s="7"/>
      <c r="AI60" s="7"/>
      <c r="AJ60" s="7"/>
      <c r="AK60" s="7"/>
    </row>
    <row r="61" spans="1:37" ht="19.5" customHeight="1">
      <c r="A61" s="7"/>
      <c r="B61" s="7"/>
      <c r="C61" s="7"/>
      <c r="D61" s="7"/>
      <c r="E61" s="42" t="s">
        <v>6804</v>
      </c>
      <c r="F61" s="13" t="e">
        <f>IF(mgmt_az1_uplink02_cidr="Value Missing",mgmt_az1_uplink02_cidr,VLOOKUP(INT(RIGHT(mgmt_az1_uplink02_cidr,LEN(mgmt_az1_uplink02_cidr)-FIND("/",mgmt_az1_uplink02_cidr))),table_cidr_to_mask,2,FALSE))</f>
        <v>#REF!</v>
      </c>
      <c r="G61" s="7"/>
      <c r="H61" s="42" t="s">
        <v>6804</v>
      </c>
      <c r="I61" s="13" t="e">
        <f>IF(wld_az1_uplink02_cidr="Value Missing",wld_az1_uplink02_cidr,VLOOKUP(INT(RIGHT(wld_az1_uplink02_cidr,LEN(wld_az1_uplink02_cidr)-FIND("/",wld_az1_uplink02_cidr))),table_cidr_to_mask,2,FALSE))</f>
        <v>#REF!</v>
      </c>
      <c r="J61" s="7"/>
      <c r="K61" s="42" t="s">
        <v>6804</v>
      </c>
      <c r="L61" s="13" t="str">
        <f>IF(ISBLANK(input_wld_az1_rack2_uplink02_mask),"Value Missing",input_wld_az1_rack2_uplink02_mask)</f>
        <v>Value Missing</v>
      </c>
      <c r="M61" s="7"/>
      <c r="N61" s="42" t="s">
        <v>6804</v>
      </c>
      <c r="O61" s="13" t="str">
        <f>IF(ISBLANK(input_wld_az1_rack3_uplink02_mask),"Value Missing",input_wld_az1_rack3_uplink02_mask)</f>
        <v>Value Missing</v>
      </c>
      <c r="P61" s="7"/>
      <c r="Q61" s="42" t="s">
        <v>6804</v>
      </c>
      <c r="R61" s="13" t="str">
        <f>IF(ISBLANK(input_wld_az1_rack4_uplink02_mask),"Value Missing",input_wld_az1_rack4_uplink02_mask)</f>
        <v>Value Missing</v>
      </c>
      <c r="S61" s="7"/>
      <c r="T61" s="42" t="s">
        <v>6804</v>
      </c>
      <c r="U61" s="13" t="str">
        <f>IF(ISBLANK(input_wld_az1_rack5_uplink02_mask),"Value Missing",input_wld_az1_rack5_uplink02_mask)</f>
        <v>Value Missing</v>
      </c>
      <c r="V61" s="7"/>
      <c r="W61" s="42" t="s">
        <v>6804</v>
      </c>
      <c r="X61" s="13" t="str">
        <f>IF(ISBLANK(input_wld_az1_rack6_uplink02_mask),"Value Missing",input_wld_az1_rack6_uplink02_mask)</f>
        <v>Value Missing</v>
      </c>
      <c r="Y61" s="7"/>
      <c r="Z61" s="42" t="s">
        <v>6804</v>
      </c>
      <c r="AA61" s="13" t="str">
        <f>IF(ISBLANK(input_wld_az1_rack7_uplink02_mask),"Value Missing",input_wld_az1_rack7_uplink02_mask)</f>
        <v>Value Missing</v>
      </c>
      <c r="AB61" s="7"/>
      <c r="AC61" s="42" t="s">
        <v>6804</v>
      </c>
      <c r="AD61" s="13" t="str">
        <f>IF(ISBLANK(input_wld_az1_rack8_uplink02_mask),"Value Missing",input_wld_az1_rack8_uplink02_mask)</f>
        <v>Value Missing</v>
      </c>
      <c r="AE61" s="7"/>
      <c r="AF61" s="7"/>
      <c r="AG61" s="27"/>
      <c r="AH61" s="7"/>
      <c r="AI61" s="7"/>
      <c r="AJ61" s="7"/>
      <c r="AK61" s="7"/>
    </row>
    <row r="62" spans="1:37" ht="19.5" customHeight="1">
      <c r="A62" s="7"/>
      <c r="B62" s="7" t="s">
        <v>6868</v>
      </c>
      <c r="C62" s="7"/>
      <c r="D62" s="7"/>
      <c r="E62" s="42" t="s">
        <v>6806</v>
      </c>
      <c r="F62" s="13" t="e">
        <f>IF(ISBLANK(input_mgmt_az1_edge_overlay_mask),"Value Missing",input_mgmt_az1_edge_overlay_mask)</f>
        <v>#REF!</v>
      </c>
      <c r="G62" s="7"/>
      <c r="H62" s="42" t="s">
        <v>6806</v>
      </c>
      <c r="I62" s="13" t="e">
        <f>IF(ISBLANK(input_wld_az1_edge_overlay_mask),"Value Missing",input_wld_az1_edge_overlay_mask)</f>
        <v>#REF!</v>
      </c>
      <c r="J62" s="7"/>
      <c r="K62" s="42" t="s">
        <v>6806</v>
      </c>
      <c r="L62" s="13" t="str">
        <f>IF(ISBLANK(input_wld_az1_rack2_edge_overlay_mask),"Value Missing",input_wld_az1_rack2_edge_overlay_mask)</f>
        <v>Value Missing</v>
      </c>
      <c r="M62" s="7"/>
      <c r="N62" s="42" t="s">
        <v>6806</v>
      </c>
      <c r="O62" s="13" t="str">
        <f>IF(ISBLANK(input_wld_az1_rack3_edge_overlay_mask),"Value Missing",input_wld_az1_rack3_edge_overlay_mask)</f>
        <v>Value Missing</v>
      </c>
      <c r="P62" s="7"/>
      <c r="Q62" s="42" t="s">
        <v>6806</v>
      </c>
      <c r="R62" s="13" t="str">
        <f>IF(ISBLANK(input_wld_az1_rack4_edge_overlay_mask),"Value Missing",input_wld_az1_rack4_edge_overlay_mask)</f>
        <v>Value Missing</v>
      </c>
      <c r="S62" s="7"/>
      <c r="T62" s="42" t="s">
        <v>6806</v>
      </c>
      <c r="U62" s="13" t="str">
        <f>IF(ISBLANK(input_wld_az1_rack5_edge_overlay_mask),"Value Missing",input_wld_az1_rack5_edge_overlay_mask)</f>
        <v>Value Missing</v>
      </c>
      <c r="V62" s="7"/>
      <c r="W62" s="42" t="s">
        <v>6806</v>
      </c>
      <c r="X62" s="13" t="str">
        <f>IF(ISBLANK(input_wld_az1_rack6_edge_overlay_mask),"Value Missing",input_wld_az1_rack6_edge_overlay_mask)</f>
        <v>Value Missing</v>
      </c>
      <c r="Y62" s="7"/>
      <c r="Z62" s="42" t="s">
        <v>6806</v>
      </c>
      <c r="AA62" s="13" t="str">
        <f>IF(ISBLANK(input_wld_az1_rack7_edge_overlay_mask),"Value Missing",input_wld_az1_rack7_edge_overlay_mask)</f>
        <v>Value Missing</v>
      </c>
      <c r="AB62" s="7"/>
      <c r="AC62" s="42" t="s">
        <v>6806</v>
      </c>
      <c r="AD62" s="13" t="str">
        <f>IF(ISBLANK(input_wld_az1_rack8_edge_overlay_mask),"Value Missing",input_wld_az1_rack8_edge_overlay_mask)</f>
        <v>Value Missing</v>
      </c>
      <c r="AE62" s="7"/>
      <c r="AF62" s="7"/>
      <c r="AG62" s="27"/>
      <c r="AH62" s="7"/>
      <c r="AI62" s="7"/>
      <c r="AJ62" s="7"/>
      <c r="AK62" s="7"/>
    </row>
    <row r="63" spans="1:37" ht="19.5" customHeight="1">
      <c r="A63" s="7"/>
      <c r="B63" s="7"/>
      <c r="C63" s="7"/>
      <c r="D63" s="7"/>
      <c r="E63" s="42" t="s">
        <v>6809</v>
      </c>
      <c r="F63" s="13" t="e">
        <f>IF(mgmt_az1_rtep_overlay_cidr="Value Missing",mgmt_az1_rtep_overlay_cidr,VLOOKUP(INT(RIGHT(mgmt_az1_rtep_overlay_cidr,LEN(mgmt_az1_rtep_overlay_cidr)-FIND("/",mgmt_az1_rtep_overlay_cidr))),table_cidr_to_mask,2,FALSE))</f>
        <v>#REF!</v>
      </c>
      <c r="G63" s="7"/>
      <c r="H63" s="42" t="s">
        <v>6809</v>
      </c>
      <c r="I63" s="13" t="e">
        <f>IF(wld_az1_rtep_overlay_cidr="Value Missing",wld_az1_rtep_overlay_cidr,VLOOKUP(INT(RIGHT(wld_az1_rtep_overlay_cidr,LEN(wld_az1_rtep_overlay_cidr)-FIND("/",wld_az1_rtep_overlay_cidr))),table_cidr_to_mask,2,FALSE))</f>
        <v>#REF!</v>
      </c>
      <c r="J63" s="7"/>
      <c r="K63" s="42" t="s">
        <v>6809</v>
      </c>
      <c r="L63" s="13"/>
      <c r="M63" s="7"/>
      <c r="N63" s="42" t="s">
        <v>6809</v>
      </c>
      <c r="O63" s="13"/>
      <c r="P63" s="7"/>
      <c r="Q63" s="42" t="s">
        <v>6809</v>
      </c>
      <c r="R63" s="13"/>
      <c r="S63" s="7"/>
      <c r="T63" s="42" t="s">
        <v>6809</v>
      </c>
      <c r="U63" s="13"/>
      <c r="V63" s="7"/>
      <c r="W63" s="42" t="s">
        <v>6809</v>
      </c>
      <c r="X63" s="13"/>
      <c r="Y63" s="7"/>
      <c r="Z63" s="42" t="s">
        <v>6809</v>
      </c>
      <c r="AA63" s="13"/>
      <c r="AB63" s="7"/>
      <c r="AC63" s="42" t="s">
        <v>6809</v>
      </c>
      <c r="AD63" s="13"/>
      <c r="AE63" s="7"/>
      <c r="AF63" s="7"/>
      <c r="AG63" s="27"/>
      <c r="AH63" s="7"/>
      <c r="AI63" s="7"/>
      <c r="AJ63" s="7"/>
      <c r="AK63" s="7"/>
    </row>
    <row r="64" spans="1:37" ht="19.5" customHeight="1">
      <c r="A64" s="7"/>
      <c r="B64" s="7"/>
      <c r="C64" s="7"/>
      <c r="D64" s="7"/>
      <c r="E64" s="42" t="s">
        <v>6811</v>
      </c>
      <c r="F64" s="13"/>
      <c r="G64" s="7"/>
      <c r="H64" s="42" t="s">
        <v>6811</v>
      </c>
      <c r="I64" s="13" t="str">
        <f>IF(wld_az1_vrms_cidr="Value Missing",wld_az1_vrms_cidr,VLOOKUP(INT(RIGHT(wld_az1_vrms_cidr,LEN(wld_az1_vrms_cidr)-FIND("/",wld_az1_vrms_cidr))),table_cidr_to_mask,2,FALSE))</f>
        <v>Value Missing</v>
      </c>
      <c r="J64" s="7"/>
      <c r="K64" s="42" t="s">
        <v>6811</v>
      </c>
      <c r="L64" s="13"/>
      <c r="M64" s="7"/>
      <c r="N64" s="42" t="s">
        <v>6811</v>
      </c>
      <c r="O64" s="13"/>
      <c r="P64" s="7"/>
      <c r="Q64" s="42" t="s">
        <v>6811</v>
      </c>
      <c r="R64" s="13"/>
      <c r="S64" s="7"/>
      <c r="T64" s="42" t="s">
        <v>6811</v>
      </c>
      <c r="U64" s="13"/>
      <c r="V64" s="7"/>
      <c r="W64" s="42" t="s">
        <v>6811</v>
      </c>
      <c r="X64" s="13"/>
      <c r="Y64" s="7"/>
      <c r="Z64" s="42" t="s">
        <v>6811</v>
      </c>
      <c r="AA64" s="13"/>
      <c r="AB64" s="7"/>
      <c r="AC64" s="42" t="s">
        <v>6811</v>
      </c>
      <c r="AD64" s="13"/>
      <c r="AE64" s="7"/>
      <c r="AF64" s="7"/>
      <c r="AG64" s="68"/>
      <c r="AH64" s="51"/>
      <c r="AI64" s="7"/>
      <c r="AJ64" s="7"/>
      <c r="AK64" s="7"/>
    </row>
    <row r="65" spans="1:37" ht="19.5" customHeight="1">
      <c r="A65" s="7"/>
      <c r="B65" s="7"/>
      <c r="C65" s="7"/>
      <c r="D65" s="7"/>
      <c r="E65" s="7"/>
      <c r="F65" s="7"/>
      <c r="G65" s="7"/>
      <c r="H65" s="69"/>
      <c r="I65" s="6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27"/>
      <c r="AH65" s="7"/>
      <c r="AI65" s="7"/>
      <c r="AJ65" s="7"/>
      <c r="AK65" s="7"/>
    </row>
    <row r="66" spans="1:37" ht="19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27"/>
      <c r="AH66" s="7"/>
      <c r="AI66" s="7"/>
      <c r="AJ66" s="7"/>
      <c r="AK66" s="7"/>
    </row>
    <row r="67" spans="1:37" ht="19.5" customHeight="1">
      <c r="A67" s="7"/>
      <c r="B67" s="7"/>
      <c r="C67" s="7"/>
      <c r="D67" s="7"/>
      <c r="E67" s="47" t="s">
        <v>6869</v>
      </c>
      <c r="F67" s="48"/>
      <c r="G67" s="7"/>
      <c r="H67" s="47" t="s">
        <v>6870</v>
      </c>
      <c r="I67" s="48"/>
      <c r="J67" s="7"/>
      <c r="K67" s="47" t="s">
        <v>6871</v>
      </c>
      <c r="L67" s="48"/>
      <c r="M67" s="7"/>
      <c r="N67" s="47" t="s">
        <v>6872</v>
      </c>
      <c r="O67" s="48"/>
      <c r="P67" s="7"/>
      <c r="Q67" s="49" t="s">
        <v>6873</v>
      </c>
      <c r="R67" s="50"/>
      <c r="S67" s="7"/>
      <c r="T67" s="49" t="s">
        <v>6874</v>
      </c>
      <c r="U67" s="50"/>
      <c r="V67" s="7"/>
      <c r="W67" s="49" t="s">
        <v>6875</v>
      </c>
      <c r="X67" s="50"/>
      <c r="Y67" s="7"/>
      <c r="Z67" s="49" t="s">
        <v>6876</v>
      </c>
      <c r="AA67" s="50"/>
      <c r="AB67" s="7"/>
      <c r="AC67" s="49" t="s">
        <v>6877</v>
      </c>
      <c r="AD67" s="50"/>
      <c r="AE67" s="7"/>
      <c r="AF67" s="7"/>
      <c r="AG67" s="27"/>
      <c r="AH67" s="27"/>
      <c r="AI67" s="7"/>
      <c r="AJ67" s="7"/>
      <c r="AK67" s="7"/>
    </row>
    <row r="68" spans="1:37" ht="19.5" customHeight="1">
      <c r="A68" s="7"/>
      <c r="B68" s="7"/>
      <c r="C68" s="7"/>
      <c r="D68" s="7"/>
      <c r="E68" s="52" t="s">
        <v>6780</v>
      </c>
      <c r="F68" s="52" t="s">
        <v>6781</v>
      </c>
      <c r="G68" s="7"/>
      <c r="H68" s="52" t="s">
        <v>6780</v>
      </c>
      <c r="I68" s="52" t="s">
        <v>6781</v>
      </c>
      <c r="J68" s="7"/>
      <c r="K68" s="52" t="s">
        <v>6780</v>
      </c>
      <c r="L68" s="52" t="s">
        <v>6781</v>
      </c>
      <c r="M68" s="7"/>
      <c r="N68" s="52" t="s">
        <v>6780</v>
      </c>
      <c r="O68" s="52" t="s">
        <v>6781</v>
      </c>
      <c r="P68" s="7"/>
      <c r="Q68" s="52" t="s">
        <v>6780</v>
      </c>
      <c r="R68" s="52" t="s">
        <v>6781</v>
      </c>
      <c r="S68" s="53"/>
      <c r="T68" s="52" t="s">
        <v>6780</v>
      </c>
      <c r="U68" s="52" t="s">
        <v>6781</v>
      </c>
      <c r="V68" s="53"/>
      <c r="W68" s="52" t="s">
        <v>6780</v>
      </c>
      <c r="X68" s="52" t="s">
        <v>6781</v>
      </c>
      <c r="Y68" s="53"/>
      <c r="Z68" s="52" t="s">
        <v>6780</v>
      </c>
      <c r="AA68" s="52" t="s">
        <v>6781</v>
      </c>
      <c r="AB68" s="53"/>
      <c r="AC68" s="52" t="s">
        <v>6780</v>
      </c>
      <c r="AD68" s="52" t="s">
        <v>6781</v>
      </c>
      <c r="AE68" s="7"/>
      <c r="AF68" s="7"/>
      <c r="AG68" s="27"/>
      <c r="AH68" s="27"/>
      <c r="AI68" s="7"/>
      <c r="AJ68" s="7"/>
      <c r="AK68" s="7"/>
    </row>
    <row r="69" spans="1:37" ht="19.5" customHeight="1">
      <c r="A69" s="7"/>
      <c r="B69" s="7"/>
      <c r="C69" s="7"/>
      <c r="D69" s="7"/>
      <c r="E69" s="30" t="s">
        <v>6784</v>
      </c>
      <c r="F69" s="13" t="e">
        <f>IF(ISBLANK(input_mgmt_az1_mgmt_vm_mtu),"Value Missing",input_mgmt_az1_mgmt_vm_mtu)</f>
        <v>#REF!</v>
      </c>
      <c r="G69" s="7"/>
      <c r="H69" s="30" t="s">
        <v>6784</v>
      </c>
      <c r="I69" s="13" t="e">
        <f>IF(ISBLANK(input_wld_az1_mgmt_vm_mtu),"Value Missing",input_wld_az1_mgmt_vm_mtu)</f>
        <v>#REF!</v>
      </c>
      <c r="J69" s="7"/>
      <c r="K69" s="30" t="s">
        <v>6784</v>
      </c>
      <c r="L69" s="13" t="str">
        <f>IF(ISBLANK(input_wld_az1_rack2_mgmt_vm_mtu),"Value Missing",input_wld_az1_rack2_mgmt_vm_mtu)</f>
        <v>Value Missing</v>
      </c>
      <c r="M69" s="7"/>
      <c r="N69" s="30" t="s">
        <v>6784</v>
      </c>
      <c r="O69" s="13" t="str">
        <f>IF(ISBLANK(input_wld_az1_rack3_mgmt_vm_mtu),"Value Missing",input_wld_az1_rack3_mgmt_vm_mtu)</f>
        <v>Value Missing</v>
      </c>
      <c r="P69" s="7"/>
      <c r="Q69" s="30" t="s">
        <v>6784</v>
      </c>
      <c r="R69" s="13" t="str">
        <f>IF(ISBLANK(input_wld_az1_rack4_mgmt_vm_mtu),"Value Missing",input_wld_az1_rack4_mgmt_vm_mtu)</f>
        <v>Value Missing</v>
      </c>
      <c r="S69" s="7"/>
      <c r="T69" s="30" t="s">
        <v>6784</v>
      </c>
      <c r="U69" s="13" t="str">
        <f>IF(ISBLANK(input_wld_az1_rack5_mgmt_vm_mtu),"Value Missing",input_wld_az1_rack5_mgmt_vm_mtu)</f>
        <v>Value Missing</v>
      </c>
      <c r="V69" s="7"/>
      <c r="W69" s="30" t="s">
        <v>6784</v>
      </c>
      <c r="X69" s="13" t="str">
        <f>IF(ISBLANK(input_wld_az1_rack6_mgmt_vm_mtu),"Value Missing",input_wld_az1_rack6_mgmt_vm_mtu)</f>
        <v>Value Missing</v>
      </c>
      <c r="Y69" s="7"/>
      <c r="Z69" s="30" t="s">
        <v>6784</v>
      </c>
      <c r="AA69" s="13" t="str">
        <f>IF(ISBLANK(input_wld_az1_rack7_mgmt_vm_mtu),"Value Missing",input_wld_az1_rack7_mgmt_vm_mtu)</f>
        <v>Value Missing</v>
      </c>
      <c r="AB69" s="7"/>
      <c r="AC69" s="30" t="s">
        <v>6784</v>
      </c>
      <c r="AD69" s="13" t="str">
        <f>IF(ISBLANK(input_wld_az1_rack8_mgmt_vm_mtu),"Value Missing",input_wld_az1_rack8_mgmt_vm_mtu)</f>
        <v>Value Missing</v>
      </c>
      <c r="AE69" s="7"/>
      <c r="AF69" s="7"/>
      <c r="AG69" s="27"/>
      <c r="AH69" s="27"/>
      <c r="AI69" s="7"/>
      <c r="AJ69" s="7"/>
      <c r="AK69" s="7"/>
    </row>
    <row r="70" spans="1:37" ht="19.5" customHeight="1">
      <c r="A70" s="7"/>
      <c r="B70" s="7"/>
      <c r="C70" s="7"/>
      <c r="D70" s="7"/>
      <c r="E70" s="30" t="s">
        <v>6787</v>
      </c>
      <c r="F70" s="13" t="e">
        <f>IF(ISBLANK(input_mgmt_az1_mgmt_mtu),"Value Missing",input_mgmt_az1_mgmt_mtu)</f>
        <v>#REF!</v>
      </c>
      <c r="G70" s="7"/>
      <c r="H70" s="30" t="s">
        <v>6787</v>
      </c>
      <c r="I70" s="13" t="e">
        <f>IF(ISBLANK(input_wld_az1_mgmt_mtu),"Value Missing",input_wld_az1_mgmt_mtu)</f>
        <v>#REF!</v>
      </c>
      <c r="J70" s="7"/>
      <c r="K70" s="30" t="s">
        <v>6787</v>
      </c>
      <c r="L70" s="13" t="e">
        <f>IF(ISBLANK(input_wld_az1_rack2_mgmt_mtu),"Value Missing",input_wld_az1_rack2_mgmt_mtu)</f>
        <v>#REF!</v>
      </c>
      <c r="M70" s="7"/>
      <c r="N70" s="30" t="s">
        <v>6787</v>
      </c>
      <c r="O70" s="13" t="e">
        <f>IF(ISBLANK(input_wld_az1_rack3_mgmt_mtu),"Value Missing",input_wld_az1_rack3_mgmt_mtu)</f>
        <v>#REF!</v>
      </c>
      <c r="P70" s="7"/>
      <c r="Q70" s="30" t="s">
        <v>6787</v>
      </c>
      <c r="R70" s="13" t="e">
        <f>IF(ISBLANK(input_wld_az1_rack4_mgmt_mtu),"Value Missing",input_wld_az1_rack4_mgmt_mtu)</f>
        <v>#REF!</v>
      </c>
      <c r="S70" s="7"/>
      <c r="T70" s="30" t="s">
        <v>6787</v>
      </c>
      <c r="U70" s="13" t="e">
        <f>IF(ISBLANK(input_wld_az1_rack5_mgmt_mtu),"Value Missing",input_wld_az1_rack5_mgmt_mtu)</f>
        <v>#REF!</v>
      </c>
      <c r="V70" s="7"/>
      <c r="W70" s="30" t="s">
        <v>6787</v>
      </c>
      <c r="X70" s="13" t="e">
        <f>IF(ISBLANK(input_wld_az1_rack6_mgmt_mtu),"Value Missing",input_wld_az1_rack6_mgmt_mtu)</f>
        <v>#REF!</v>
      </c>
      <c r="Y70" s="7"/>
      <c r="Z70" s="30" t="s">
        <v>6787</v>
      </c>
      <c r="AA70" s="13" t="e">
        <f>IF(ISBLANK(input_wld_az1_rack7_mgmt_mtu),"Value Missing",input_wld_az1_rack7_mgmt_mtu)</f>
        <v>#REF!</v>
      </c>
      <c r="AB70" s="7"/>
      <c r="AC70" s="30" t="s">
        <v>6787</v>
      </c>
      <c r="AD70" s="13" t="e">
        <f>IF(ISBLANK(input_wld_az1_rack8_mgmt_mtu),"Value Missing",input_wld_az1_rack8_mgmt_mtu)</f>
        <v>#REF!</v>
      </c>
      <c r="AE70" s="7"/>
      <c r="AF70" s="7"/>
      <c r="AG70" s="27"/>
      <c r="AH70" s="27"/>
      <c r="AI70" s="7"/>
      <c r="AJ70" s="7"/>
      <c r="AK70" s="7"/>
    </row>
    <row r="71" spans="1:37" ht="19.5" customHeight="1">
      <c r="A71" s="7"/>
      <c r="B71" s="7"/>
      <c r="C71" s="7"/>
      <c r="D71" s="7"/>
      <c r="E71" s="30" t="s">
        <v>6790</v>
      </c>
      <c r="F71" s="13" t="e">
        <f>IF(ISBLANK(input_mgmt_az1_vmotion_mtu),"Value Missing",input_mgmt_az1_vmotion_mtu)</f>
        <v>#REF!</v>
      </c>
      <c r="G71" s="7"/>
      <c r="H71" s="30" t="s">
        <v>6790</v>
      </c>
      <c r="I71" s="13" t="e">
        <f>IF(ISBLANK(input_wld_az1_vmotion_mtu),"Value Missing",input_wld_az1_vmotion_mtu)</f>
        <v>#REF!</v>
      </c>
      <c r="J71" s="7"/>
      <c r="K71" s="30" t="s">
        <v>6790</v>
      </c>
      <c r="L71" s="13" t="e">
        <f>IF(ISBLANK(input_wld_az1_rack2_vmotion_mtu),"Value Missing",input_wld_az1_rack2_vmotion_mtu)</f>
        <v>#REF!</v>
      </c>
      <c r="M71" s="7"/>
      <c r="N71" s="30" t="s">
        <v>6790</v>
      </c>
      <c r="O71" s="13" t="e">
        <f>IF(ISBLANK(input_wld_az1_rack3_vmotion_mtu),"Value Missing",input_wld_az1_rack3_vmotion_mtu)</f>
        <v>#REF!</v>
      </c>
      <c r="P71" s="7"/>
      <c r="Q71" s="30" t="s">
        <v>6790</v>
      </c>
      <c r="R71" s="13" t="e">
        <f>IF(ISBLANK(input_wld_az1_rack4_vmotion_mtu),"Value Missing",input_wld_az1_rack4_vmotion_mtu)</f>
        <v>#REF!</v>
      </c>
      <c r="S71" s="7"/>
      <c r="T71" s="30" t="s">
        <v>6790</v>
      </c>
      <c r="U71" s="13" t="e">
        <f>IF(ISBLANK(input_wld_az1_rack5_vmotion_mtu),"Value Missing",input_wld_az1_rack5_vmotion_mtu)</f>
        <v>#REF!</v>
      </c>
      <c r="V71" s="7"/>
      <c r="W71" s="30" t="s">
        <v>6790</v>
      </c>
      <c r="X71" s="13" t="e">
        <f>IF(ISBLANK(input_wld_az1_rack6_vmotion_mtu),"Value Missing",input_wld_az1_rack6_vmotion_mtu)</f>
        <v>#REF!</v>
      </c>
      <c r="Y71" s="7"/>
      <c r="Z71" s="30" t="s">
        <v>6790</v>
      </c>
      <c r="AA71" s="13" t="e">
        <f>IF(ISBLANK(input_wld_az1_rack7_vmotion_mtu),"Value Missing",input_wld_az1_rack7_vmotion_mtu)</f>
        <v>#REF!</v>
      </c>
      <c r="AB71" s="7"/>
      <c r="AC71" s="30" t="s">
        <v>6790</v>
      </c>
      <c r="AD71" s="13" t="e">
        <f>IF(ISBLANK(input_wld_az1_rack8_vmotion_mtu),"Value Missing",input_wld_az1_rack8_vmotion_mtu)</f>
        <v>#REF!</v>
      </c>
      <c r="AE71" s="7"/>
      <c r="AF71" s="7"/>
      <c r="AG71" s="27"/>
      <c r="AH71" s="27"/>
      <c r="AI71" s="7"/>
      <c r="AJ71" s="7"/>
      <c r="AK71" s="7"/>
    </row>
    <row r="72" spans="1:37" ht="19.5" customHeight="1">
      <c r="A72" s="7"/>
      <c r="B72" s="7"/>
      <c r="C72" s="7"/>
      <c r="D72" s="7"/>
      <c r="E72" s="39" t="e">
        <f>CONCATENATE("Principal Storage Network ",wld_principal_storage_chosen)</f>
        <v>#REF!</v>
      </c>
      <c r="F72" s="13" t="e">
        <f>IF(ISBLANK(input_mgmt_az1_vsan_mtu),"Value Missing",input_mgmt_az1_vsan_mtu)</f>
        <v>#REF!</v>
      </c>
      <c r="G72" s="7"/>
      <c r="H72" s="39" t="s">
        <v>6793</v>
      </c>
      <c r="I72" s="13" t="e">
        <f>IF(ISBLANK(input_wld_az1_principal_storage_mtu),"Value Missing",input_wld_az1_principal_storage_mtu)</f>
        <v>#REF!</v>
      </c>
      <c r="J72" s="7"/>
      <c r="K72" s="39" t="e">
        <f>CONCATENATE("Principal Storage Network ",wld_principal_storage_chosen)</f>
        <v>#REF!</v>
      </c>
      <c r="L72" s="13" t="e">
        <f>IF(ISBLANK(input_wld_az1_rack2_principal_storage_mtu),"Value Missing",input_wld_az1_rack2_principal_storage_mtu)</f>
        <v>#REF!</v>
      </c>
      <c r="M72" s="7"/>
      <c r="N72" s="39" t="e">
        <f>CONCATENATE("Principal Storage Network ",wld_principal_storage_chosen)</f>
        <v>#REF!</v>
      </c>
      <c r="O72" s="13" t="e">
        <f>IF(ISBLANK(input_wld_az1_rack3_principal_storage_mtu),"Value Missing",input_wld_az1_rack3_principal_storage_mtu)</f>
        <v>#REF!</v>
      </c>
      <c r="P72" s="7"/>
      <c r="Q72" s="39" t="e">
        <f>CONCATENATE("Principal Storage Network ",wld_principal_storage_chosen)</f>
        <v>#REF!</v>
      </c>
      <c r="R72" s="13" t="e">
        <f>IF(ISBLANK(input_wld_az1_rack4_principal_storage_mtu),"Value Missing",input_wld_az1_rack4_principal_storage_mtu)</f>
        <v>#REF!</v>
      </c>
      <c r="S72" s="7"/>
      <c r="T72" s="39" t="e">
        <f>CONCATENATE("Principal Storage Network ",wld_principal_storage_chosen)</f>
        <v>#REF!</v>
      </c>
      <c r="U72" s="13" t="e">
        <f>IF(ISBLANK(input_wld_az1_rack5_principal_storage_mtu),"Value Missing",input_wld_az1_rack5_principal_storage_mtu)</f>
        <v>#REF!</v>
      </c>
      <c r="V72" s="7"/>
      <c r="W72" s="39" t="e">
        <f>CONCATENATE("Principal Storage Network ",wld_principal_storage_chosen)</f>
        <v>#REF!</v>
      </c>
      <c r="X72" s="13" t="e">
        <f>IF(ISBLANK(input_wld_az1_rack6_principal_storage_mtu),"Value Missing",input_wld_az1_rack6_principal_storage_mtu)</f>
        <v>#REF!</v>
      </c>
      <c r="Y72" s="7"/>
      <c r="Z72" s="39" t="e">
        <f>CONCATENATE("Principal Storage Network ",wld_principal_storage_chosen)</f>
        <v>#REF!</v>
      </c>
      <c r="AA72" s="13" t="e">
        <f>IF(ISBLANK(input_wld_az1_rack7_principal_storage_mtu),"Value Missing",input_wld_az1_rack7_principal_storage_mtu)</f>
        <v>#REF!</v>
      </c>
      <c r="AB72" s="7"/>
      <c r="AC72" s="39" t="e">
        <f>CONCATENATE("Principal Storage Network ",wld_principal_storage_chosen)</f>
        <v>#REF!</v>
      </c>
      <c r="AD72" s="13" t="e">
        <f>IF(ISBLANK(input_wld_az1_rack8_principal_storage_mtu),"Value Missing",input_wld_az1_rack8_principal_storage_mtu)</f>
        <v>#REF!</v>
      </c>
      <c r="AE72" s="7"/>
      <c r="AF72" s="7"/>
      <c r="AG72" s="27"/>
      <c r="AH72" s="27"/>
      <c r="AI72" s="7"/>
      <c r="AJ72" s="7"/>
      <c r="AK72" s="7"/>
    </row>
    <row r="73" spans="1:37" ht="19.5" customHeight="1">
      <c r="A73" s="7"/>
      <c r="B73" s="7"/>
      <c r="C73" s="7"/>
      <c r="D73" s="7"/>
      <c r="E73" s="30" t="s">
        <v>6795</v>
      </c>
      <c r="F73" s="13" t="e">
        <f>IF(ISBLANK(input_mgmt_az1_host_overlay_mtu),"Value Missing",input_mgmt_az1_host_overlay_mtu)</f>
        <v>#REF!</v>
      </c>
      <c r="G73" s="7"/>
      <c r="H73" s="30" t="s">
        <v>6795</v>
      </c>
      <c r="I73" s="13" t="e">
        <f>IF(ISBLANK(input_wld_az1_host_overlay_mtu),"Value Missing",input_wld_az1_host_overlay_mtu)</f>
        <v>#REF!</v>
      </c>
      <c r="J73" s="7"/>
      <c r="K73" s="30" t="s">
        <v>6795</v>
      </c>
      <c r="L73" s="13" t="e">
        <f>IF(ISBLANK(input_wld_az1_rack2_host_overlay_mtu),"Value Missing",input_wld_az1_rack2_host_overlay_mtu)</f>
        <v>#REF!</v>
      </c>
      <c r="M73" s="7"/>
      <c r="N73" s="30" t="s">
        <v>6795</v>
      </c>
      <c r="O73" s="13" t="e">
        <f>IF(ISBLANK(input_wld_az1_rack3_host_overlay_mtu),"Value Missing",input_wld_az1_rack3_host_overlay_mtu)</f>
        <v>#REF!</v>
      </c>
      <c r="P73" s="7"/>
      <c r="Q73" s="30" t="s">
        <v>6795</v>
      </c>
      <c r="R73" s="13" t="e">
        <f>IF(ISBLANK(input_wld_az1_rack4_host_overlay_mtu),"Value Missing",input_wld_az1_rack4_host_overlay_mtu)</f>
        <v>#REF!</v>
      </c>
      <c r="S73" s="7"/>
      <c r="T73" s="30" t="s">
        <v>6795</v>
      </c>
      <c r="U73" s="13" t="e">
        <f>IF(ISBLANK(input_wld_az1_rack5_host_overlay_mtu),"Value Missing",input_wld_az1_rack5_host_overlay_mtu)</f>
        <v>#REF!</v>
      </c>
      <c r="V73" s="7"/>
      <c r="W73" s="30" t="s">
        <v>6795</v>
      </c>
      <c r="X73" s="13" t="e">
        <f>IF(ISBLANK(input_wld_az1_rack6_host_overlay_mtu),"Value Missing",input_wld_az1_rack6_host_overlay_mtu)</f>
        <v>#REF!</v>
      </c>
      <c r="Y73" s="7"/>
      <c r="Z73" s="30" t="s">
        <v>6795</v>
      </c>
      <c r="AA73" s="13" t="e">
        <f>IF(ISBLANK(input_wld_az1_rack7_host_overlay_mtu),"Value Missing",input_wld_az1_rack7_host_overlay_mtu)</f>
        <v>#REF!</v>
      </c>
      <c r="AB73" s="7"/>
      <c r="AC73" s="30" t="s">
        <v>6795</v>
      </c>
      <c r="AD73" s="13" t="e">
        <f>IF(ISBLANK(input_wld_az1_rack8_host_overlay_mtu),"Value Missing",input_wld_az1_rack8_host_overlay_mtu)</f>
        <v>#REF!</v>
      </c>
      <c r="AE73" s="7"/>
      <c r="AF73" s="7"/>
      <c r="AG73" s="27"/>
      <c r="AH73" s="27"/>
      <c r="AI73" s="7"/>
      <c r="AJ73" s="7"/>
      <c r="AK73" s="7"/>
    </row>
    <row r="74" spans="1:37" ht="19.5" customHeight="1">
      <c r="A74" s="7"/>
      <c r="B74" s="7"/>
      <c r="C74" s="7"/>
      <c r="D74" s="7"/>
      <c r="E74" s="57" t="s">
        <v>6797</v>
      </c>
      <c r="F74" s="13" t="e">
        <f>IF(ISBLANK(input_mgmt_az1_secondary_storage_mtu),"Value Missing",input_mgmt_az1_secondary_storage_mtu)</f>
        <v>#REF!</v>
      </c>
      <c r="G74" s="7"/>
      <c r="H74" s="30" t="s">
        <v>6797</v>
      </c>
      <c r="I74" s="13" t="e">
        <f>IF(ISBLANK(input_wld_az1_secondary_storage_mtu),"Value Missing",input_wld_az1_secondary_storage_mtu)</f>
        <v>#REF!</v>
      </c>
      <c r="J74" s="7"/>
      <c r="K74" s="30" t="s">
        <v>6797</v>
      </c>
      <c r="L74" s="13" t="str">
        <f>IF(ISBLANK(input_wld_az1_rack2_secondary_storage_mtu),"Value Missing",input_wld_az1_rack2_secondary_storage_mtu)</f>
        <v>Value Missing</v>
      </c>
      <c r="M74" s="7"/>
      <c r="N74" s="30" t="s">
        <v>6797</v>
      </c>
      <c r="O74" s="13" t="str">
        <f>IF(ISBLANK(input_wld_az1_rack3_secondary_storage_mtu),"Value Missing",input_wld_az1_rack3_secondary_storage_mtu)</f>
        <v>Value Missing</v>
      </c>
      <c r="P74" s="7"/>
      <c r="Q74" s="30" t="s">
        <v>6797</v>
      </c>
      <c r="R74" s="13" t="str">
        <f>IF(ISBLANK(input_wld_az1_rack4_secondary_storage_mtu),"Value Missing",input_wld_az1_rack4_secondary_storage_mtu)</f>
        <v>Value Missing</v>
      </c>
      <c r="S74" s="7"/>
      <c r="T74" s="30" t="s">
        <v>6797</v>
      </c>
      <c r="U74" s="13" t="str">
        <f>IF(ISBLANK(input_wld_az1_rack5_secondary_storage_mtu),"Value Missing",input_wld_az1_rack5_secondary_storage_mtu)</f>
        <v>Value Missing</v>
      </c>
      <c r="V74" s="7"/>
      <c r="W74" s="30" t="s">
        <v>6797</v>
      </c>
      <c r="X74" s="13" t="str">
        <f>IF(ISBLANK(input_wld_az1_rack6_secondary_storage_mtu),"Value Missing",input_wld_az1_rack6_secondary_storage_mtu)</f>
        <v>Value Missing</v>
      </c>
      <c r="Y74" s="7"/>
      <c r="Z74" s="30" t="s">
        <v>6797</v>
      </c>
      <c r="AA74" s="13" t="str">
        <f>IF(ISBLANK(input_wld_az1_rack7_secondary_storage_mtu),"Value Missing",input_wld_az1_rack7_secondary_storage_mtu)</f>
        <v>Value Missing</v>
      </c>
      <c r="AB74" s="7"/>
      <c r="AC74" s="30" t="s">
        <v>6797</v>
      </c>
      <c r="AD74" s="13" t="str">
        <f>IF(ISBLANK(input_wld_az1_rack8_secondary_storage_mtu),"Value Missing",input_wld_az1_rack8_secondary_storage_mtu)</f>
        <v>Value Missing</v>
      </c>
      <c r="AE74" s="7"/>
      <c r="AF74" s="7"/>
      <c r="AG74" s="27"/>
      <c r="AH74" s="27"/>
      <c r="AI74" s="7"/>
      <c r="AJ74" s="7"/>
      <c r="AK74" s="7"/>
    </row>
    <row r="75" spans="1:37" ht="19.5" customHeight="1">
      <c r="A75" s="7"/>
      <c r="B75" s="7"/>
      <c r="C75" s="7"/>
      <c r="D75" s="7"/>
      <c r="E75" s="57" t="s">
        <v>6831</v>
      </c>
      <c r="F75" s="13" t="e">
        <f>IF(ISBLANK(input_mgmt_az1_vcf_mgmt_mtu),"Value Missing",input_mgmt_az1_vcf_mgmt_mtu)</f>
        <v>#REF!</v>
      </c>
      <c r="G75" s="7"/>
      <c r="H75" s="30" t="s">
        <v>6800</v>
      </c>
      <c r="I75" s="13" t="e">
        <f>IF(ISBLANK(input_wld_az1_storage_cluster_mtu),"Value Missing",input_wld_az1_storage_cluster_mtu)</f>
        <v>#REF!</v>
      </c>
      <c r="J75" s="7"/>
      <c r="K75" s="30"/>
      <c r="L75" s="13"/>
      <c r="M75" s="7"/>
      <c r="N75" s="30"/>
      <c r="O75" s="13"/>
      <c r="P75" s="7"/>
      <c r="Q75" s="30"/>
      <c r="R75" s="13"/>
      <c r="S75" s="7"/>
      <c r="T75" s="30"/>
      <c r="U75" s="13"/>
      <c r="V75" s="7"/>
      <c r="W75" s="30"/>
      <c r="X75" s="13"/>
      <c r="Y75" s="7"/>
      <c r="Z75" s="30"/>
      <c r="AA75" s="13"/>
      <c r="AB75" s="7"/>
      <c r="AC75" s="30"/>
      <c r="AD75" s="13"/>
      <c r="AE75" s="7"/>
      <c r="AF75" s="7"/>
      <c r="AG75" s="27"/>
      <c r="AH75" s="27"/>
      <c r="AI75" s="7"/>
      <c r="AJ75" s="7"/>
      <c r="AK75" s="7"/>
    </row>
    <row r="76" spans="1:37" ht="19.5" customHeight="1">
      <c r="A76" s="7"/>
      <c r="B76" s="7"/>
      <c r="C76" s="7"/>
      <c r="D76" s="7"/>
      <c r="E76" s="30" t="s">
        <v>6802</v>
      </c>
      <c r="F76" s="13" t="e">
        <f>IF(ISBLANK(input_mgmt_az1_uplink01_mtu),"Value Missing",input_mgmt_az1_uplink01_mtu)</f>
        <v>#REF!</v>
      </c>
      <c r="G76" s="7"/>
      <c r="H76" s="30" t="s">
        <v>6802</v>
      </c>
      <c r="I76" s="13" t="e">
        <f>IF(ISBLANK(input_wld_az1_uplink01_mtu),"Value Missing",input_wld_az1_uplink01_mtu)</f>
        <v>#REF!</v>
      </c>
      <c r="J76" s="7"/>
      <c r="K76" s="30" t="s">
        <v>6802</v>
      </c>
      <c r="L76" s="13" t="str">
        <f>IF(ISBLANK(input_wld_az1_rack2_uplink01_mtu),"Value Missing",input_wld_az1_rack2_uplink01_mtu)</f>
        <v>Value Missing</v>
      </c>
      <c r="M76" s="7"/>
      <c r="N76" s="30" t="s">
        <v>6802</v>
      </c>
      <c r="O76" s="13" t="str">
        <f>IF(ISBLANK(input_wld_az1_rack3_uplink01_mtu),"Value Missing",input_wld_az1_rack3_uplink01_mtu)</f>
        <v>Value Missing</v>
      </c>
      <c r="P76" s="7"/>
      <c r="Q76" s="30" t="s">
        <v>6802</v>
      </c>
      <c r="R76" s="13" t="str">
        <f>IF(ISBLANK(input_wld_az1_rack4_uplink01_mtu),"Value Missing",input_wld_az1_rack4_uplink01_mtu)</f>
        <v>Value Missing</v>
      </c>
      <c r="S76" s="7"/>
      <c r="T76" s="30" t="s">
        <v>6802</v>
      </c>
      <c r="U76" s="13" t="str">
        <f>IF(ISBLANK(input_wld_az1_rack5_uplink01_mtu),"Value Missing",input_wld_az1_rack5_uplink01_mtu)</f>
        <v>Value Missing</v>
      </c>
      <c r="V76" s="7"/>
      <c r="W76" s="30" t="s">
        <v>6802</v>
      </c>
      <c r="X76" s="13" t="str">
        <f>IF(ISBLANK(input_wld_az1_rack6_uplink01_mtu),"Value Missing",input_wld_az1_rack6_uplink01_mtu)</f>
        <v>Value Missing</v>
      </c>
      <c r="Y76" s="7"/>
      <c r="Z76" s="30" t="s">
        <v>6802</v>
      </c>
      <c r="AA76" s="13" t="str">
        <f>IF(ISBLANK(input_wld_az1_rack7_uplink01_mtu),"Value Missing",input_wld_az1_rack7_uplink01_mtu)</f>
        <v>Value Missing</v>
      </c>
      <c r="AB76" s="7"/>
      <c r="AC76" s="30" t="s">
        <v>6802</v>
      </c>
      <c r="AD76" s="13" t="str">
        <f>IF(ISBLANK(input_wld_az1_rack8_uplink01_mtu),"Value Missing",input_wld_az1_rack8_uplink01_mtu)</f>
        <v>Value Missing</v>
      </c>
      <c r="AE76" s="7"/>
      <c r="AF76" s="7"/>
      <c r="AG76" s="27"/>
      <c r="AH76" s="27"/>
      <c r="AI76" s="7"/>
      <c r="AJ76" s="7"/>
      <c r="AK76" s="7"/>
    </row>
    <row r="77" spans="1:37" ht="19.5" customHeight="1">
      <c r="A77" s="7"/>
      <c r="B77" s="7"/>
      <c r="C77" s="7"/>
      <c r="D77" s="7"/>
      <c r="E77" s="30" t="s">
        <v>6804</v>
      </c>
      <c r="F77" s="13" t="e">
        <f>IF(ISBLANK(input_mgmt_az1_uplink02_mtu),"Value Missing",input_mgmt_az1_uplink02_mtu)</f>
        <v>#REF!</v>
      </c>
      <c r="G77" s="7"/>
      <c r="H77" s="30" t="s">
        <v>6804</v>
      </c>
      <c r="I77" s="13" t="e">
        <f>IF(ISBLANK(input_wld_az1_uplink02_mtu),"Value Missing",input_wld_az1_uplink02_mtu)</f>
        <v>#REF!</v>
      </c>
      <c r="J77" s="7"/>
      <c r="K77" s="30" t="s">
        <v>6804</v>
      </c>
      <c r="L77" s="13" t="str">
        <f>IF(ISBLANK(input_wld_az1_rack2_uplink02_mtu),"Value Missing",input_wld_az1_rack2_uplink02_mtu)</f>
        <v>Value Missing</v>
      </c>
      <c r="M77" s="7"/>
      <c r="N77" s="30" t="s">
        <v>6804</v>
      </c>
      <c r="O77" s="13" t="str">
        <f>IF(ISBLANK(input_wld_az1_rack3_uplink02_mtu),"Value Missing",input_wld_az1_rack3_uplink02_mtu)</f>
        <v>Value Missing</v>
      </c>
      <c r="P77" s="7"/>
      <c r="Q77" s="30" t="s">
        <v>6804</v>
      </c>
      <c r="R77" s="13" t="str">
        <f>IF(ISBLANK(input_wld_az1_rack4_uplink02_mtu),"Value Missing",input_wld_az1_rack4_uplink02_mtu)</f>
        <v>Value Missing</v>
      </c>
      <c r="S77" s="7"/>
      <c r="T77" s="30" t="s">
        <v>6804</v>
      </c>
      <c r="U77" s="13" t="str">
        <f>IF(ISBLANK(input_wld_az1_rack5_uplink02_mtu),"Value Missing",input_wld_az1_rack5_uplink02_mtu)</f>
        <v>Value Missing</v>
      </c>
      <c r="V77" s="7"/>
      <c r="W77" s="30" t="s">
        <v>6804</v>
      </c>
      <c r="X77" s="13" t="str">
        <f>IF(ISBLANK(input_wld_az1_rack6_uplink02_mtu),"Value Missing",input_wld_az1_rack6_uplink02_mtu)</f>
        <v>Value Missing</v>
      </c>
      <c r="Y77" s="7"/>
      <c r="Z77" s="30" t="s">
        <v>6804</v>
      </c>
      <c r="AA77" s="13" t="str">
        <f>IF(ISBLANK(input_wld_az1_rack7_uplink02_mtu),"Value Missing",input_wld_az1_rack7_uplink02_mtu)</f>
        <v>Value Missing</v>
      </c>
      <c r="AB77" s="7"/>
      <c r="AC77" s="30" t="s">
        <v>6804</v>
      </c>
      <c r="AD77" s="13" t="str">
        <f>IF(ISBLANK(input_wld_az1_rack8_uplink02_mtu),"Value Missing",input_wld_az1_rack8_uplink02_mtu)</f>
        <v>Value Missing</v>
      </c>
      <c r="AE77" s="7"/>
      <c r="AF77" s="7"/>
      <c r="AG77" s="27"/>
      <c r="AH77" s="27"/>
      <c r="AI77" s="7"/>
      <c r="AJ77" s="7"/>
      <c r="AK77" s="7"/>
    </row>
    <row r="78" spans="1:37" ht="19.5" customHeight="1">
      <c r="A78" s="7"/>
      <c r="B78" s="7"/>
      <c r="C78" s="7"/>
      <c r="D78" s="7"/>
      <c r="E78" s="30" t="s">
        <v>6806</v>
      </c>
      <c r="F78" s="13" t="e">
        <f>IF(ISBLANK(input_mgmt_az1_edge_overlay_mtu),"Value Missing",input_mgmt_az1_edge_overlay_mtu)</f>
        <v>#REF!</v>
      </c>
      <c r="G78" s="7"/>
      <c r="H78" s="30" t="s">
        <v>6806</v>
      </c>
      <c r="I78" s="13" t="s">
        <v>6450</v>
      </c>
      <c r="J78" s="7"/>
      <c r="K78" s="30" t="s">
        <v>6806</v>
      </c>
      <c r="L78" s="13" t="str">
        <f>IF(ISBLANK(input_wld_az1_rack2_edge_overlay_mtu),"Value Missing",input_wld_az1_rack2_edge_overlay_mtu)</f>
        <v>Value Missing</v>
      </c>
      <c r="M78" s="7"/>
      <c r="N78" s="30" t="s">
        <v>6806</v>
      </c>
      <c r="O78" s="13" t="str">
        <f>IF(ISBLANK(input_wld_az1_rack3_edge_overlay_mtu),"Value Missing",input_wld_az1_rack3_edge_overlay_mtu)</f>
        <v>Value Missing</v>
      </c>
      <c r="P78" s="7"/>
      <c r="Q78" s="30" t="s">
        <v>6806</v>
      </c>
      <c r="R78" s="70" t="str">
        <f>IF(ISBLANK(input_wld_az1_rack4_edge_overlay_mtu),"Value Missing",input_wld_az1_rack4_edge_overlay_mtu)</f>
        <v>Value Missing</v>
      </c>
      <c r="S78" s="7"/>
      <c r="T78" s="30" t="s">
        <v>6806</v>
      </c>
      <c r="U78" s="13" t="str">
        <f>IF(ISBLANK(input_wld_az1_rack5_edge_overlay_mtu),"Value Missing",input_wld_az1_rack5_edge_overlay_mtu)</f>
        <v>Value Missing</v>
      </c>
      <c r="V78" s="7"/>
      <c r="W78" s="30" t="s">
        <v>6806</v>
      </c>
      <c r="X78" s="13" t="str">
        <f>IF(ISBLANK(input_wld_az1_rack6_edge_overlay_mtu),"Value Missing",input_wld_az1_rack6_edge_overlay_mtu)</f>
        <v>Value Missing</v>
      </c>
      <c r="Y78" s="7"/>
      <c r="Z78" s="30" t="s">
        <v>6806</v>
      </c>
      <c r="AA78" s="13" t="str">
        <f>IF(ISBLANK(input_wld_az1_rack7_edge_overlay_mtu),"Value Missing",input_wld_az1_rack7_edge_overlay_mtu)</f>
        <v>Value Missing</v>
      </c>
      <c r="AB78" s="7"/>
      <c r="AC78" s="30" t="s">
        <v>6806</v>
      </c>
      <c r="AD78" s="13" t="str">
        <f>IF(ISBLANK(input_wld_az1_rack8_edge_overlay_mtu),"Value Missing",input_wld_az1_rack8_edge_overlay_mtu)</f>
        <v>Value Missing</v>
      </c>
      <c r="AE78" s="7"/>
      <c r="AF78" s="7"/>
      <c r="AG78" s="27"/>
      <c r="AH78" s="27"/>
      <c r="AI78" s="7"/>
      <c r="AJ78" s="7"/>
      <c r="AK78" s="7"/>
    </row>
    <row r="79" spans="1:37" ht="19.5" customHeight="1">
      <c r="A79" s="7"/>
      <c r="B79" s="7"/>
      <c r="C79" s="7"/>
      <c r="D79" s="7"/>
      <c r="E79" s="30" t="s">
        <v>6809</v>
      </c>
      <c r="F79" s="13"/>
      <c r="G79" s="7"/>
      <c r="H79" s="30" t="s">
        <v>6809</v>
      </c>
      <c r="I79" s="13"/>
      <c r="J79" s="7"/>
      <c r="K79" s="30" t="s">
        <v>6809</v>
      </c>
      <c r="L79" s="13"/>
      <c r="M79" s="7"/>
      <c r="N79" s="30" t="s">
        <v>6809</v>
      </c>
      <c r="O79" s="13"/>
      <c r="P79" s="7"/>
      <c r="Q79" s="30" t="s">
        <v>6809</v>
      </c>
      <c r="R79" s="13"/>
      <c r="S79" s="7"/>
      <c r="T79" s="30" t="s">
        <v>6809</v>
      </c>
      <c r="U79" s="13"/>
      <c r="V79" s="7"/>
      <c r="W79" s="30" t="s">
        <v>6809</v>
      </c>
      <c r="X79" s="13"/>
      <c r="Y79" s="7"/>
      <c r="Z79" s="30" t="s">
        <v>6809</v>
      </c>
      <c r="AA79" s="13"/>
      <c r="AB79" s="7"/>
      <c r="AC79" s="30" t="s">
        <v>6809</v>
      </c>
      <c r="AD79" s="13"/>
      <c r="AE79" s="7"/>
      <c r="AF79" s="7"/>
      <c r="AG79" s="27"/>
      <c r="AH79" s="27"/>
      <c r="AI79" s="7"/>
      <c r="AJ79" s="7"/>
      <c r="AK79" s="7"/>
    </row>
    <row r="80" spans="1:37" ht="19.5" customHeight="1">
      <c r="A80" s="7"/>
      <c r="B80" s="7"/>
      <c r="C80" s="7"/>
      <c r="D80" s="7"/>
      <c r="E80" s="30" t="s">
        <v>6811</v>
      </c>
      <c r="F80" s="13" t="str">
        <f>IF(ISBLANK(input_mgmt_az1_vrms_mtu),"Value Missing",input_mgmt_az1_vrms_mtu)</f>
        <v>Value Missing</v>
      </c>
      <c r="G80" s="7"/>
      <c r="H80" s="30" t="s">
        <v>6811</v>
      </c>
      <c r="I80" s="13" t="str">
        <f>IF(ISBLANK(input_wld_az1_vrms_mtu),"Value Missing",input_wld_az1_vrms_mtu)</f>
        <v>Value Missing</v>
      </c>
      <c r="J80" s="7"/>
      <c r="K80" s="30" t="s">
        <v>6811</v>
      </c>
      <c r="L80" s="13"/>
      <c r="M80" s="7"/>
      <c r="N80" s="30" t="s">
        <v>6811</v>
      </c>
      <c r="O80" s="13"/>
      <c r="P80" s="7"/>
      <c r="Q80" s="30" t="s">
        <v>6811</v>
      </c>
      <c r="R80" s="13"/>
      <c r="S80" s="7"/>
      <c r="T80" s="30" t="s">
        <v>6811</v>
      </c>
      <c r="U80" s="13"/>
      <c r="V80" s="7"/>
      <c r="W80" s="30" t="s">
        <v>6811</v>
      </c>
      <c r="X80" s="13"/>
      <c r="Y80" s="7"/>
      <c r="Z80" s="30" t="s">
        <v>6811</v>
      </c>
      <c r="AA80" s="13"/>
      <c r="AB80" s="7"/>
      <c r="AC80" s="30" t="s">
        <v>6811</v>
      </c>
      <c r="AD80" s="13"/>
      <c r="AE80" s="7"/>
      <c r="AF80" s="7"/>
      <c r="AG80" s="27"/>
      <c r="AH80" s="27"/>
      <c r="AI80" s="7"/>
      <c r="AJ80" s="7"/>
      <c r="AK80" s="7"/>
    </row>
    <row r="81" spans="1:37" ht="19.5" customHeight="1">
      <c r="A81" s="7"/>
      <c r="B81" s="27"/>
      <c r="C81" s="2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27"/>
      <c r="AH81" s="27"/>
      <c r="AI81" s="27"/>
      <c r="AJ81" s="27"/>
      <c r="AK81" s="7"/>
    </row>
    <row r="82" spans="1:37" ht="19.5" customHeight="1">
      <c r="A82" s="7"/>
      <c r="B82" s="27"/>
      <c r="C82" s="2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27"/>
      <c r="AH82" s="27"/>
      <c r="AI82" s="27"/>
      <c r="AJ82" s="27"/>
      <c r="AK82" s="7"/>
    </row>
    <row r="83" spans="1:37" ht="19.5" customHeight="1">
      <c r="A83" s="7"/>
      <c r="B83" s="60"/>
      <c r="C83" s="7"/>
      <c r="D83" s="7"/>
      <c r="E83" s="47" t="s">
        <v>6878</v>
      </c>
      <c r="F83" s="48"/>
      <c r="G83" s="7"/>
      <c r="H83" s="47" t="s">
        <v>6879</v>
      </c>
      <c r="I83" s="48"/>
      <c r="J83" s="7"/>
      <c r="K83" s="47" t="s">
        <v>6880</v>
      </c>
      <c r="L83" s="48"/>
      <c r="M83" s="7"/>
      <c r="N83" s="47" t="s">
        <v>6881</v>
      </c>
      <c r="O83" s="48"/>
      <c r="P83" s="7"/>
      <c r="Q83" s="49" t="s">
        <v>6882</v>
      </c>
      <c r="R83" s="50"/>
      <c r="S83" s="7"/>
      <c r="T83" s="49" t="s">
        <v>6883</v>
      </c>
      <c r="U83" s="50"/>
      <c r="V83" s="7"/>
      <c r="W83" s="49" t="s">
        <v>6884</v>
      </c>
      <c r="X83" s="50"/>
      <c r="Y83" s="7"/>
      <c r="Z83" s="49" t="s">
        <v>6885</v>
      </c>
      <c r="AA83" s="50"/>
      <c r="AB83" s="7"/>
      <c r="AC83" s="49" t="s">
        <v>6886</v>
      </c>
      <c r="AD83" s="50"/>
      <c r="AE83" s="7"/>
      <c r="AF83" s="7"/>
      <c r="AG83" s="27"/>
      <c r="AH83" s="27"/>
      <c r="AI83" s="27"/>
      <c r="AJ83" s="27"/>
      <c r="AK83" s="7"/>
    </row>
    <row r="84" spans="1:37" ht="19.5" customHeight="1">
      <c r="A84" s="7"/>
      <c r="B84" s="60"/>
      <c r="C84" s="71"/>
      <c r="D84" s="7"/>
      <c r="E84" s="52" t="s">
        <v>6780</v>
      </c>
      <c r="F84" s="52" t="s">
        <v>6781</v>
      </c>
      <c r="G84" s="7"/>
      <c r="H84" s="52" t="s">
        <v>6780</v>
      </c>
      <c r="I84" s="52" t="s">
        <v>6781</v>
      </c>
      <c r="J84" s="7"/>
      <c r="K84" s="52" t="s">
        <v>6780</v>
      </c>
      <c r="L84" s="52" t="s">
        <v>6781</v>
      </c>
      <c r="M84" s="7"/>
      <c r="N84" s="52" t="s">
        <v>6780</v>
      </c>
      <c r="O84" s="52" t="s">
        <v>6781</v>
      </c>
      <c r="P84" s="7"/>
      <c r="Q84" s="52" t="s">
        <v>6780</v>
      </c>
      <c r="R84" s="52" t="s">
        <v>6781</v>
      </c>
      <c r="S84" s="53"/>
      <c r="T84" s="52" t="s">
        <v>6780</v>
      </c>
      <c r="U84" s="52" t="s">
        <v>6781</v>
      </c>
      <c r="V84" s="53"/>
      <c r="W84" s="52" t="s">
        <v>6780</v>
      </c>
      <c r="X84" s="52" t="s">
        <v>6781</v>
      </c>
      <c r="Y84" s="53"/>
      <c r="Z84" s="52" t="s">
        <v>6780</v>
      </c>
      <c r="AA84" s="52" t="s">
        <v>6781</v>
      </c>
      <c r="AB84" s="53"/>
      <c r="AC84" s="52" t="s">
        <v>6780</v>
      </c>
      <c r="AD84" s="52" t="s">
        <v>6781</v>
      </c>
      <c r="AE84" s="7"/>
      <c r="AF84" s="7"/>
      <c r="AG84" s="27"/>
      <c r="AH84" s="27"/>
      <c r="AI84" s="27"/>
      <c r="AJ84" s="27"/>
      <c r="AK84" s="7"/>
    </row>
    <row r="85" spans="1:37" ht="19.5" customHeight="1">
      <c r="A85" s="7"/>
      <c r="B85" s="60"/>
      <c r="C85" s="7"/>
      <c r="D85" s="7"/>
      <c r="E85" s="30" t="s">
        <v>6784</v>
      </c>
      <c r="F85" s="13" t="e">
        <f>IF(mgmt_az1_mgmt_vm_gateway_cidr="Value Missing","Value Missing",LEFT(mgmt_az1_mgmt_vm_gateway_cidr,FIND("/",mgmt_az1_mgmt_vm_gateway_cidr)-1))</f>
        <v>#REF!</v>
      </c>
      <c r="G85" s="7"/>
      <c r="H85" s="30" t="s">
        <v>6784</v>
      </c>
      <c r="I85" s="13" t="e">
        <f>IF(wld_az1_mgmt_vm_gateway_cidr="Value Missing","Value Missing",LEFT(wld_az1_mgmt_vm_gateway_cidr,FIND("/",wld_az1_mgmt_vm_gateway_cidr)-1))</f>
        <v>#REF!</v>
      </c>
      <c r="J85" s="7"/>
      <c r="K85" s="30" t="s">
        <v>6784</v>
      </c>
      <c r="L85" s="13" t="str">
        <f>IF(ISBLANK(input_wld_az1_rack2_mgmt_vm_gateway_ip),"Value Missing",input_wld_az1_rack2_mgmt_vm_gateway_ip)</f>
        <v>Value Missing</v>
      </c>
      <c r="M85" s="7"/>
      <c r="N85" s="30" t="s">
        <v>6784</v>
      </c>
      <c r="O85" s="13" t="str">
        <f>IF(ISBLANK(input_wld_az1_rack3_mgmt_vm_gateway_ip),"Value Missing",input_wld_az1_rack3_mgmt_vm_gateway_ip)</f>
        <v>Value Missing</v>
      </c>
      <c r="P85" s="7"/>
      <c r="Q85" s="30" t="s">
        <v>6784</v>
      </c>
      <c r="R85" s="13" t="str">
        <f>IF(ISBLANK(input_wld_az1_rack4_mgmt_vm_gateway_ip),"Value Missing",input_wld_az1_rack4_mgmt_vm_gateway_ip)</f>
        <v>Value Missing</v>
      </c>
      <c r="S85" s="7"/>
      <c r="T85" s="30" t="s">
        <v>6784</v>
      </c>
      <c r="U85" s="13" t="str">
        <f>IF(ISBLANK(input_wld_az1_rack5_mgmt_vm_gateway_ip),"Value Missing",input_wld_az1_rack5_mgmt_vm_gateway_ip)</f>
        <v>Value Missing</v>
      </c>
      <c r="V85" s="7"/>
      <c r="W85" s="30" t="s">
        <v>6784</v>
      </c>
      <c r="X85" s="13" t="str">
        <f>IF(ISBLANK(input_wld_az1_rack6_mgmt_vm_gateway_ip),"Value Missing",input_wld_az1_rack6_mgmt_vm_gateway_ip)</f>
        <v>Value Missing</v>
      </c>
      <c r="Y85" s="7"/>
      <c r="Z85" s="30" t="s">
        <v>6784</v>
      </c>
      <c r="AA85" s="13" t="str">
        <f>IF(ISBLANK(input_wld_az1_rack7_mgmt_vm_gateway_ip),"Value Missing",input_wld_az1_rack7_mgmt_vm_gateway_ip)</f>
        <v>Value Missing</v>
      </c>
      <c r="AB85" s="7"/>
      <c r="AC85" s="30" t="s">
        <v>6784</v>
      </c>
      <c r="AD85" s="13" t="str">
        <f>IF(ISBLANK(input_wld_az1_rack8_mgmt_vm_gateway_ip),"Value Missing",input_wld_az1_rack8_mgmt_vm_gateway_ip)</f>
        <v>Value Missing</v>
      </c>
      <c r="AE85" s="7"/>
      <c r="AF85" s="7"/>
      <c r="AG85" s="27"/>
      <c r="AH85" s="27"/>
      <c r="AI85" s="27"/>
      <c r="AJ85" s="27"/>
      <c r="AK85" s="7"/>
    </row>
    <row r="86" spans="1:37" ht="19.5" customHeight="1">
      <c r="A86" s="7"/>
      <c r="B86" s="72"/>
      <c r="C86" s="7"/>
      <c r="D86" s="7"/>
      <c r="E86" s="30" t="s">
        <v>6787</v>
      </c>
      <c r="F86" s="13" t="e">
        <f>IF(mgmt_az1_mgmt_gateway_cidr="Value Missing","Value Missing",LEFT(mgmt_az1_mgmt_gateway_cidr,FIND("/",mgmt_az1_mgmt_gateway_cidr)-1))</f>
        <v>#REF!</v>
      </c>
      <c r="G86" s="7"/>
      <c r="H86" s="30" t="s">
        <v>6787</v>
      </c>
      <c r="I86" s="13" t="e">
        <f t="array" ref="I86">IF(wld_az1_mgmt_gateway_cidr="Value Missing","Value Missing",LEFT(wld_az1_mgmt_gateway_cidr,FIND("/",wld_az1_mgmt_gateway_cidr)-1))</f>
        <v>#REF!</v>
      </c>
      <c r="J86" s="7"/>
      <c r="K86" s="30" t="s">
        <v>6787</v>
      </c>
      <c r="L86" s="13" t="e">
        <f>IF(ISBLANK(input_wld_az1_rack2_mgmt_gateway_ip),"Value Missing",input_wld_az1_rack2_mgmt_gateway_ip)</f>
        <v>#REF!</v>
      </c>
      <c r="M86" s="7"/>
      <c r="N86" s="30" t="s">
        <v>6787</v>
      </c>
      <c r="O86" s="13" t="e">
        <f>IF(ISBLANK(input_wld_az1_rack3_mgmt_gateway_ip),"Value Missing",input_wld_az1_rack3_mgmt_gateway_ip)</f>
        <v>#REF!</v>
      </c>
      <c r="P86" s="7"/>
      <c r="Q86" s="30" t="s">
        <v>6787</v>
      </c>
      <c r="R86" s="13" t="e">
        <f>IF(ISBLANK(input_wld_az1_rack4_mgmt_gateway_ip),"Value Missing",input_wld_az1_rack4_mgmt_gateway_ip)</f>
        <v>#REF!</v>
      </c>
      <c r="S86" s="7"/>
      <c r="T86" s="30" t="s">
        <v>6787</v>
      </c>
      <c r="U86" s="13" t="e">
        <f>IF(ISBLANK(input_wld_az1_rack5_mgmt_gateway_ip),"Value Missing",input_wld_az1_rack5_mgmt_gateway_ip)</f>
        <v>#REF!</v>
      </c>
      <c r="V86" s="7"/>
      <c r="W86" s="30" t="s">
        <v>6787</v>
      </c>
      <c r="X86" s="13" t="e">
        <f>IF(ISBLANK(input_wld_az1_rack6_mgmt_gateway_ip),"Value Missing",input_wld_az1_rack6_mgmt_gateway_ip)</f>
        <v>#REF!</v>
      </c>
      <c r="Y86" s="7"/>
      <c r="Z86" s="30" t="s">
        <v>6787</v>
      </c>
      <c r="AA86" s="13" t="e">
        <f>IF(ISBLANK(input_wld_az1_rack7_mgmt_gateway_ip),"Value Missing",input_wld_az1_rack7_mgmt_gateway_ip)</f>
        <v>#REF!</v>
      </c>
      <c r="AB86" s="7"/>
      <c r="AC86" s="30" t="s">
        <v>6787</v>
      </c>
      <c r="AD86" s="13" t="e">
        <f>IF(ISBLANK(input_wld_az1_rack8_mgmt_gateway_ip),"Value Missing",input_wld_az1_rack8_mgmt_gateway_ip)</f>
        <v>#REF!</v>
      </c>
      <c r="AE86" s="7"/>
      <c r="AF86" s="7"/>
      <c r="AG86" s="27"/>
      <c r="AH86" s="27"/>
      <c r="AI86" s="27"/>
      <c r="AJ86" s="27"/>
      <c r="AK86" s="7"/>
    </row>
    <row r="87" spans="1:37" ht="19.5" customHeight="1">
      <c r="A87" s="7"/>
      <c r="B87" s="72"/>
      <c r="C87" s="7"/>
      <c r="D87" s="7"/>
      <c r="E87" s="30" t="s">
        <v>6790</v>
      </c>
      <c r="F87" s="13" t="e">
        <f>IF(mgmt_az1_vmotion_gateway_cidr="Value Missing","Value Missing",LEFT(mgmt_az1_vmotion_gateway_cidr,FIND("/",mgmt_az1_vmotion_gateway_cidr)-1))</f>
        <v>#REF!</v>
      </c>
      <c r="G87" s="7"/>
      <c r="H87" s="30" t="s">
        <v>6790</v>
      </c>
      <c r="I87" s="13" t="e">
        <f t="array" ref="I87">IF(wld_az1_vmotion_gateway_cidr="Value Missing","Value Missing",LEFT(wld_az1_vmotion_gateway_cidr,FIND("/",wld_az1_vmotion_gateway_cidr)-1))</f>
        <v>#REF!</v>
      </c>
      <c r="J87" s="7"/>
      <c r="K87" s="30" t="s">
        <v>6790</v>
      </c>
      <c r="L87" s="13" t="e">
        <f>IF(ISBLANK(input_wld_az1_rack2_vmotion_gateway_ip),"Value Missing",input_wld_az1_rack2_vmotion_gateway_ip)</f>
        <v>#REF!</v>
      </c>
      <c r="M87" s="7"/>
      <c r="N87" s="30" t="s">
        <v>6790</v>
      </c>
      <c r="O87" s="13" t="e">
        <f>IF(ISBLANK(input_wld_az1_rack3_vmotion_gateway_ip),"Value Missing",input_wld_az1_rack3_vmotion_gateway_ip)</f>
        <v>#REF!</v>
      </c>
      <c r="P87" s="7"/>
      <c r="Q87" s="30" t="s">
        <v>6790</v>
      </c>
      <c r="R87" s="13" t="e">
        <f>IF(ISBLANK(input_wld_az1_rack4_vmotion_gateway_ip),"Value Missing",input_wld_az1_rack4_vmotion_gateway_ip)</f>
        <v>#REF!</v>
      </c>
      <c r="S87" s="7"/>
      <c r="T87" s="30" t="s">
        <v>6790</v>
      </c>
      <c r="U87" s="13" t="e">
        <f>IF(ISBLANK(input_wld_az1_rack5_vmotion_gateway_ip),"Value Missing",input_wld_az1_rack5_vmotion_gateway_ip)</f>
        <v>#REF!</v>
      </c>
      <c r="V87" s="7"/>
      <c r="W87" s="30" t="s">
        <v>6790</v>
      </c>
      <c r="X87" s="13" t="e">
        <f>IF(ISBLANK(input_wld_az1_rack6_vmotion_gateway_ip),"Value Missing",input_wld_az1_rack6_vmotion_gateway_ip)</f>
        <v>#REF!</v>
      </c>
      <c r="Y87" s="7"/>
      <c r="Z87" s="30" t="s">
        <v>6790</v>
      </c>
      <c r="AA87" s="13" t="e">
        <f>IF(ISBLANK(input_wld_az1_rack7_vmotion_gateway_ip),"Value Missing",input_wld_az1_rack7_vmotion_gateway_ip)</f>
        <v>#REF!</v>
      </c>
      <c r="AB87" s="7"/>
      <c r="AC87" s="30" t="s">
        <v>6790</v>
      </c>
      <c r="AD87" s="13" t="e">
        <f>IF(ISBLANK(input_wld_az1_rack8_vmotion_gateway_ip),"Value Missing",input_wld_az1_rack8_vmotion_gateway_ip)</f>
        <v>#REF!</v>
      </c>
      <c r="AE87" s="7"/>
      <c r="AF87" s="7"/>
      <c r="AG87" s="27"/>
      <c r="AH87" s="27"/>
      <c r="AI87" s="27"/>
      <c r="AJ87" s="27"/>
      <c r="AK87" s="7"/>
    </row>
    <row r="88" spans="1:37" ht="19.5" customHeight="1">
      <c r="A88" s="7"/>
      <c r="B88" s="60"/>
      <c r="C88" s="7"/>
      <c r="D88" s="7"/>
      <c r="E88" s="39" t="e">
        <f>CONCATENATE("Principal Storage Network ",wld_principal_storage_chosen)</f>
        <v>#REF!</v>
      </c>
      <c r="F88" s="13" t="e">
        <f>IF(mgmt_az1_vsan_gateway_cidr="Value Missing","Value Missing",LEFT(mgmt_az1_vsan_gateway_cidr,FIND("/",mgmt_az1_vsan_gateway_cidr)-1))</f>
        <v>#REF!</v>
      </c>
      <c r="G88" s="7"/>
      <c r="H88" s="39" t="s">
        <v>6793</v>
      </c>
      <c r="I88" s="13" t="e">
        <f t="array" ref="I88">IF(wld_az1_principal_storage_gateway_cidr="Value Missing","Value Missing",LEFT(wld_az1_principal_storage_gateway_cidr,FIND("/",wld_az1_principal_storage_gateway_cidr)-1))</f>
        <v>#REF!</v>
      </c>
      <c r="J88" s="7"/>
      <c r="K88" s="39" t="e">
        <f>CONCATENATE("Principal Storage Network ",wld_principal_storage_chosen)</f>
        <v>#REF!</v>
      </c>
      <c r="L88" s="13" t="e">
        <f>IF(ISBLANK(input_wld_az1_rack2_principal_storage_gateway_ip),"Value Missing",input_wld_az1_rack2_principal_storage_gateway_ip)</f>
        <v>#REF!</v>
      </c>
      <c r="M88" s="7"/>
      <c r="N88" s="39" t="e">
        <f>CONCATENATE("Principal Storage Network ",wld_principal_storage_chosen)</f>
        <v>#REF!</v>
      </c>
      <c r="O88" s="13" t="e">
        <f>IF(ISBLANK(input_wld_az1_rack3_principal_storage_gateway_ip),"Value Missing",input_wld_az1_rack3_principal_storage_gateway_ip)</f>
        <v>#REF!</v>
      </c>
      <c r="P88" s="7"/>
      <c r="Q88" s="39" t="e">
        <f>CONCATENATE("Principal Storage Network ",wld_principal_storage_chosen)</f>
        <v>#REF!</v>
      </c>
      <c r="R88" s="13" t="e">
        <f>IF(ISBLANK(input_wld_az1_rack4_principal_storage_gateway_ip),"Value Missing",input_wld_az1_rack4_principal_storage_gateway_ip)</f>
        <v>#REF!</v>
      </c>
      <c r="S88" s="7"/>
      <c r="T88" s="39" t="e">
        <f>CONCATENATE("Principal Storage Network ",wld_principal_storage_chosen)</f>
        <v>#REF!</v>
      </c>
      <c r="U88" s="13" t="e">
        <f>IF(ISBLANK(input_wld_az1_rack5_principal_storage_gateway_ip),"Value Missing",input_wld_az1_rack5_principal_storage_gateway_ip)</f>
        <v>#REF!</v>
      </c>
      <c r="V88" s="7"/>
      <c r="W88" s="39" t="e">
        <f>CONCATENATE("Principal Storage Network ",wld_principal_storage_chosen)</f>
        <v>#REF!</v>
      </c>
      <c r="X88" s="13" t="e">
        <f>IF(ISBLANK(input_wld_az1_rack6_principal_storage_gateway_ip),"Value Missing",input_wld_az1_rack6_principal_storage_gateway_ip)</f>
        <v>#REF!</v>
      </c>
      <c r="Y88" s="7"/>
      <c r="Z88" s="39" t="e">
        <f>CONCATENATE("Principal Storage Network ",wld_principal_storage_chosen)</f>
        <v>#REF!</v>
      </c>
      <c r="AA88" s="13" t="e">
        <f>IF(ISBLANK(input_wld_az1_rack7_principal_storage_gateway_ip),"Value Missing",input_wld_az1_rack7_principal_storage_gateway_ip)</f>
        <v>#REF!</v>
      </c>
      <c r="AB88" s="7"/>
      <c r="AC88" s="39" t="e">
        <f>CONCATENATE("Principal Storage Network ",wld_principal_storage_chosen)</f>
        <v>#REF!</v>
      </c>
      <c r="AD88" s="13" t="e">
        <f>IF(ISBLANK(input_wld_az1_rack8_principal_storage_gateway_ip),"Value Missing",input_wld_az1_rack8_principal_storage_gateway_ip)</f>
        <v>#REF!</v>
      </c>
      <c r="AE88" s="7"/>
      <c r="AF88" s="7"/>
      <c r="AG88" s="27"/>
      <c r="AH88" s="27"/>
      <c r="AI88" s="27"/>
      <c r="AJ88" s="27"/>
      <c r="AK88" s="7"/>
    </row>
    <row r="89" spans="1:37" ht="19.5" customHeight="1">
      <c r="A89" s="7"/>
      <c r="B89" s="7"/>
      <c r="C89" s="7"/>
      <c r="D89" s="7"/>
      <c r="E89" s="30" t="s">
        <v>6795</v>
      </c>
      <c r="F89" s="13" t="e">
        <f>IF(mgmt_az1_host_overlay_gateway_cidr="Value Missing","Value Missing",LEFT(mgmt_az1_host_overlay_gateway_cidr,FIND("/",mgmt_az1_host_overlay_gateway_cidr)-1))</f>
        <v>#REF!</v>
      </c>
      <c r="G89" s="7"/>
      <c r="H89" s="30" t="s">
        <v>6795</v>
      </c>
      <c r="I89" s="13" t="e">
        <f>IF(ISBLANK(input_wld_az1_host_overlay_gateway_ip),"Value Missing",input_wld_az1_host_overlay_gateway_ip)</f>
        <v>#REF!</v>
      </c>
      <c r="J89" s="7"/>
      <c r="K89" s="30" t="s">
        <v>6795</v>
      </c>
      <c r="L89" s="13" t="e">
        <f>IF(ISBLANK(input_wld_az1_rack2_host_overlay_gateway_ip),"Value Missing",input_wld_az1_rack2_host_overlay_gateway_ip)</f>
        <v>#REF!</v>
      </c>
      <c r="M89" s="7"/>
      <c r="N89" s="30" t="s">
        <v>6795</v>
      </c>
      <c r="O89" s="13" t="e">
        <f>IF(ISBLANK(input_wld_az1_rack3_host_overlay_gateway_ip),"Value Missing",input_wld_az1_rack3_host_overlay_gateway_ip)</f>
        <v>#REF!</v>
      </c>
      <c r="P89" s="7"/>
      <c r="Q89" s="30" t="s">
        <v>6795</v>
      </c>
      <c r="R89" s="13" t="e">
        <f>IF(ISBLANK(input_wld_az1_rack4_host_overlay_gateway_ip),"Value Missing",input_wld_az1_rack4_host_overlay_gateway_ip)</f>
        <v>#REF!</v>
      </c>
      <c r="S89" s="7"/>
      <c r="T89" s="30" t="s">
        <v>6795</v>
      </c>
      <c r="U89" s="13" t="e">
        <f>IF(ISBLANK(input_wld_az1_rack5_host_overlay_gateway_ip),"Value Missing",input_wld_az1_rack5_host_overlay_gateway_ip)</f>
        <v>#REF!</v>
      </c>
      <c r="V89" s="7"/>
      <c r="W89" s="30" t="s">
        <v>6795</v>
      </c>
      <c r="X89" s="13" t="e">
        <f>IF(ISBLANK(input_wld_az1_rack6_host_overlay_gateway_ip),"Value Missing",input_wld_az1_rack6_host_overlay_gateway_ip)</f>
        <v>#REF!</v>
      </c>
      <c r="Y89" s="7"/>
      <c r="Z89" s="30" t="s">
        <v>6795</v>
      </c>
      <c r="AA89" s="13" t="e">
        <f>IF(ISBLANK(input_wld_az1_rack7_host_overlay_gateway_ip),"Value Missing",input_wld_az1_rack7_host_overlay_gateway_ip)</f>
        <v>#REF!</v>
      </c>
      <c r="AB89" s="7"/>
      <c r="AC89" s="30" t="s">
        <v>6795</v>
      </c>
      <c r="AD89" s="13" t="e">
        <f>IF(ISBLANK(input_wld_az1_rack8_host_overlay_gateway_ip),"Value Missing",input_wld_az1_rack8_host_overlay_gateway_ip)</f>
        <v>#REF!</v>
      </c>
      <c r="AE89" s="7"/>
      <c r="AF89" s="7"/>
      <c r="AG89" s="27"/>
      <c r="AH89" s="27"/>
      <c r="AI89" s="27"/>
      <c r="AJ89" s="27"/>
      <c r="AK89" s="7"/>
    </row>
    <row r="90" spans="1:37" ht="19.5" customHeight="1">
      <c r="A90" s="7"/>
      <c r="B90" s="7"/>
      <c r="C90" s="7"/>
      <c r="D90" s="7"/>
      <c r="E90" s="30" t="s">
        <v>6797</v>
      </c>
      <c r="F90" s="13" t="e">
        <f>IF(mgmt_az1_secondary_storage_gateway_cidr="Value Missing","Value Missing",LEFT(mgmt_az1_secondary_storage_gateway_cidr,FIND("/",mgmt_az1_secondary_storage_gateway_cidr)-1))</f>
        <v>#REF!</v>
      </c>
      <c r="G90" s="7"/>
      <c r="H90" s="30" t="s">
        <v>6797</v>
      </c>
      <c r="I90" s="13" t="e">
        <f>IF(wld_az1_secondary_storage_gateway_cidr="Value Missing","Value Missing",LEFT(wld_az1_secondary_storage_gateway_cidr,FIND("/",wld_az1_secondary_storage_gateway_cidr)-1))</f>
        <v>#REF!</v>
      </c>
      <c r="J90" s="7"/>
      <c r="K90" s="30" t="s">
        <v>6797</v>
      </c>
      <c r="L90" s="13" t="str">
        <f>IF(ISBLANK(input_wld_az1_rack2_secondary_storage_gateway_ip),"Value Missing",input_wld_az1_rack2_secondary_storage_gateway_ip)</f>
        <v>Value Missing</v>
      </c>
      <c r="M90" s="7"/>
      <c r="N90" s="30" t="s">
        <v>6797</v>
      </c>
      <c r="O90" s="13" t="str">
        <f>IF(ISBLANK(input_wld_az1_rack3_secondary_storage_gateway_ip),"Value Missing",input_wld_az1_rack3_secondary_storage_gateway_ip)</f>
        <v>Value Missing</v>
      </c>
      <c r="P90" s="7"/>
      <c r="Q90" s="30" t="s">
        <v>6797</v>
      </c>
      <c r="R90" s="13" t="str">
        <f>IF(ISBLANK(input_wld_az1_rack4_secondary_storage_gateway_ip),"Value Missing",input_wld_az1_rack4_secondary_storage_gateway_ip)</f>
        <v>Value Missing</v>
      </c>
      <c r="S90" s="7"/>
      <c r="T90" s="30" t="s">
        <v>6797</v>
      </c>
      <c r="U90" s="13" t="str">
        <f>IF(ISBLANK(input_wld_az1_rack5_secondary_storage_gateway_ip),"Value Missing",input_wld_az1_rack5_secondary_storage_gateway_ip)</f>
        <v>Value Missing</v>
      </c>
      <c r="V90" s="7"/>
      <c r="W90" s="30" t="s">
        <v>6797</v>
      </c>
      <c r="X90" s="13" t="str">
        <f>IF(ISBLANK(input_wld_az1_rack6_secondary_storage_gateway_ip),"Value Missing",input_wld_az1_rack6_secondary_storage_gateway_ip)</f>
        <v>Value Missing</v>
      </c>
      <c r="Y90" s="7"/>
      <c r="Z90" s="30" t="s">
        <v>6797</v>
      </c>
      <c r="AA90" s="13" t="str">
        <f>IF(ISBLANK(input_wld_az1_rack7_secondary_storage_gateway_ip),"Value Missing",input_wld_az1_rack7_secondary_storage_gateway_ip)</f>
        <v>Value Missing</v>
      </c>
      <c r="AB90" s="7"/>
      <c r="AC90" s="30" t="s">
        <v>6797</v>
      </c>
      <c r="AD90" s="13" t="str">
        <f>IF(ISBLANK(input_wld_az1_rack8_secondary_storage_gateway_ip),"Value Missing",input_wld_az1_rack8_secondary_storage_gateway_ip)</f>
        <v>Value Missing</v>
      </c>
      <c r="AE90" s="7"/>
      <c r="AF90" s="7"/>
      <c r="AG90" s="27"/>
      <c r="AH90" s="27"/>
      <c r="AI90" s="27"/>
      <c r="AJ90" s="27"/>
      <c r="AK90" s="7"/>
    </row>
    <row r="91" spans="1:37" ht="19.5" customHeight="1">
      <c r="A91" s="7"/>
      <c r="B91" s="7"/>
      <c r="C91" s="7"/>
      <c r="D91" s="7"/>
      <c r="E91" s="30" t="s">
        <v>6831</v>
      </c>
      <c r="F91" s="13" t="e">
        <f>IF(mgmt_az1_vcf_mgmt_gateway_cidr="Value Missing","Value Missing",LEFT(mgmt_az1_vcf_mgmt_gateway_cidr,FIND("/",mgmt_az1_vcf_mgmt_gateway_cidr)-1))</f>
        <v>#REF!</v>
      </c>
      <c r="G91" s="7"/>
      <c r="H91" s="30" t="s">
        <v>6800</v>
      </c>
      <c r="I91" s="13" t="e">
        <f>IF(wld_az1_storage_cluster_gateway_cidr="Value Missing","Value Missing",LEFT(wld_az1_storage_cluster_gateway_cidr,FIND("/",wld_az1_storage_cluster_gateway_cidr)-1))</f>
        <v>#REF!</v>
      </c>
      <c r="J91" s="7"/>
      <c r="K91" s="30"/>
      <c r="L91" s="13"/>
      <c r="M91" s="7"/>
      <c r="N91" s="30"/>
      <c r="O91" s="13"/>
      <c r="P91" s="7"/>
      <c r="Q91" s="30"/>
      <c r="R91" s="13"/>
      <c r="S91" s="7"/>
      <c r="T91" s="30"/>
      <c r="U91" s="13"/>
      <c r="V91" s="7"/>
      <c r="W91" s="30"/>
      <c r="X91" s="13"/>
      <c r="Y91" s="7"/>
      <c r="Z91" s="30"/>
      <c r="AA91" s="13"/>
      <c r="AB91" s="7"/>
      <c r="AC91" s="30"/>
      <c r="AD91" s="13"/>
      <c r="AE91" s="7"/>
      <c r="AF91" s="7"/>
      <c r="AG91" s="27"/>
      <c r="AH91" s="27"/>
      <c r="AI91" s="27"/>
      <c r="AJ91" s="27"/>
      <c r="AK91" s="7"/>
    </row>
    <row r="92" spans="1:37" ht="19.5" customHeight="1">
      <c r="A92" s="7"/>
      <c r="B92" s="7"/>
      <c r="C92" s="7"/>
      <c r="D92" s="7"/>
      <c r="E92" s="30" t="s">
        <v>6802</v>
      </c>
      <c r="F92" s="13" t="e">
        <f>IF(ISBLANK(input_mgmt_az1_uplink01_gateway_ip),"Value Missing",input_mgmt_az1_uplink01_gateway_ip)</f>
        <v>#REF!</v>
      </c>
      <c r="G92" s="7"/>
      <c r="H92" s="30" t="s">
        <v>6802</v>
      </c>
      <c r="I92" s="13" t="e">
        <f>IF(ISBLANK(input_wld_az1_uplink01_gateway_ip),"Value Missing",input_wld_az1_uplink01_gateway_ip)</f>
        <v>#REF!</v>
      </c>
      <c r="J92" s="7"/>
      <c r="K92" s="30" t="s">
        <v>6802</v>
      </c>
      <c r="L92" s="13" t="str">
        <f>IF(ISBLANK(input_wld_az1_rack2_uplink01_gateway_ip),"Value Missing",input_wld_az1_rack2_uplink01_gateway_ip)</f>
        <v>Value Missing</v>
      </c>
      <c r="M92" s="7"/>
      <c r="N92" s="30" t="s">
        <v>6802</v>
      </c>
      <c r="O92" s="13" t="str">
        <f>IF(ISBLANK(input_wld_az1_rack3_uplink01_gateway_ip),"Value Missing",input_wld_az1_rack3_uplink01_gateway_ip)</f>
        <v>Value Missing</v>
      </c>
      <c r="P92" s="7"/>
      <c r="Q92" s="30" t="s">
        <v>6802</v>
      </c>
      <c r="R92" s="13" t="str">
        <f>IF(ISBLANK(input_wld_az1_rack4_uplink01_gateway_ip),"Value Missing",input_wld_az1_rack4_uplink01_gateway_ip)</f>
        <v>Value Missing</v>
      </c>
      <c r="S92" s="7"/>
      <c r="T92" s="30" t="s">
        <v>6802</v>
      </c>
      <c r="U92" s="13" t="str">
        <f>IF(ISBLANK(input_wld_az1_rack5_uplink01_gateway_ip),"Value Missing",input_wld_az1_rack5_uplink01_gateway_ip)</f>
        <v>Value Missing</v>
      </c>
      <c r="V92" s="7"/>
      <c r="W92" s="30" t="s">
        <v>6802</v>
      </c>
      <c r="X92" s="13" t="str">
        <f>IF(ISBLANK(input_wld_az1_rack6_uplink01_gateway_ip),"Value Missing",input_wld_az1_rack6_uplink01_gateway_ip)</f>
        <v>Value Missing</v>
      </c>
      <c r="Y92" s="7"/>
      <c r="Z92" s="30" t="s">
        <v>6802</v>
      </c>
      <c r="AA92" s="13" t="str">
        <f>IF(ISBLANK(input_wld_az1_rack7_uplink01_gateway_ip),"Value Missing",input_wld_az1_rack7_uplink01_gateway_ip)</f>
        <v>Value Missing</v>
      </c>
      <c r="AB92" s="7"/>
      <c r="AC92" s="30" t="s">
        <v>6802</v>
      </c>
      <c r="AD92" s="13" t="str">
        <f>IF(ISBLANK(input_wld_az1_rack8_uplink01_gateway_ip),"Value Missing",input_wld_az1_rack8_uplink01_gateway_ip)</f>
        <v>Value Missing</v>
      </c>
      <c r="AE92" s="7"/>
      <c r="AF92" s="7"/>
      <c r="AG92" s="27"/>
      <c r="AH92" s="27"/>
      <c r="AI92" s="27"/>
      <c r="AJ92" s="27"/>
      <c r="AK92" s="7"/>
    </row>
    <row r="93" spans="1:37" ht="19.5" customHeight="1">
      <c r="A93" s="7"/>
      <c r="B93" s="7"/>
      <c r="C93" s="7"/>
      <c r="D93" s="7"/>
      <c r="E93" s="30" t="s">
        <v>6804</v>
      </c>
      <c r="F93" s="13" t="e">
        <f>IF(ISBLANK(input_mgmt_az1_uplink02_gateway_ip),"Value Missing",input_mgmt_az1_uplink02_gateway_ip)</f>
        <v>#REF!</v>
      </c>
      <c r="G93" s="53"/>
      <c r="H93" s="30" t="s">
        <v>6804</v>
      </c>
      <c r="I93" s="13" t="e">
        <f>IF(ISBLANK(input_wld_az1_uplink02_gateway_ip),"Value Missing",input_wld_az1_uplink02_gateway_ip)</f>
        <v>#REF!</v>
      </c>
      <c r="J93" s="53"/>
      <c r="K93" s="30" t="s">
        <v>6804</v>
      </c>
      <c r="L93" s="13" t="str">
        <f>IF(ISBLANK(input_wld_az1_rack2_uplink02_gateway_ip),"Value Missing",input_wld_az1_rack2_uplink02_gateway_ip)</f>
        <v>Value Missing</v>
      </c>
      <c r="M93" s="7"/>
      <c r="N93" s="30" t="s">
        <v>6804</v>
      </c>
      <c r="O93" s="13" t="str">
        <f>IF(ISBLANK(input_wld_az1_rack3_uplink02_gateway_ip),"Value Missing",input_wld_az1_rack3_uplink02_gateway_ip)</f>
        <v>Value Missing</v>
      </c>
      <c r="P93" s="7"/>
      <c r="Q93" s="30" t="s">
        <v>6804</v>
      </c>
      <c r="R93" s="13" t="str">
        <f>IF(ISBLANK(input_wld_az1_rack4_uplink02_gateway_ip),"Value Missing",input_wld_az1_rack4_uplink02_gateway_ip)</f>
        <v>Value Missing</v>
      </c>
      <c r="S93" s="7"/>
      <c r="T93" s="30" t="s">
        <v>6804</v>
      </c>
      <c r="U93" s="13" t="str">
        <f>IF(ISBLANK(input_wld_az1_rack5_uplink02_gateway_ip),"Value Missing",input_wld_az1_rack5_uplink02_gateway_ip)</f>
        <v>Value Missing</v>
      </c>
      <c r="V93" s="7"/>
      <c r="W93" s="30" t="s">
        <v>6804</v>
      </c>
      <c r="X93" s="13" t="str">
        <f>IF(ISBLANK(input_wld_az1_rack6_uplink02_gateway_ip),"Value Missing",input_wld_az1_rack6_uplink02_gateway_ip)</f>
        <v>Value Missing</v>
      </c>
      <c r="Y93" s="7"/>
      <c r="Z93" s="30" t="s">
        <v>6804</v>
      </c>
      <c r="AA93" s="13" t="str">
        <f>IF(ISBLANK(input_wld_az1_rack7_uplink02_gateway_ip),"Value Missing",input_wld_az1_rack7_uplink02_gateway_ip)</f>
        <v>Value Missing</v>
      </c>
      <c r="AB93" s="7"/>
      <c r="AC93" s="30" t="s">
        <v>6804</v>
      </c>
      <c r="AD93" s="13" t="str">
        <f>IF(ISBLANK(input_wld_az1_rack8_uplink02_gateway_ip),"Value Missing",input_wld_az1_rack8_uplink02_gateway_ip)</f>
        <v>Value Missing</v>
      </c>
      <c r="AE93" s="7"/>
      <c r="AF93" s="7"/>
      <c r="AG93" s="27"/>
      <c r="AH93" s="27"/>
      <c r="AI93" s="27"/>
      <c r="AJ93" s="27"/>
      <c r="AK93" s="7"/>
    </row>
    <row r="94" spans="1:37" ht="19.5" customHeight="1">
      <c r="A94" s="7"/>
      <c r="B94" s="7"/>
      <c r="C94" s="7"/>
      <c r="D94" s="7"/>
      <c r="E94" s="30" t="s">
        <v>6806</v>
      </c>
      <c r="F94" s="13" t="e">
        <f>IF(ISBLANK(input_mgmt_az1_edge_overlay_gateway_ip),"Value Missing",input_mgmt_az1_edge_overlay_gateway_ip)</f>
        <v>#REF!</v>
      </c>
      <c r="G94" s="7"/>
      <c r="H94" s="30" t="s">
        <v>6806</v>
      </c>
      <c r="I94" s="13" t="e">
        <f>IF(ISBLANK(input_wld_az1_edge_overlay_gateway_ip),"Value Missing",input_wld_az1_edge_overlay_gateway_ip)</f>
        <v>#REF!</v>
      </c>
      <c r="J94" s="7"/>
      <c r="K94" s="30" t="s">
        <v>6806</v>
      </c>
      <c r="L94" s="13" t="str">
        <f>IF(ISBLANK(input_wld_az1_rack2_edge_overlay_gateway_ip),"Value Missing",input_wld_az1_rack2_edge_overlay_gateway_ip)</f>
        <v>Value Missing</v>
      </c>
      <c r="M94" s="53"/>
      <c r="N94" s="30" t="s">
        <v>6806</v>
      </c>
      <c r="O94" s="13" t="str">
        <f>IF(ISBLANK(input_wld_az1_rack3_edge_overlay_gateway_ip),"Value Missing",input_wld_az1_rack3_edge_overlay_gateway_ip)</f>
        <v>Value Missing</v>
      </c>
      <c r="P94" s="7"/>
      <c r="Q94" s="30" t="s">
        <v>6806</v>
      </c>
      <c r="R94" s="13" t="str">
        <f>IF(ISBLANK(input_wld_az1_rack4_edge_overlay_gateway_ip),"Value Missing",input_wld_az1_rack4_edge_overlay_gateway_ip)</f>
        <v>Value Missing</v>
      </c>
      <c r="S94" s="7"/>
      <c r="T94" s="30" t="s">
        <v>6806</v>
      </c>
      <c r="U94" s="13" t="str">
        <f>IF(ISBLANK(input_wld_az1_rack5_edge_overlay_gateway_ip),"Value Missing",input_wld_az1_rack5_edge_overlay_gateway_ip)</f>
        <v>Value Missing</v>
      </c>
      <c r="V94" s="7"/>
      <c r="W94" s="30" t="s">
        <v>6806</v>
      </c>
      <c r="X94" s="13" t="str">
        <f>IF(ISBLANK(input_wld_az1_rack6_edge_overlay_gateway_ip),"Value Missing",input_wld_az1_rack6_edge_overlay_gateway_ip)</f>
        <v>Value Missing</v>
      </c>
      <c r="Y94" s="7"/>
      <c r="Z94" s="30" t="s">
        <v>6806</v>
      </c>
      <c r="AA94" s="13" t="str">
        <f>IF(ISBLANK(input_wld_az1_rack7_edge_overlay_gateway_ip),"Value Missing",input_wld_az1_rack7_edge_overlay_gateway_ip)</f>
        <v>Value Missing</v>
      </c>
      <c r="AB94" s="7"/>
      <c r="AC94" s="30" t="s">
        <v>6806</v>
      </c>
      <c r="AD94" s="13" t="str">
        <f>IF(ISBLANK(input_wld_az1_rack8_edge_overlay_gateway_ip),"Value Missing",input_wld_az1_rack8_edge_overlay_gateway_ip)</f>
        <v>Value Missing</v>
      </c>
      <c r="AE94" s="7"/>
      <c r="AF94" s="7"/>
      <c r="AG94" s="27"/>
      <c r="AH94" s="27"/>
      <c r="AI94" s="27"/>
      <c r="AJ94" s="27"/>
      <c r="AK94" s="7"/>
    </row>
    <row r="95" spans="1:37" ht="19.5" customHeight="1">
      <c r="A95" s="7"/>
      <c r="B95" s="7"/>
      <c r="C95" s="7"/>
      <c r="D95" s="7"/>
      <c r="E95" s="30" t="s">
        <v>6809</v>
      </c>
      <c r="F95" s="13" t="e">
        <f>IF(ISBLANK(input_mgmt_az1_rtep_overlay_gateway_ip),"Value Missing",input_mgmt_az1_rtep_overlay_gateway_ip)</f>
        <v>#REF!</v>
      </c>
      <c r="G95" s="7"/>
      <c r="H95" s="30" t="s">
        <v>6809</v>
      </c>
      <c r="I95" s="13" t="e">
        <f>IF(ISBLANK(input_wld_az1_rtep_overlay_gateway_ip),"Value Missing",input_wld_az1_rtep_overlay_gateway_ip)</f>
        <v>#REF!</v>
      </c>
      <c r="J95" s="7"/>
      <c r="K95" s="30" t="s">
        <v>6809</v>
      </c>
      <c r="L95" s="13"/>
      <c r="M95" s="7"/>
      <c r="N95" s="30" t="s">
        <v>6809</v>
      </c>
      <c r="O95" s="13"/>
      <c r="P95" s="7"/>
      <c r="Q95" s="30" t="s">
        <v>6809</v>
      </c>
      <c r="R95" s="13"/>
      <c r="S95" s="7"/>
      <c r="T95" s="30" t="s">
        <v>6809</v>
      </c>
      <c r="U95" s="13"/>
      <c r="V95" s="7"/>
      <c r="W95" s="30" t="s">
        <v>6809</v>
      </c>
      <c r="X95" s="13"/>
      <c r="Y95" s="7"/>
      <c r="Z95" s="30" t="s">
        <v>6809</v>
      </c>
      <c r="AA95" s="13"/>
      <c r="AB95" s="7"/>
      <c r="AC95" s="30" t="s">
        <v>6809</v>
      </c>
      <c r="AD95" s="13"/>
      <c r="AE95" s="7"/>
      <c r="AF95" s="7"/>
      <c r="AG95" s="27"/>
      <c r="AH95" s="27"/>
      <c r="AI95" s="27"/>
      <c r="AJ95" s="27"/>
      <c r="AK95" s="7"/>
    </row>
    <row r="96" spans="1:37" ht="19.5" customHeight="1">
      <c r="A96" s="7"/>
      <c r="B96" s="7"/>
      <c r="C96" s="7"/>
      <c r="D96" s="7"/>
      <c r="E96" s="30" t="s">
        <v>6811</v>
      </c>
      <c r="F96" s="13"/>
      <c r="G96" s="7"/>
      <c r="H96" s="30" t="s">
        <v>6811</v>
      </c>
      <c r="I96" s="13" t="str">
        <f>IF(ISBLANK(input_wld_az1_vrms_gateway_ip),"Value Missing",input_wld_az1_vrms_gateway_ip)</f>
        <v>Value Missing</v>
      </c>
      <c r="J96" s="7"/>
      <c r="K96" s="30" t="s">
        <v>6811</v>
      </c>
      <c r="L96" s="13"/>
      <c r="M96" s="7"/>
      <c r="N96" s="30" t="s">
        <v>6811</v>
      </c>
      <c r="O96" s="13"/>
      <c r="P96" s="7"/>
      <c r="Q96" s="30" t="s">
        <v>6811</v>
      </c>
      <c r="R96" s="13"/>
      <c r="S96" s="7"/>
      <c r="T96" s="30" t="s">
        <v>6811</v>
      </c>
      <c r="U96" s="13"/>
      <c r="V96" s="7"/>
      <c r="W96" s="30" t="s">
        <v>6811</v>
      </c>
      <c r="X96" s="13"/>
      <c r="Y96" s="7"/>
      <c r="Z96" s="30" t="s">
        <v>6811</v>
      </c>
      <c r="AA96" s="13"/>
      <c r="AB96" s="7"/>
      <c r="AC96" s="30" t="s">
        <v>6811</v>
      </c>
      <c r="AD96" s="13"/>
      <c r="AE96" s="7"/>
      <c r="AF96" s="7"/>
      <c r="AG96" s="27"/>
      <c r="AH96" s="27"/>
      <c r="AI96" s="27"/>
      <c r="AJ96" s="27"/>
      <c r="AK96" s="7"/>
    </row>
    <row r="97" spans="1:37" ht="19.5" customHeight="1">
      <c r="A97" s="27"/>
      <c r="B97" s="7"/>
      <c r="C97" s="7"/>
      <c r="D97" s="2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27"/>
      <c r="AF97" s="27"/>
      <c r="AG97" s="27"/>
      <c r="AH97" s="27"/>
      <c r="AI97" s="27"/>
      <c r="AJ97" s="27"/>
      <c r="AK97" s="27"/>
    </row>
    <row r="98" spans="1:37" ht="19.5" customHeight="1">
      <c r="A98" s="27"/>
      <c r="B98" s="7"/>
      <c r="C98" s="7"/>
      <c r="D98" s="27"/>
      <c r="E98" s="47" t="s">
        <v>6887</v>
      </c>
      <c r="F98" s="48"/>
      <c r="G98" s="7"/>
      <c r="H98" s="47" t="s">
        <v>6888</v>
      </c>
      <c r="I98" s="4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27"/>
      <c r="AF98" s="27"/>
      <c r="AG98" s="27"/>
      <c r="AH98" s="27"/>
      <c r="AI98" s="27"/>
      <c r="AJ98" s="27"/>
      <c r="AK98" s="27"/>
    </row>
    <row r="99" spans="1:37" ht="19.5" customHeight="1">
      <c r="A99" s="27"/>
      <c r="B99" s="7"/>
      <c r="C99" s="7"/>
      <c r="D99" s="27"/>
      <c r="E99" s="52" t="s">
        <v>6780</v>
      </c>
      <c r="F99" s="52" t="s">
        <v>6781</v>
      </c>
      <c r="G99" s="7"/>
      <c r="H99" s="52" t="s">
        <v>6780</v>
      </c>
      <c r="I99" s="52" t="s">
        <v>6781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27"/>
      <c r="AF99" s="27"/>
      <c r="AG99" s="27"/>
      <c r="AH99" s="27"/>
      <c r="AI99" s="27"/>
      <c r="AJ99" s="27"/>
      <c r="AK99" s="27"/>
    </row>
    <row r="100" spans="1:37" ht="19.5" customHeight="1">
      <c r="A100" s="27"/>
      <c r="B100" s="7"/>
      <c r="C100" s="7"/>
      <c r="D100" s="27"/>
      <c r="E100" s="30" t="s">
        <v>6784</v>
      </c>
      <c r="F100" s="13" t="e">
        <f>IF(ISBLANK(input_mgmt_az1_mgmt_vm_gateway_cidr),"Value Missing",input_mgmt_az1_mgmt_vm_gateway_cidr)</f>
        <v>#REF!</v>
      </c>
      <c r="G100" s="7"/>
      <c r="H100" s="30" t="s">
        <v>6784</v>
      </c>
      <c r="I100" s="13" t="e">
        <f t="array" ref="I100">IF(ISBLANK(input_wld_az1_mgmt_vm_gateway_cidr),"Value Missing",input_wld_az1_mgmt_vm_gateway_cidr)</f>
        <v>#REF!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27"/>
      <c r="AF100" s="27"/>
      <c r="AG100" s="27"/>
      <c r="AH100" s="27"/>
      <c r="AI100" s="27"/>
      <c r="AJ100" s="27"/>
      <c r="AK100" s="27"/>
    </row>
    <row r="101" spans="1:37" ht="19.5" customHeight="1">
      <c r="A101" s="27"/>
      <c r="B101" s="7"/>
      <c r="C101" s="7"/>
      <c r="D101" s="27"/>
      <c r="E101" s="30" t="s">
        <v>6787</v>
      </c>
      <c r="F101" s="13" t="e">
        <f>IF(ISBLANK(input_mgmt_az1_mgmt_gateway_cidr),"Value Missing",input_mgmt_az1_mgmt_gateway_cidr)</f>
        <v>#REF!</v>
      </c>
      <c r="G101" s="7"/>
      <c r="H101" s="30" t="s">
        <v>6787</v>
      </c>
      <c r="I101" s="13" t="e">
        <f>IF(ISBLANK(input_wld_az1_mgmt_gateway_cidr),"Value Missing",input_wld_az1_mgmt_gateway_cidr)</f>
        <v>#REF!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27"/>
      <c r="AF101" s="27"/>
      <c r="AG101" s="27"/>
      <c r="AH101" s="27"/>
      <c r="AI101" s="27"/>
      <c r="AJ101" s="27"/>
      <c r="AK101" s="27"/>
    </row>
    <row r="102" spans="1:37" ht="19.5" customHeight="1">
      <c r="A102" s="27"/>
      <c r="B102" s="7"/>
      <c r="C102" s="7"/>
      <c r="D102" s="27"/>
      <c r="E102" s="30" t="s">
        <v>6790</v>
      </c>
      <c r="F102" s="13" t="e">
        <f>IF(ISBLANK(input_mgmt_az1_vmotion_gateway_cidr),"Value Missing",input_mgmt_az1_vmotion_gateway_cidr)</f>
        <v>#REF!</v>
      </c>
      <c r="G102" s="7"/>
      <c r="H102" s="30" t="s">
        <v>6790</v>
      </c>
      <c r="I102" s="13" t="e">
        <f>IF(ISBLANK(input_wld_az1_vmotion_gateway_cidr),"Value Missing",input_wld_az1_vmotion_gateway_cidr)</f>
        <v>#REF!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27"/>
      <c r="AF102" s="27"/>
      <c r="AG102" s="27"/>
      <c r="AH102" s="27"/>
      <c r="AI102" s="27"/>
      <c r="AJ102" s="27"/>
      <c r="AK102" s="27"/>
    </row>
    <row r="103" spans="1:37" ht="19.5" customHeight="1">
      <c r="A103" s="27"/>
      <c r="B103" s="7"/>
      <c r="C103" s="7"/>
      <c r="D103" s="27"/>
      <c r="E103" s="39" t="e">
        <f>CONCATENATE("Principal Storage Network ",wld_principal_storage_chosen)</f>
        <v>#REF!</v>
      </c>
      <c r="F103" s="13" t="e">
        <f>IF(ISBLANK(input_mgmt_az1_vsan_gateway_cidr),"Value Missing",input_mgmt_az1_vsan_gateway_cidr)</f>
        <v>#REF!</v>
      </c>
      <c r="G103" s="7"/>
      <c r="H103" s="39" t="s">
        <v>6793</v>
      </c>
      <c r="I103" s="13" t="e">
        <f>IF(ISBLANK(input_wld_az1_principal_storage_gateway_cidr),"Value Missing",input_wld_az1_principal_storage_gateway_cidr)</f>
        <v>#REF!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27"/>
      <c r="AF103" s="27"/>
      <c r="AG103" s="27"/>
      <c r="AH103" s="27"/>
      <c r="AI103" s="27"/>
      <c r="AJ103" s="27"/>
      <c r="AK103" s="27"/>
    </row>
    <row r="104" spans="1:37" ht="19.5" customHeight="1">
      <c r="A104" s="27"/>
      <c r="B104" s="7"/>
      <c r="C104" s="7"/>
      <c r="D104" s="27"/>
      <c r="E104" s="30" t="s">
        <v>6795</v>
      </c>
      <c r="F104" s="13" t="e">
        <f>IF(ISBLANK(input_mgmt_az1_host_overlay_gateway_cidr),"Value Missing",input_mgmt_az1_host_overlay_gateway_cidr)</f>
        <v>#REF!</v>
      </c>
      <c r="G104" s="7"/>
      <c r="H104" s="30" t="s">
        <v>6795</v>
      </c>
      <c r="I104" s="13" t="e">
        <f t="array" ref="I104">IF(ISBLANK(input_wld_az1_host_overlay_gateway_cidr),"Value Missing",input_wld_az1_host_overlay_gateway_cidr)</f>
        <v>#NAME?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27"/>
      <c r="AF104" s="27"/>
      <c r="AG104" s="27"/>
      <c r="AH104" s="27"/>
      <c r="AI104" s="27"/>
      <c r="AJ104" s="27"/>
      <c r="AK104" s="27"/>
    </row>
    <row r="105" spans="1:37" ht="19.5" customHeight="1">
      <c r="A105" s="27"/>
      <c r="B105" s="7"/>
      <c r="C105" s="7"/>
      <c r="D105" s="27"/>
      <c r="E105" s="30" t="s">
        <v>6797</v>
      </c>
      <c r="F105" s="13" t="e">
        <f>IF(ISBLANK(input_mgmt_az1_secondary_storage_gateway_cidr),"Value Missing",input_mgmt_az1_secondary_storage_gateway_cidr)</f>
        <v>#REF!</v>
      </c>
      <c r="G105" s="7"/>
      <c r="H105" s="30" t="s">
        <v>6797</v>
      </c>
      <c r="I105" s="13" t="e">
        <f>IF(ISBLANK(input_wld_az1_secondary_storage_gateway_cidr),"Value Missing",input_wld_az1_secondary_storage_gateway_cidr)</f>
        <v>#REF!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27"/>
      <c r="AF105" s="27"/>
      <c r="AG105" s="27"/>
      <c r="AH105" s="27"/>
      <c r="AI105" s="27"/>
      <c r="AJ105" s="27"/>
      <c r="AK105" s="27"/>
    </row>
    <row r="106" spans="1:37" ht="19.5" customHeight="1">
      <c r="A106" s="27"/>
      <c r="B106" s="7"/>
      <c r="C106" s="7"/>
      <c r="D106" s="27"/>
      <c r="E106" s="30" t="s">
        <v>6831</v>
      </c>
      <c r="F106" s="13" t="e">
        <f>IF(ISBLANK(input_mgmt_az1_vcf_mgmt_gateway_cidr),"Value Missing",input_mgmt_az1_vcf_mgmt_gateway_cidr)</f>
        <v>#REF!</v>
      </c>
      <c r="G106" s="7"/>
      <c r="H106" s="30" t="s">
        <v>6800</v>
      </c>
      <c r="I106" s="13" t="e">
        <f>IF(ISBLANK(input_wld_az1_storage_cluster_gateway_cidr),"Value Missing",input_wld_az1_storage_cluster_gateway_cidr)</f>
        <v>#REF!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27"/>
      <c r="AF106" s="27"/>
      <c r="AG106" s="27"/>
      <c r="AH106" s="27"/>
      <c r="AI106" s="27"/>
      <c r="AJ106" s="27"/>
      <c r="AK106" s="27"/>
    </row>
    <row r="107" spans="1:37" ht="19.5" customHeight="1">
      <c r="A107" s="27"/>
      <c r="B107" s="7"/>
      <c r="C107" s="7"/>
      <c r="D107" s="27"/>
      <c r="E107" s="30" t="s">
        <v>6802</v>
      </c>
      <c r="F107" s="13" t="e">
        <f>IF(ISBLANK(input_mgmt_az1_uplink01_gateway_ip),"Value Missing",input_mgmt_az1_uplink01_gateway_ip)</f>
        <v>#REF!</v>
      </c>
      <c r="G107" s="7"/>
      <c r="H107" s="30" t="s">
        <v>6802</v>
      </c>
      <c r="I107" s="13" t="e">
        <f>IF(ISBLANK(input_mgmt_az1_uplink01_gateway_ip),"Value Missing",input_mgmt_az1_uplink01_gateway_ip)</f>
        <v>#REF!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27"/>
      <c r="AF107" s="27"/>
      <c r="AG107" s="27"/>
      <c r="AH107" s="27"/>
      <c r="AI107" s="27"/>
      <c r="AJ107" s="27"/>
      <c r="AK107" s="27"/>
    </row>
    <row r="108" spans="1:37" ht="19.5" customHeight="1">
      <c r="A108" s="27"/>
      <c r="B108" s="7"/>
      <c r="C108" s="7"/>
      <c r="D108" s="27"/>
      <c r="E108" s="30" t="s">
        <v>6804</v>
      </c>
      <c r="F108" s="13" t="e">
        <f>IF(ISBLANK(input_mgmt_az1_uplink02_gateway_ip),"Value Missing",input_mgmt_az1_uplink02_gateway_ip)</f>
        <v>#REF!</v>
      </c>
      <c r="G108" s="7"/>
      <c r="H108" s="30" t="s">
        <v>6804</v>
      </c>
      <c r="I108" s="13" t="e">
        <f>IF(ISBLANK(input_mgmt_az1_uplink02_gateway_ip),"Value Missing",input_mgmt_az1_uplink02_gateway_ip)</f>
        <v>#REF!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27"/>
      <c r="AF108" s="27"/>
      <c r="AG108" s="27"/>
      <c r="AH108" s="27"/>
      <c r="AI108" s="27"/>
      <c r="AJ108" s="27"/>
      <c r="AK108" s="27"/>
    </row>
    <row r="109" spans="1:37" ht="19.5" customHeight="1">
      <c r="A109" s="27"/>
      <c r="B109" s="7"/>
      <c r="C109" s="7"/>
      <c r="D109" s="27"/>
      <c r="E109" s="30" t="s">
        <v>6806</v>
      </c>
      <c r="F109" s="13" t="e">
        <f>IF(ISBLANK(input_mgmt_az1_edge_overlay_gateway_ip),"Value Missing",input_mgmt_az1_edge_overlay_gateway_ip)</f>
        <v>#REF!</v>
      </c>
      <c r="G109" s="7"/>
      <c r="H109" s="30" t="s">
        <v>6806</v>
      </c>
      <c r="I109" s="13" t="e">
        <f>IF(ISBLANK(input_mgmt_az1_edge_overlay_gateway_ip),"Value Missing",input_mgmt_az1_edge_overlay_gateway_ip)</f>
        <v>#REF!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27"/>
      <c r="AF109" s="27"/>
      <c r="AG109" s="27"/>
      <c r="AH109" s="27"/>
      <c r="AI109" s="27"/>
      <c r="AJ109" s="27"/>
      <c r="AK109" s="27"/>
    </row>
    <row r="110" spans="1:37" ht="19.5" customHeight="1">
      <c r="A110" s="27"/>
      <c r="B110" s="7"/>
      <c r="C110" s="7"/>
      <c r="D110" s="27"/>
      <c r="E110" s="30" t="s">
        <v>6809</v>
      </c>
      <c r="F110" s="13" t="e">
        <f>IF(ISBLANK(input_mgmt_az1_rtep_overlay_gateway_ip),"Value Missing",input_mgmt_az1_rtep_overlay_gateway_ip)</f>
        <v>#REF!</v>
      </c>
      <c r="G110" s="7"/>
      <c r="H110" s="30" t="s">
        <v>6809</v>
      </c>
      <c r="I110" s="13" t="e">
        <f>IF(ISBLANK(input_mgmt_az1_rtep_overlay_gateway_ip),"Value Missing",input_mgmt_az1_rtep_overlay_gateway_ip)</f>
        <v>#REF!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27"/>
      <c r="AF110" s="27"/>
      <c r="AG110" s="27"/>
      <c r="AH110" s="27"/>
      <c r="AI110" s="27"/>
      <c r="AJ110" s="27"/>
      <c r="AK110" s="27"/>
    </row>
    <row r="111" spans="1:37" ht="19.5" customHeight="1">
      <c r="A111" s="27"/>
      <c r="B111" s="7"/>
      <c r="C111" s="7"/>
      <c r="D111" s="27"/>
      <c r="E111" s="30" t="s">
        <v>6811</v>
      </c>
      <c r="F111" s="13"/>
      <c r="G111" s="7"/>
      <c r="H111" s="30" t="s">
        <v>6811</v>
      </c>
      <c r="I111" s="13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27"/>
      <c r="AF111" s="27"/>
      <c r="AG111" s="27"/>
      <c r="AH111" s="27"/>
      <c r="AI111" s="27"/>
      <c r="AJ111" s="27"/>
      <c r="AK111" s="27"/>
    </row>
    <row r="112" spans="1:37" ht="19.5" customHeight="1">
      <c r="A112" s="27"/>
      <c r="B112" s="7"/>
      <c r="C112" s="7"/>
      <c r="D112" s="2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27"/>
      <c r="AF112" s="27"/>
      <c r="AG112" s="27"/>
      <c r="AH112" s="27"/>
      <c r="AI112" s="27"/>
      <c r="AJ112" s="27"/>
      <c r="AK112" s="27"/>
    </row>
    <row r="113" spans="1:37" ht="19.5" customHeight="1">
      <c r="A113" s="27"/>
      <c r="B113" s="7"/>
      <c r="C113" s="7"/>
      <c r="D113" s="27"/>
      <c r="E113" s="49" t="s">
        <v>6889</v>
      </c>
      <c r="F113" s="50"/>
      <c r="G113" s="7"/>
      <c r="H113" s="49" t="s">
        <v>6890</v>
      </c>
      <c r="I113" s="50"/>
      <c r="J113" s="7"/>
      <c r="K113" s="49" t="s">
        <v>6891</v>
      </c>
      <c r="L113" s="50"/>
      <c r="M113" s="7"/>
      <c r="N113" s="49" t="s">
        <v>6892</v>
      </c>
      <c r="O113" s="50"/>
      <c r="P113" s="51"/>
      <c r="Q113" s="49" t="s">
        <v>6893</v>
      </c>
      <c r="R113" s="50"/>
      <c r="S113" s="7"/>
      <c r="T113" s="49" t="s">
        <v>6894</v>
      </c>
      <c r="U113" s="50"/>
      <c r="V113" s="7"/>
      <c r="W113" s="49" t="s">
        <v>6895</v>
      </c>
      <c r="X113" s="50"/>
      <c r="Y113" s="7"/>
      <c r="Z113" s="49" t="s">
        <v>6896</v>
      </c>
      <c r="AA113" s="50"/>
      <c r="AB113" s="7"/>
      <c r="AC113" s="49" t="s">
        <v>6897</v>
      </c>
      <c r="AD113" s="50"/>
      <c r="AE113" s="27"/>
      <c r="AF113" s="27"/>
      <c r="AG113" s="27"/>
      <c r="AH113" s="27"/>
      <c r="AI113" s="27"/>
      <c r="AJ113" s="27"/>
      <c r="AK113" s="27"/>
    </row>
    <row r="114" spans="1:37" ht="19.5" customHeight="1">
      <c r="A114" s="7"/>
      <c r="B114" s="7"/>
      <c r="C114" s="7"/>
      <c r="D114" s="7"/>
      <c r="E114" s="52" t="s">
        <v>6780</v>
      </c>
      <c r="F114" s="52" t="s">
        <v>6781</v>
      </c>
      <c r="G114" s="7"/>
      <c r="H114" s="52" t="s">
        <v>6780</v>
      </c>
      <c r="I114" s="52" t="s">
        <v>6781</v>
      </c>
      <c r="J114" s="7"/>
      <c r="K114" s="52" t="s">
        <v>6780</v>
      </c>
      <c r="L114" s="52" t="s">
        <v>6781</v>
      </c>
      <c r="M114" s="7"/>
      <c r="N114" s="52" t="s">
        <v>6780</v>
      </c>
      <c r="O114" s="52" t="s">
        <v>6781</v>
      </c>
      <c r="P114" s="53"/>
      <c r="Q114" s="52" t="s">
        <v>6780</v>
      </c>
      <c r="R114" s="52" t="s">
        <v>6781</v>
      </c>
      <c r="S114" s="53"/>
      <c r="T114" s="52" t="s">
        <v>6780</v>
      </c>
      <c r="U114" s="52" t="s">
        <v>6781</v>
      </c>
      <c r="V114" s="53"/>
      <c r="W114" s="52" t="s">
        <v>6780</v>
      </c>
      <c r="X114" s="52" t="s">
        <v>6781</v>
      </c>
      <c r="Y114" s="53"/>
      <c r="Z114" s="52" t="s">
        <v>6780</v>
      </c>
      <c r="AA114" s="52" t="s">
        <v>6781</v>
      </c>
      <c r="AB114" s="53"/>
      <c r="AC114" s="52" t="s">
        <v>6780</v>
      </c>
      <c r="AD114" s="52" t="s">
        <v>6781</v>
      </c>
      <c r="AE114" s="7"/>
      <c r="AF114" s="7"/>
      <c r="AG114" s="27"/>
      <c r="AH114" s="27"/>
      <c r="AI114" s="27"/>
      <c r="AJ114" s="27"/>
      <c r="AK114" s="7"/>
    </row>
    <row r="115" spans="1:37" ht="19.5" customHeight="1">
      <c r="A115" s="71"/>
      <c r="B115" s="7"/>
      <c r="C115" s="7"/>
      <c r="D115" s="71"/>
      <c r="E115" s="30" t="s">
        <v>6759</v>
      </c>
      <c r="F115" s="13" t="e">
        <f>IF(ISBLANK(input_mgmt_en_asn),"Value Missing",input_mgmt_en_asn)</f>
        <v>#REF!</v>
      </c>
      <c r="G115" s="7"/>
      <c r="H115" s="30" t="s">
        <v>6759</v>
      </c>
      <c r="I115" s="13" t="e">
        <f>IF(ISBLANK(input_wld_en_asn),"Value Missing",input_wld_en_asn)</f>
        <v>#REF!</v>
      </c>
      <c r="J115" s="7"/>
      <c r="K115" s="30" t="s">
        <v>6759</v>
      </c>
      <c r="L115" s="13" t="str">
        <f>IF(ISBLANK(input_wld_rack2_en_asn),"Value Missing",input_wld_rack2_en_asn)</f>
        <v>Value Missing</v>
      </c>
      <c r="M115" s="7"/>
      <c r="N115" s="30" t="s">
        <v>6759</v>
      </c>
      <c r="O115" s="13" t="str">
        <f>IF(ISBLANK(input_wld_rack3_en_asn),"Value Missing",input_wld_rack3_en_asn)</f>
        <v>Value Missing</v>
      </c>
      <c r="P115" s="7"/>
      <c r="Q115" s="30" t="s">
        <v>6759</v>
      </c>
      <c r="R115" s="13" t="str">
        <f>IF(ISBLANK(input_wld_rack4_en_asn),"Value Missing",input_wld_rack4_en_asn)</f>
        <v>Value Missing</v>
      </c>
      <c r="S115" s="7"/>
      <c r="T115" s="30" t="s">
        <v>6759</v>
      </c>
      <c r="U115" s="13" t="str">
        <f>IF(ISBLANK(input_wld_rack5_en_asn),"Value Missing",input_wld_rack5_en_asn)</f>
        <v>Value Missing</v>
      </c>
      <c r="V115" s="7"/>
      <c r="W115" s="30" t="s">
        <v>6759</v>
      </c>
      <c r="X115" s="13" t="str">
        <f>IF(ISBLANK(input_wld_rack6_en_asn),"Value Missing",input_wld_rack6_en_asn)</f>
        <v>Value Missing</v>
      </c>
      <c r="Y115" s="7"/>
      <c r="Z115" s="30" t="s">
        <v>6759</v>
      </c>
      <c r="AA115" s="13" t="str">
        <f>IF(ISBLANK(input_wld_rack7_en_asn),"Value Missing",input_wld_rack7_en_asn)</f>
        <v>Value Missing</v>
      </c>
      <c r="AB115" s="7"/>
      <c r="AC115" s="30" t="s">
        <v>6759</v>
      </c>
      <c r="AD115" s="13" t="str">
        <f>IF(ISBLANK(input_wld_rack8_en_asn),"Value Missing",input_wld_rack8_en_asn)</f>
        <v>Value Missing</v>
      </c>
      <c r="AE115" s="71"/>
      <c r="AF115" s="71"/>
      <c r="AG115" s="73"/>
      <c r="AH115" s="73"/>
      <c r="AI115" s="73"/>
      <c r="AJ115" s="73"/>
      <c r="AK115" s="71"/>
    </row>
    <row r="116" spans="1:37" ht="19.5" customHeight="1">
      <c r="A116" s="7"/>
      <c r="B116" s="7"/>
      <c r="C116" s="7"/>
      <c r="D116" s="7"/>
      <c r="E116" s="30" t="s">
        <v>6760</v>
      </c>
      <c r="F116" s="13" t="e">
        <f>IF(ISBLANK(input_mgmt_az1_tor1_peer_ip),"Value Missing",input_mgmt_az1_tor1_peer_ip)</f>
        <v>#REF!</v>
      </c>
      <c r="G116" s="7"/>
      <c r="H116" s="30" t="s">
        <v>6760</v>
      </c>
      <c r="I116" s="13" t="e">
        <f>IF(ISBLANK(input_wld_az1_tor1_peer_ip),"Value Missing",input_wld_az1_tor1_peer_ip)</f>
        <v>#REF!</v>
      </c>
      <c r="J116" s="7"/>
      <c r="K116" s="30" t="s">
        <v>6760</v>
      </c>
      <c r="L116" s="13" t="str">
        <f>IF(ISBLANK(input_wld_az1_rack2_tor1_peer_ip),"Value Missing",input_wld_az1_rack2_tor1_peer_ip)</f>
        <v>Value Missing</v>
      </c>
      <c r="M116" s="7"/>
      <c r="N116" s="30" t="s">
        <v>6760</v>
      </c>
      <c r="O116" s="13" t="str">
        <f>IF(ISBLANK(input_wld_az1_rack3_tor1_peer_ip),"Value Missing",input_wld_az1_rack3_tor1_peer_ip)</f>
        <v>Value Missing</v>
      </c>
      <c r="P116" s="7"/>
      <c r="Q116" s="30" t="s">
        <v>6760</v>
      </c>
      <c r="R116" s="13" t="str">
        <f>IF(ISBLANK(input_wld_az1_rack4_tor1_peer_ip),"Value Missing",input_wld_az1_rack4_tor1_peer_ip)</f>
        <v>Value Missing</v>
      </c>
      <c r="S116" s="7"/>
      <c r="T116" s="30" t="s">
        <v>6760</v>
      </c>
      <c r="U116" s="13" t="str">
        <f>IF(ISBLANK(input_wld_az1_rack5_tor1_peer_ip),"Value Missing",input_wld_az1_rack5_tor1_peer_ip)</f>
        <v>Value Missing</v>
      </c>
      <c r="V116" s="7"/>
      <c r="W116" s="30" t="s">
        <v>6760</v>
      </c>
      <c r="X116" s="13" t="str">
        <f>IF(ISBLANK(input_wld_az1_rack6_tor1_peer_ip),"Value Missing",input_wld_az1_rack6_tor1_peer_ip)</f>
        <v>Value Missing</v>
      </c>
      <c r="Y116" s="7"/>
      <c r="Z116" s="30" t="s">
        <v>6760</v>
      </c>
      <c r="AA116" s="13" t="str">
        <f>IF(ISBLANK(input_wld_az1_rack7_tor1_peer_ip),"Value Missing",input_wld_az1_rack7_tor1_peer_ip)</f>
        <v>Value Missing</v>
      </c>
      <c r="AB116" s="7"/>
      <c r="AC116" s="30" t="s">
        <v>6760</v>
      </c>
      <c r="AD116" s="13" t="str">
        <f>IF(ISBLANK(input_wld_az1_rack8_tor1_peer_ip),"Value Missing",input_wld_az1_rack8_tor1_peer_ip)</f>
        <v>Value Missing</v>
      </c>
      <c r="AE116" s="7"/>
      <c r="AF116" s="7"/>
      <c r="AG116" s="27"/>
      <c r="AH116" s="27"/>
      <c r="AI116" s="27"/>
      <c r="AJ116" s="27"/>
      <c r="AK116" s="7"/>
    </row>
    <row r="117" spans="1:37" ht="19.5" customHeight="1">
      <c r="A117" s="7"/>
      <c r="B117" s="7"/>
      <c r="C117" s="7"/>
      <c r="D117" s="7"/>
      <c r="E117" s="30" t="s">
        <v>6761</v>
      </c>
      <c r="F117" s="13" t="e">
        <f>IF(ISBLANK(input_mgmt_az1_tor1_peer_asn),"Value Missing",input_mgmt_az1_tor1_peer_asn)</f>
        <v>#REF!</v>
      </c>
      <c r="G117" s="7"/>
      <c r="H117" s="30" t="s">
        <v>6761</v>
      </c>
      <c r="I117" s="13" t="e">
        <f>IF(ISBLANK(input_wld_az1_tor1_peer_asn),"Value Missing",input_wld_az1_tor1_peer_asn)</f>
        <v>#REF!</v>
      </c>
      <c r="J117" s="7"/>
      <c r="K117" s="30" t="s">
        <v>6761</v>
      </c>
      <c r="L117" s="13" t="str">
        <f>IF(ISBLANK(input_wld_az1_rack2_tor1_peer_asn),"Value Missing",input_wld_az1_rack2_tor1_peer_asn)</f>
        <v>Value Missing</v>
      </c>
      <c r="M117" s="7"/>
      <c r="N117" s="30" t="s">
        <v>6761</v>
      </c>
      <c r="O117" s="13" t="str">
        <f>IF(ISBLANK(input_wld_az1_rack3_tor1_peer_asn),"Value Missing",input_wld_az1_rack3_tor1_peer_asn)</f>
        <v>Value Missing</v>
      </c>
      <c r="P117" s="7"/>
      <c r="Q117" s="30" t="s">
        <v>6761</v>
      </c>
      <c r="R117" s="13" t="str">
        <f>IF(ISBLANK(input_wld_az1_rack4_tor1_peer_asn),"Value Missing",input_wld_az1_rack4_tor1_peer_asn)</f>
        <v>Value Missing</v>
      </c>
      <c r="S117" s="7"/>
      <c r="T117" s="30" t="s">
        <v>6761</v>
      </c>
      <c r="U117" s="13" t="str">
        <f>IF(ISBLANK(input_wld_az1_rack5_tor1_peer_asn),"Value Missing",input_wld_az1_rack5_tor1_peer_asn)</f>
        <v>Value Missing</v>
      </c>
      <c r="V117" s="7"/>
      <c r="W117" s="30" t="s">
        <v>6761</v>
      </c>
      <c r="X117" s="13" t="str">
        <f>IF(ISBLANK(input_wld_az1_rack6_tor1_peer_asn),"Value Missing",input_wld_az1_rack6_tor1_peer_asn)</f>
        <v>Value Missing</v>
      </c>
      <c r="Y117" s="7"/>
      <c r="Z117" s="30" t="s">
        <v>6761</v>
      </c>
      <c r="AA117" s="13" t="str">
        <f>IF(ISBLANK(input_wld_az1_rack7_tor1_peer_asn),"Value Missing",input_wld_az1_rack7_tor1_peer_asn)</f>
        <v>Value Missing</v>
      </c>
      <c r="AB117" s="7"/>
      <c r="AC117" s="30" t="s">
        <v>6761</v>
      </c>
      <c r="AD117" s="13" t="str">
        <f>IF(ISBLANK(input_wld_az1_rack8_tor1_peer_asn),"Value Missing",input_wld_az1_rack8_tor1_peer_asn)</f>
        <v>Value Missing</v>
      </c>
      <c r="AE117" s="7"/>
      <c r="AF117" s="7"/>
      <c r="AG117" s="27"/>
      <c r="AH117" s="27"/>
      <c r="AI117" s="27"/>
      <c r="AJ117" s="27"/>
      <c r="AK117" s="7"/>
    </row>
    <row r="118" spans="1:37" ht="19.5" customHeight="1">
      <c r="A118" s="7"/>
      <c r="B118" s="7"/>
      <c r="C118" s="7"/>
      <c r="D118" s="7"/>
      <c r="E118" s="30" t="s">
        <v>6762</v>
      </c>
      <c r="F118" s="13" t="e">
        <f>IF(ISBLANK(input_mgmt_az1_tor1_peer_bgp_password),"Value Missing",input_mgmt_az1_tor1_peer_bgp_password)</f>
        <v>#REF!</v>
      </c>
      <c r="G118" s="53"/>
      <c r="H118" s="30" t="s">
        <v>6762</v>
      </c>
      <c r="I118" s="13" t="e">
        <f>IF(ISBLANK(input_wld_az1_tor1_peer_bgp_password),"Value Missing",input_wld_az1_tor1_peer_bgp_password)</f>
        <v>#REF!</v>
      </c>
      <c r="J118" s="53"/>
      <c r="K118" s="30" t="s">
        <v>6762</v>
      </c>
      <c r="L118" s="13" t="str">
        <f>IF(ISBLANK(input_wld_az1_rack2_tor1_peer_bgp_password),"Value Missing",input_wld_az1_rack2_tor1_peer_bgp_password)</f>
        <v>Value Missing</v>
      </c>
      <c r="M118" s="7"/>
      <c r="N118" s="30" t="s">
        <v>6762</v>
      </c>
      <c r="O118" s="13" t="str">
        <f>IF(ISBLANK(input_wld_az1_rack3_tor1_peer_bgp_password),"Value Missing",input_wld_az1_rack3_tor1_peer_bgp_password)</f>
        <v>Value Missing</v>
      </c>
      <c r="P118" s="7"/>
      <c r="Q118" s="30" t="s">
        <v>6762</v>
      </c>
      <c r="R118" s="13" t="str">
        <f>IF(ISBLANK(input_wld_az1_rack4_tor1_peer_bgp_password),"Value Missing",input_wld_az1_rack4_tor1_peer_bgp_password)</f>
        <v>Value Missing</v>
      </c>
      <c r="S118" s="7"/>
      <c r="T118" s="30" t="s">
        <v>6762</v>
      </c>
      <c r="U118" s="13" t="str">
        <f>IF(ISBLANK(input_wld_az1_rack5_tor1_peer_bgp_password),"Value Missing",input_wld_az1_rack5_tor1_peer_bgp_password)</f>
        <v>Value Missing</v>
      </c>
      <c r="V118" s="7"/>
      <c r="W118" s="30" t="s">
        <v>6762</v>
      </c>
      <c r="X118" s="13" t="str">
        <f>IF(ISBLANK(input_wld_az1_rack6_tor1_peer_bgp_password),"Value Missing",input_wld_az1_rack6_tor1_peer_bgp_password)</f>
        <v>Value Missing</v>
      </c>
      <c r="Y118" s="7"/>
      <c r="Z118" s="30" t="s">
        <v>6762</v>
      </c>
      <c r="AA118" s="13" t="str">
        <f>IF(ISBLANK(input_wld_az1_rack7_tor1_peer_bgp_password),"Value Missing",input_wld_az1_rack7_tor1_peer_bgp_password)</f>
        <v>Value Missing</v>
      </c>
      <c r="AB118" s="7"/>
      <c r="AC118" s="30" t="s">
        <v>6762</v>
      </c>
      <c r="AD118" s="13" t="str">
        <f>IF(ISBLANK(input_wld_az1_rack8_tor1_peer_bgp_password),"Value Missing",input_wld_az1_rack8_tor1_peer_bgp_password)</f>
        <v>Value Missing</v>
      </c>
      <c r="AE118" s="7"/>
      <c r="AF118" s="7"/>
      <c r="AG118" s="27"/>
      <c r="AH118" s="27"/>
      <c r="AI118" s="27"/>
      <c r="AJ118" s="27"/>
      <c r="AK118" s="7"/>
    </row>
    <row r="119" spans="1:37" ht="19.5" customHeight="1">
      <c r="A119" s="7"/>
      <c r="B119" s="7"/>
      <c r="C119" s="7"/>
      <c r="D119" s="7"/>
      <c r="E119" s="30" t="s">
        <v>6764</v>
      </c>
      <c r="F119" s="13" t="e">
        <f>IF(ISBLANK(input_mgmt_az1_tor2_peer_ip),"Value Missing",input_mgmt_az1_tor2_peer_ip)</f>
        <v>#REF!</v>
      </c>
      <c r="G119" s="7"/>
      <c r="H119" s="30" t="s">
        <v>6764</v>
      </c>
      <c r="I119" s="13" t="e">
        <f>IF(ISBLANK(input_wld_az1_tor2_peer_ip),"Value Missing",input_wld_az1_tor2_peer_ip)</f>
        <v>#REF!</v>
      </c>
      <c r="J119" s="7"/>
      <c r="K119" s="30" t="s">
        <v>6764</v>
      </c>
      <c r="L119" s="13" t="str">
        <f>IF(ISBLANK(input_wld_az1_rack2_tor2_peer_ip),"Value Missing",input_wld_az1_rack2_tor2_peer_ip)</f>
        <v>Value Missing</v>
      </c>
      <c r="M119" s="53"/>
      <c r="N119" s="30" t="s">
        <v>6764</v>
      </c>
      <c r="O119" s="13" t="str">
        <f>IF(ISBLANK(input_wld_az1_rack3_tor2_peer_ip),"Value Missing",input_wld_az1_rack3_tor2_peer_ip)</f>
        <v>Value Missing</v>
      </c>
      <c r="P119" s="7"/>
      <c r="Q119" s="30" t="s">
        <v>6764</v>
      </c>
      <c r="R119" s="13" t="str">
        <f>IF(ISBLANK(input_wld_az1_rack4_tor2_peer_ip),"Value Missing",input_wld_az1_rack4_tor2_peer_ip)</f>
        <v>Value Missing</v>
      </c>
      <c r="S119" s="7"/>
      <c r="T119" s="30" t="s">
        <v>6764</v>
      </c>
      <c r="U119" s="13" t="str">
        <f>IF(ISBLANK(input_wld_az1_rack5_tor2_peer_ip),"Value Missing",input_wld_az1_rack5_tor2_peer_ip)</f>
        <v>Value Missing</v>
      </c>
      <c r="V119" s="7"/>
      <c r="W119" s="30" t="s">
        <v>6764</v>
      </c>
      <c r="X119" s="13" t="str">
        <f>IF(ISBLANK(input_wld_az1_rack6_tor2_peer_ip),"Value Missing",input_wld_az1_rack6_tor2_peer_ip)</f>
        <v>Value Missing</v>
      </c>
      <c r="Y119" s="7"/>
      <c r="Z119" s="30" t="s">
        <v>6764</v>
      </c>
      <c r="AA119" s="13" t="str">
        <f>IF(ISBLANK(input_wld_az1_rack7_tor2_peer_ip),"Value Missing",input_wld_az1_rack7_tor2_peer_ip)</f>
        <v>Value Missing</v>
      </c>
      <c r="AB119" s="7"/>
      <c r="AC119" s="30" t="s">
        <v>6764</v>
      </c>
      <c r="AD119" s="13" t="str">
        <f>IF(ISBLANK(input_wld_az1_rack8_tor2_peer_ip),"Value Missing",input_wld_az1_rack8_tor2_peer_ip)</f>
        <v>Value Missing</v>
      </c>
      <c r="AE119" s="7"/>
      <c r="AF119" s="7"/>
      <c r="AG119" s="27"/>
      <c r="AH119" s="27"/>
      <c r="AI119" s="27"/>
      <c r="AJ119" s="27"/>
      <c r="AK119" s="7"/>
    </row>
    <row r="120" spans="1:37" ht="19.5" customHeight="1">
      <c r="A120" s="7"/>
      <c r="B120" s="7"/>
      <c r="C120" s="7"/>
      <c r="D120" s="7"/>
      <c r="E120" s="30" t="s">
        <v>6765</v>
      </c>
      <c r="F120" s="13" t="e">
        <f>IF(ISBLANK(input_mgmt_az1_tor2_peer_asn),"Value Missing",input_mgmt_az1_tor2_peer_asn)</f>
        <v>#REF!</v>
      </c>
      <c r="G120" s="7"/>
      <c r="H120" s="30" t="s">
        <v>6765</v>
      </c>
      <c r="I120" s="13" t="e">
        <f>IF(ISBLANK(input_wld_az1_tor2_peer_asn),"Value Missing",input_wld_az1_tor2_peer_asn)</f>
        <v>#REF!</v>
      </c>
      <c r="J120" s="7"/>
      <c r="K120" s="30" t="s">
        <v>6765</v>
      </c>
      <c r="L120" s="13" t="str">
        <f>IF(ISBLANK(input_wld_az1_rack2_tor2_peer_asn),"Value Missing",input_wld_az1_rack2_tor2_peer_asn)</f>
        <v>Value Missing</v>
      </c>
      <c r="M120" s="7"/>
      <c r="N120" s="30" t="s">
        <v>6765</v>
      </c>
      <c r="O120" s="13" t="str">
        <f>IF(ISBLANK(input_wld_az1_rack3_tor2_peer_asn),"Value Missing",input_wld_az1_rack3_tor2_peer_asn)</f>
        <v>Value Missing</v>
      </c>
      <c r="P120" s="7"/>
      <c r="Q120" s="30" t="s">
        <v>6765</v>
      </c>
      <c r="R120" s="13" t="str">
        <f>IF(ISBLANK(input_wld_az1_rack4_tor2_peer_asn),"Value Missing",input_wld_az1_rack4_tor2_peer_asn)</f>
        <v>Value Missing</v>
      </c>
      <c r="S120" s="7"/>
      <c r="T120" s="30" t="s">
        <v>6765</v>
      </c>
      <c r="U120" s="13" t="str">
        <f>IF(ISBLANK(input_wld_az1_rack5_tor2_peer_asn),"Value Missing",input_wld_az1_rack5_tor2_peer_asn)</f>
        <v>Value Missing</v>
      </c>
      <c r="V120" s="7"/>
      <c r="W120" s="30" t="s">
        <v>6765</v>
      </c>
      <c r="X120" s="13" t="str">
        <f>IF(ISBLANK(input_wld_az1_rack6_tor2_peer_asn),"Value Missing",input_wld_az1_rack6_tor2_peer_asn)</f>
        <v>Value Missing</v>
      </c>
      <c r="Y120" s="7"/>
      <c r="Z120" s="30" t="s">
        <v>6765</v>
      </c>
      <c r="AA120" s="13" t="str">
        <f>IF(ISBLANK(input_wld_az1_rack7_tor2_peer_asn),"Value Missing",input_wld_az1_rack7_tor2_peer_asn)</f>
        <v>Value Missing</v>
      </c>
      <c r="AB120" s="7"/>
      <c r="AC120" s="30" t="s">
        <v>6765</v>
      </c>
      <c r="AD120" s="13" t="str">
        <f>IF(ISBLANK(input_wld_az1_rack8_tor2_peer_asn),"Value Missing",input_wld_az1_rack8_tor2_peer_asn)</f>
        <v>Value Missing</v>
      </c>
      <c r="AE120" s="7"/>
      <c r="AF120" s="7"/>
      <c r="AG120" s="27"/>
      <c r="AH120" s="27"/>
      <c r="AI120" s="27"/>
      <c r="AJ120" s="27"/>
      <c r="AK120" s="7"/>
    </row>
    <row r="121" spans="1:37" ht="19.5" customHeight="1">
      <c r="A121" s="51"/>
      <c r="B121" s="7"/>
      <c r="C121" s="7"/>
      <c r="D121" s="51"/>
      <c r="E121" s="30" t="s">
        <v>6766</v>
      </c>
      <c r="F121" s="13" t="e">
        <f>IF(ISBLANK(input_mgmt_az1_tor2_peer_bgp_password),"Value Missing",input_mgmt_az1_tor2_peer_bgp_password)</f>
        <v>#REF!</v>
      </c>
      <c r="G121" s="7"/>
      <c r="H121" s="30" t="s">
        <v>6766</v>
      </c>
      <c r="I121" s="13" t="e">
        <f>IF(ISBLANK(input_wld_az1_tor2_peer_bgp_password),"Value Missing",input_wld_az1_tor2_peer_bgp_password)</f>
        <v>#REF!</v>
      </c>
      <c r="J121" s="7"/>
      <c r="K121" s="30" t="s">
        <v>6766</v>
      </c>
      <c r="L121" s="13" t="str">
        <f>IF(ISBLANK(input_wld_az1_rack2_tor2_peer_bgp_password),"Value Missing",input_wld_az1_rack2_tor2_peer_bgp_password)</f>
        <v>Value Missing</v>
      </c>
      <c r="M121" s="7"/>
      <c r="N121" s="30" t="s">
        <v>6766</v>
      </c>
      <c r="O121" s="13" t="str">
        <f>IF(ISBLANK(input_wld_az1_rack3_tor2_peer_bgp_password),"Value Missing",input_wld_az1_rack3_tor2_peer_bgp_password)</f>
        <v>Value Missing</v>
      </c>
      <c r="P121" s="7"/>
      <c r="Q121" s="30" t="s">
        <v>6766</v>
      </c>
      <c r="R121" s="13" t="str">
        <f>IF(ISBLANK(input_wld_az1_rack4_tor2_peer_bgp_password),"Value Missing",input_wld_az1_rack4_tor2_peer_bgp_password)</f>
        <v>Value Missing</v>
      </c>
      <c r="S121" s="7"/>
      <c r="T121" s="30" t="s">
        <v>6766</v>
      </c>
      <c r="U121" s="13" t="str">
        <f>IF(ISBLANK(input_wld_az1_rack5_tor2_peer_bgp_password),"Value Missing",input_wld_az1_rack5_tor2_peer_bgp_password)</f>
        <v>Value Missing</v>
      </c>
      <c r="V121" s="7"/>
      <c r="W121" s="30" t="s">
        <v>6766</v>
      </c>
      <c r="X121" s="13" t="str">
        <f>IF(ISBLANK(input_wld_az1_rack6_tor2_peer_bgp_password),"Value Missing",input_wld_az1_rack6_tor2_peer_bgp_password)</f>
        <v>Value Missing</v>
      </c>
      <c r="Y121" s="7"/>
      <c r="Z121" s="30" t="s">
        <v>6766</v>
      </c>
      <c r="AA121" s="13" t="str">
        <f>IF(ISBLANK(input_wld_az1_rack7_tor2_peer_bgp_password),"Value Missing",input_wld_az1_rack7_tor2_peer_bgp_password)</f>
        <v>Value Missing</v>
      </c>
      <c r="AB121" s="7"/>
      <c r="AC121" s="30" t="s">
        <v>6766</v>
      </c>
      <c r="AD121" s="13" t="str">
        <f>IF(ISBLANK(input_wld_az1_rack8_tor2_peer_bgp_password),"Value Missing",input_wld_az1_rack8_tor2_peer_bgp_password)</f>
        <v>Value Missing</v>
      </c>
      <c r="AE121" s="51"/>
      <c r="AF121" s="51"/>
      <c r="AG121" s="27"/>
      <c r="AH121" s="27"/>
      <c r="AI121" s="68"/>
      <c r="AJ121" s="68"/>
      <c r="AK121" s="51"/>
    </row>
    <row r="122" spans="1:37" ht="19.5" customHeight="1">
      <c r="A122" s="7"/>
      <c r="B122" s="7"/>
      <c r="C122" s="7"/>
      <c r="D122" s="7"/>
      <c r="E122" s="7"/>
      <c r="F122" s="7"/>
      <c r="G122" s="7"/>
      <c r="H122" s="7"/>
      <c r="I122" s="9"/>
      <c r="J122" s="7"/>
      <c r="K122" s="7"/>
      <c r="L122" s="9"/>
      <c r="M122" s="7"/>
      <c r="N122" s="7"/>
      <c r="O122" s="9"/>
      <c r="P122" s="7"/>
      <c r="Q122" s="7"/>
      <c r="R122" s="9"/>
      <c r="S122" s="7"/>
      <c r="T122" s="7"/>
      <c r="U122" s="9"/>
      <c r="V122" s="7"/>
      <c r="W122" s="7"/>
      <c r="X122" s="9"/>
      <c r="Y122" s="7"/>
      <c r="Z122" s="7"/>
      <c r="AA122" s="9"/>
      <c r="AB122" s="7"/>
      <c r="AC122" s="7"/>
      <c r="AD122" s="9"/>
      <c r="AE122" s="7"/>
      <c r="AF122" s="7"/>
      <c r="AG122" s="27"/>
      <c r="AH122" s="27"/>
      <c r="AI122" s="7"/>
      <c r="AJ122" s="7"/>
      <c r="AK122" s="7"/>
    </row>
    <row r="123" spans="1:37" ht="19.5" customHeight="1">
      <c r="A123" s="7"/>
      <c r="B123" s="7"/>
      <c r="C123" s="7"/>
      <c r="D123" s="7"/>
      <c r="E123" s="49" t="s">
        <v>6898</v>
      </c>
      <c r="F123" s="50"/>
      <c r="G123" s="7"/>
      <c r="H123" s="49" t="s">
        <v>6899</v>
      </c>
      <c r="I123" s="50"/>
      <c r="J123" s="7"/>
      <c r="K123" s="49" t="s">
        <v>6900</v>
      </c>
      <c r="L123" s="50"/>
      <c r="M123" s="7"/>
      <c r="N123" s="49" t="s">
        <v>6901</v>
      </c>
      <c r="O123" s="50"/>
      <c r="P123" s="7"/>
      <c r="Q123" s="49" t="s">
        <v>6902</v>
      </c>
      <c r="R123" s="50"/>
      <c r="S123" s="7"/>
      <c r="T123" s="49" t="s">
        <v>6903</v>
      </c>
      <c r="U123" s="50"/>
      <c r="V123" s="7"/>
      <c r="W123" s="49" t="s">
        <v>6904</v>
      </c>
      <c r="X123" s="50"/>
      <c r="Y123" s="7"/>
      <c r="Z123" s="49" t="s">
        <v>6905</v>
      </c>
      <c r="AA123" s="50"/>
      <c r="AB123" s="7"/>
      <c r="AC123" s="49" t="s">
        <v>6906</v>
      </c>
      <c r="AD123" s="50"/>
      <c r="AE123" s="7"/>
      <c r="AF123" s="7"/>
      <c r="AG123" s="27"/>
      <c r="AH123" s="27"/>
      <c r="AI123" s="7"/>
      <c r="AJ123" s="7"/>
      <c r="AK123" s="7"/>
    </row>
    <row r="124" spans="1:37" ht="19.5" customHeight="1">
      <c r="A124" s="7"/>
      <c r="B124" s="7"/>
      <c r="C124" s="7"/>
      <c r="D124" s="7"/>
      <c r="E124" s="52" t="s">
        <v>6780</v>
      </c>
      <c r="F124" s="52" t="s">
        <v>6781</v>
      </c>
      <c r="G124" s="7"/>
      <c r="H124" s="52" t="s">
        <v>6780</v>
      </c>
      <c r="I124" s="52" t="s">
        <v>6781</v>
      </c>
      <c r="J124" s="7"/>
      <c r="K124" s="52" t="s">
        <v>6780</v>
      </c>
      <c r="L124" s="52" t="s">
        <v>6781</v>
      </c>
      <c r="M124" s="7"/>
      <c r="N124" s="52" t="s">
        <v>6780</v>
      </c>
      <c r="O124" s="52" t="s">
        <v>6781</v>
      </c>
      <c r="P124" s="53"/>
      <c r="Q124" s="52" t="s">
        <v>6780</v>
      </c>
      <c r="R124" s="52" t="s">
        <v>6781</v>
      </c>
      <c r="S124" s="53"/>
      <c r="T124" s="52" t="s">
        <v>6780</v>
      </c>
      <c r="U124" s="52" t="s">
        <v>6781</v>
      </c>
      <c r="V124" s="53"/>
      <c r="W124" s="52" t="s">
        <v>6780</v>
      </c>
      <c r="X124" s="52" t="s">
        <v>6781</v>
      </c>
      <c r="Y124" s="53"/>
      <c r="Z124" s="52" t="s">
        <v>6780</v>
      </c>
      <c r="AA124" s="52" t="s">
        <v>6781</v>
      </c>
      <c r="AB124" s="53"/>
      <c r="AC124" s="52" t="s">
        <v>6780</v>
      </c>
      <c r="AD124" s="52" t="s">
        <v>6781</v>
      </c>
      <c r="AE124" s="7"/>
      <c r="AF124" s="7"/>
      <c r="AG124" s="27"/>
      <c r="AH124" s="27"/>
      <c r="AI124" s="7"/>
      <c r="AJ124" s="7"/>
      <c r="AK124" s="7"/>
    </row>
    <row r="125" spans="1:37" ht="19.5" customHeight="1">
      <c r="A125" s="7"/>
      <c r="B125" s="7"/>
      <c r="C125" s="7"/>
      <c r="D125" s="7"/>
      <c r="E125" s="30" t="s">
        <v>6784</v>
      </c>
      <c r="F125" s="13" t="e">
        <f>IF(ISBLANK(input_mgmt_cl01_az1_mgmt_vm_pg),"Value Missing",input_mgmt_cl01_az1_mgmt_vm_pg)</f>
        <v>#REF!</v>
      </c>
      <c r="G125" s="7"/>
      <c r="H125" s="30" t="s">
        <v>6784</v>
      </c>
      <c r="I125" s="13" t="e">
        <f>IF(ISBLANK(input_wld_cl01_az1_mgmt_vm_pg),"Value Missing",input_wld_cl01_az1_mgmt_vm_pg)</f>
        <v>#REF!</v>
      </c>
      <c r="J125" s="7"/>
      <c r="K125" s="30" t="s">
        <v>6784</v>
      </c>
      <c r="L125" s="13" t="e">
        <f>CONCATENATE(input_wld_cl01_az1_mgmt_vm_pg,"_VLAN_",wld_az1_rack2_mgmt_vm_vlan)</f>
        <v>#REF!</v>
      </c>
      <c r="M125" s="7"/>
      <c r="N125" s="30" t="s">
        <v>6784</v>
      </c>
      <c r="O125" s="13" t="e">
        <f>CONCATENATE(input_wld_cl01_az1_mgmt_vm_pg,"_VLAN_",wld_az1_rack3_mgmt_vm_vlan)</f>
        <v>#REF!</v>
      </c>
      <c r="P125" s="7"/>
      <c r="Q125" s="30" t="s">
        <v>6784</v>
      </c>
      <c r="R125" s="13" t="e">
        <f>CONCATENATE(input_wld_cl01_az1_mgmt_vm_pg,"_VLAN_",wld_az1_rack4_mgmt_vm_vlan)</f>
        <v>#REF!</v>
      </c>
      <c r="S125" s="7"/>
      <c r="T125" s="30" t="s">
        <v>6784</v>
      </c>
      <c r="U125" s="13" t="e">
        <f>CONCATENATE(input_wld_cl01_az1_mgmt_vm_pg,"_VLAN_",wld_az1_rack5_mgmt_vm_vlan)</f>
        <v>#REF!</v>
      </c>
      <c r="V125" s="7"/>
      <c r="W125" s="30" t="s">
        <v>6784</v>
      </c>
      <c r="X125" s="13" t="e">
        <f>CONCATENATE(input_wld_cl01_az1_mgmt_vm_pg,"_VLAN_",wld_az1_rack6_mgmt_vm_vlan)</f>
        <v>#REF!</v>
      </c>
      <c r="Y125" s="7"/>
      <c r="Z125" s="30" t="s">
        <v>6784</v>
      </c>
      <c r="AA125" s="13" t="e">
        <f>CONCATENATE(input_wld_cl01_az1_mgmt_vm_pg,"_VLAN_",wld_az1_rack7_mgmt_vm_vlan)</f>
        <v>#REF!</v>
      </c>
      <c r="AB125" s="7"/>
      <c r="AC125" s="30" t="s">
        <v>6784</v>
      </c>
      <c r="AD125" s="13" t="e">
        <f>CONCATENATE(input_wld_cl01_az1_mgmt_vm_pg,"_VLAN_",wld_az1_rack8_mgmt_vm_vlan)</f>
        <v>#REF!</v>
      </c>
      <c r="AE125" s="7"/>
      <c r="AF125" s="7"/>
      <c r="AG125" s="27"/>
      <c r="AH125" s="27"/>
      <c r="AI125" s="7"/>
      <c r="AJ125" s="7"/>
      <c r="AK125" s="7"/>
    </row>
    <row r="126" spans="1:37" ht="19.5" customHeight="1">
      <c r="A126" s="7"/>
      <c r="B126" s="7"/>
      <c r="C126" s="7"/>
      <c r="D126" s="7"/>
      <c r="E126" s="30" t="s">
        <v>6787</v>
      </c>
      <c r="F126" s="13" t="e">
        <f>IF(ISBLANK(input_mgmt_cl01_az1_mgmt_pg),"Value Missing",input_mgmt_cl01_az1_mgmt_pg)</f>
        <v>#REF!</v>
      </c>
      <c r="G126" s="7"/>
      <c r="H126" s="30" t="s">
        <v>6787</v>
      </c>
      <c r="I126" s="13" t="e">
        <f>IF(ISBLANK(input_wld_cl01_az1_mgmt_pg),"Value Missing",input_wld_cl01_az1_mgmt_pg)</f>
        <v>#REF!</v>
      </c>
      <c r="J126" s="7"/>
      <c r="K126" s="30" t="s">
        <v>6787</v>
      </c>
      <c r="L126" s="14" t="e">
        <f>CONCATENATE(input_wld_cl01_az1_mgmt_pg,"_VLAN_",wld_az1_rack2_mgmt_vlan)</f>
        <v>#REF!</v>
      </c>
      <c r="M126" s="7"/>
      <c r="N126" s="30" t="s">
        <v>6787</v>
      </c>
      <c r="O126" s="13" t="e">
        <f>CONCATENATE(input_wld_cl01_az1_mgmt_pg,"_VLAN_",wld_az1_rack3_mgmt_vlan)</f>
        <v>#REF!</v>
      </c>
      <c r="P126" s="7"/>
      <c r="Q126" s="30" t="s">
        <v>6787</v>
      </c>
      <c r="R126" s="13" t="e">
        <f>CONCATENATE(input_wld_cl01_az1_mgmt_pg,"_VLAN_",wld_az1_rack4_mgmt_vlan)</f>
        <v>#REF!</v>
      </c>
      <c r="S126" s="7"/>
      <c r="T126" s="30" t="s">
        <v>6787</v>
      </c>
      <c r="U126" s="13" t="e">
        <f>CONCATENATE(input_wld_cl01_az1_mgmt_pg,"_VLAN_",wld_az1_rack5_mgmt_vlan)</f>
        <v>#REF!</v>
      </c>
      <c r="V126" s="7"/>
      <c r="W126" s="30" t="s">
        <v>6787</v>
      </c>
      <c r="X126" s="13" t="e">
        <f>CONCATENATE(input_wld_cl01_az1_mgmt_pg,"_VLAN_",wld_az1_rack6_mgmt_vlan)</f>
        <v>#REF!</v>
      </c>
      <c r="Y126" s="7"/>
      <c r="Z126" s="30" t="s">
        <v>6787</v>
      </c>
      <c r="AA126" s="13" t="e">
        <f>CONCATENATE(input_wld_cl01_az1_mgmt_pg,"_VLAN_",wld_az1_rack7_mgmt_vlan)</f>
        <v>#REF!</v>
      </c>
      <c r="AB126" s="7"/>
      <c r="AC126" s="30" t="s">
        <v>6787</v>
      </c>
      <c r="AD126" s="13" t="e">
        <f>CONCATENATE(input_wld_cl01_az1_mgmt_pg,"_VLAN_",wld_az1_rack8_mgmt_vlan)</f>
        <v>#REF!</v>
      </c>
      <c r="AE126" s="7"/>
      <c r="AF126" s="7"/>
      <c r="AG126" s="27"/>
      <c r="AH126" s="27"/>
      <c r="AI126" s="7"/>
      <c r="AJ126" s="7"/>
      <c r="AK126" s="7"/>
    </row>
    <row r="127" spans="1:37" ht="19.5" customHeight="1">
      <c r="A127" s="7"/>
      <c r="B127" s="7"/>
      <c r="C127" s="7"/>
      <c r="D127" s="7"/>
      <c r="E127" s="30" t="s">
        <v>6790</v>
      </c>
      <c r="F127" s="13" t="e">
        <f>IF(ISBLANK(input_mgmt_cl01_az1_vmotion_pg),"Value Missing",input_mgmt_cl01_az1_vmotion_pg)</f>
        <v>#REF!</v>
      </c>
      <c r="G127" s="7"/>
      <c r="H127" s="30" t="s">
        <v>6790</v>
      </c>
      <c r="I127" s="13" t="e">
        <f>IF(ISBLANK(input_wld_cl01_az1_vmotion_pg),"Value Missing",input_wld_cl01_az1_vmotion_pg)</f>
        <v>#REF!</v>
      </c>
      <c r="J127" s="7"/>
      <c r="K127" s="30" t="s">
        <v>6790</v>
      </c>
      <c r="L127" s="13" t="e">
        <f>CONCATENATE(input_wld_cl01_az1_vmotion_pg,"_VLAN_",wld_az1_rack2_vmotion_vlan)</f>
        <v>#REF!</v>
      </c>
      <c r="M127" s="7"/>
      <c r="N127" s="30" t="s">
        <v>6790</v>
      </c>
      <c r="O127" s="13" t="e">
        <f>CONCATENATE(input_wld_cl01_az1_vmotion_pg,"_VLAN_",wld_az1_rack3_vmotion_vlan)</f>
        <v>#REF!</v>
      </c>
      <c r="P127" s="7"/>
      <c r="Q127" s="30" t="s">
        <v>6790</v>
      </c>
      <c r="R127" s="13" t="e">
        <f>CONCATENATE(input_wld_cl01_az1_vmotion_pg,"_VLAN_",wld_az1_rack4_vmotion_vlan)</f>
        <v>#REF!</v>
      </c>
      <c r="S127" s="7"/>
      <c r="T127" s="30" t="s">
        <v>6790</v>
      </c>
      <c r="U127" s="13" t="e">
        <f>CONCATENATE(input_wld_cl01_az1_vmotion_pg,"_VLAN_",wld_az1_rack5_vmotion_vlan)</f>
        <v>#REF!</v>
      </c>
      <c r="V127" s="7"/>
      <c r="W127" s="30" t="s">
        <v>6790</v>
      </c>
      <c r="X127" s="13" t="e">
        <f>CONCATENATE(input_wld_cl01_az1_vmotion_pg,"_VLAN_",wld_az1_rack6_vmotion_vlan)</f>
        <v>#REF!</v>
      </c>
      <c r="Y127" s="7"/>
      <c r="Z127" s="30" t="s">
        <v>6790</v>
      </c>
      <c r="AA127" s="13" t="e">
        <f>CONCATENATE(input_wld_cl01_az1_vmotion_pg,"_VLAN_",wld_az1_rack7_vmotion_vlan)</f>
        <v>#REF!</v>
      </c>
      <c r="AB127" s="7"/>
      <c r="AC127" s="30" t="s">
        <v>6790</v>
      </c>
      <c r="AD127" s="13" t="e">
        <f>CONCATENATE(input_wld_cl01_az1_vmotion_pg,"_VLAN_",wld_az1_rack8_vmotion_vlan)</f>
        <v>#REF!</v>
      </c>
      <c r="AE127" s="7"/>
      <c r="AF127" s="7"/>
      <c r="AG127" s="27"/>
      <c r="AH127" s="27"/>
      <c r="AI127" s="7"/>
      <c r="AJ127" s="7"/>
      <c r="AK127" s="7"/>
    </row>
    <row r="128" spans="1:37" ht="19.5" customHeight="1">
      <c r="A128" s="7"/>
      <c r="B128" s="7"/>
      <c r="C128" s="7"/>
      <c r="D128" s="7"/>
      <c r="E128" s="30" t="s">
        <v>6793</v>
      </c>
      <c r="F128" s="13" t="e">
        <f>IF(ISBLANK(input_mgmt_cl01_az1_vsan_pg),"Value Missing",input_mgmt_cl01_az1_vsan_pg)</f>
        <v>#REF!</v>
      </c>
      <c r="G128" s="7"/>
      <c r="H128" s="30" t="s">
        <v>6793</v>
      </c>
      <c r="I128" s="13" t="e">
        <f>IF(ISBLANK(input_wld_cl01_az1_principal_storage_pg),"Value Missing",input_wld_cl01_az1_principal_storage_pg)</f>
        <v>#REF!</v>
      </c>
      <c r="J128" s="7"/>
      <c r="K128" s="30" t="s">
        <v>6793</v>
      </c>
      <c r="L128" s="13" t="e">
        <f>CONCATENATE(input_wld_cl01_az1_principal_storage_pg,"_VLAN_",wld_az1_rack2_principal_storage_vlan)</f>
        <v>#REF!</v>
      </c>
      <c r="M128" s="7"/>
      <c r="N128" s="30" t="s">
        <v>6793</v>
      </c>
      <c r="O128" s="13" t="e">
        <f>CONCATENATE(input_wld_cl01_az1_principal_storage_pg,"_VLAN_",wld_az1_rack3_principal_storage_vlan)</f>
        <v>#REF!</v>
      </c>
      <c r="P128" s="7"/>
      <c r="Q128" s="30" t="s">
        <v>6793</v>
      </c>
      <c r="R128" s="13" t="e">
        <f>CONCATENATE(input_wld_cl01_az1_principal_storage_pg,"_VLAN_",wld_az1_rack4_principal_storage_vlan)</f>
        <v>#REF!</v>
      </c>
      <c r="S128" s="7"/>
      <c r="T128" s="30" t="s">
        <v>6793</v>
      </c>
      <c r="U128" s="13" t="e">
        <f>CONCATENATE(input_wld_cl01_az1_principal_storage_pg,"_VLAN_",wld_az1_rack5_principal_storage_vlan)</f>
        <v>#REF!</v>
      </c>
      <c r="V128" s="7"/>
      <c r="W128" s="30" t="s">
        <v>6793</v>
      </c>
      <c r="X128" s="13" t="e">
        <f>CONCATENATE(input_wld_cl01_az1_principal_storage_pg,"_VLAN_",wld_az1_rack6_principal_storage_vlan)</f>
        <v>#REF!</v>
      </c>
      <c r="Y128" s="7"/>
      <c r="Z128" s="30" t="s">
        <v>6793</v>
      </c>
      <c r="AA128" s="13" t="e">
        <f>CONCATENATE(input_wld_cl01_az1_principal_storage_pg,"_VLAN_",wld_az1_rack7_principal_storage_vlan)</f>
        <v>#REF!</v>
      </c>
      <c r="AB128" s="7"/>
      <c r="AC128" s="30" t="s">
        <v>6793</v>
      </c>
      <c r="AD128" s="13" t="e">
        <f>CONCATENATE(input_wld_cl01_az1_principal_storage_pg,"_VLAN_",wld_az1_rack8_principal_storage_vlan)</f>
        <v>#REF!</v>
      </c>
      <c r="AE128" s="7"/>
      <c r="AF128" s="7"/>
      <c r="AG128" s="27"/>
      <c r="AH128" s="27"/>
      <c r="AI128" s="7"/>
      <c r="AJ128" s="7"/>
      <c r="AK128" s="7"/>
    </row>
    <row r="129" spans="1:37" ht="19.5" customHeight="1">
      <c r="A129" s="7"/>
      <c r="B129" s="7"/>
      <c r="C129" s="7"/>
      <c r="D129" s="7"/>
      <c r="E129" s="30" t="s">
        <v>6795</v>
      </c>
      <c r="F129" s="13" t="s">
        <v>6450</v>
      </c>
      <c r="G129" s="7"/>
      <c r="H129" s="30" t="s">
        <v>6795</v>
      </c>
      <c r="I129" s="13" t="s">
        <v>6450</v>
      </c>
      <c r="J129" s="7"/>
      <c r="K129" s="30" t="s">
        <v>6802</v>
      </c>
      <c r="L129" s="13" t="e">
        <f>CONCATENATE(input_wld_cl01_az1_uplink01_pg,"_VLAN_",wld_az1_rack2_uplink01_vlan)</f>
        <v>#REF!</v>
      </c>
      <c r="M129" s="7"/>
      <c r="N129" s="30" t="s">
        <v>6802</v>
      </c>
      <c r="O129" s="13" t="e">
        <f>CONCATENATE(input_wld_cl01_az1_uplink01_pg,"_VLAN_",wld_az1_rack3_uplink01_vlan)</f>
        <v>#REF!</v>
      </c>
      <c r="P129" s="7"/>
      <c r="Q129" s="30" t="s">
        <v>6802</v>
      </c>
      <c r="R129" s="13" t="e">
        <f>CONCATENATE(input_wld_cl01_az1_uplink01_pg,"_VLAN_",wld_az1_rack4_uplink01_vlan)</f>
        <v>#REF!</v>
      </c>
      <c r="S129" s="7"/>
      <c r="T129" s="30" t="s">
        <v>6802</v>
      </c>
      <c r="U129" s="13" t="e">
        <f>CONCATENATE(input_wld_cl01_az1_uplink01_pg,"_VLAN_",wld_az1_rack5_uplink01_vlan)</f>
        <v>#REF!</v>
      </c>
      <c r="V129" s="7"/>
      <c r="W129" s="30" t="s">
        <v>6802</v>
      </c>
      <c r="X129" s="13" t="e">
        <f>CONCATENATE(input_wld_cl01_az1_uplink01_pg,"_VLAN_",wld_az1_rack6_uplink01_vlan)</f>
        <v>#REF!</v>
      </c>
      <c r="Y129" s="7"/>
      <c r="Z129" s="30" t="s">
        <v>6802</v>
      </c>
      <c r="AA129" s="13" t="e">
        <f>CONCATENATE(input_wld_cl01_az1_uplink01_pg,"_VLAN_",wld_az1_rack7_uplink01_vlan)</f>
        <v>#REF!</v>
      </c>
      <c r="AB129" s="7"/>
      <c r="AC129" s="30" t="s">
        <v>6802</v>
      </c>
      <c r="AD129" s="13" t="e">
        <f>CONCATENATE(input_wld_cl01_az1_uplink01_pg,"_VLAN_",wld_az1_rack8_uplink01_vlan)</f>
        <v>#REF!</v>
      </c>
      <c r="AE129" s="7"/>
      <c r="AF129" s="7"/>
      <c r="AG129" s="27"/>
      <c r="AH129" s="27"/>
      <c r="AI129" s="7"/>
      <c r="AJ129" s="7"/>
      <c r="AK129" s="7"/>
    </row>
    <row r="130" spans="1:37" ht="19.5" customHeight="1">
      <c r="A130" s="7"/>
      <c r="B130" s="7"/>
      <c r="C130" s="7"/>
      <c r="D130" s="7"/>
      <c r="E130" s="30" t="s">
        <v>6811</v>
      </c>
      <c r="F130" s="13" t="str">
        <f>mgmt_vrms_pg</f>
        <v>Value Missing</v>
      </c>
      <c r="G130" s="60"/>
      <c r="H130" s="30" t="s">
        <v>6811</v>
      </c>
      <c r="I130" s="13" t="str">
        <f>wld_vrms_pg</f>
        <v>Value Missing</v>
      </c>
      <c r="J130" s="7"/>
      <c r="K130" s="30" t="s">
        <v>6804</v>
      </c>
      <c r="L130" s="13" t="e">
        <f>CONCATENATE(input_wld_cl01_az1_uplink02_pg,"_VLAN_",wld_az1_rack2_uplink02_vlan)</f>
        <v>#REF!</v>
      </c>
      <c r="M130" s="7"/>
      <c r="N130" s="30" t="s">
        <v>6804</v>
      </c>
      <c r="O130" s="13" t="e">
        <f>CONCATENATE(input_wld_cl01_az1_uplink02_pg,"_VLAN_",wld_az1_rack3_uplink02_vlan)</f>
        <v>#REF!</v>
      </c>
      <c r="P130" s="7"/>
      <c r="Q130" s="30" t="s">
        <v>6804</v>
      </c>
      <c r="R130" s="13" t="e">
        <f>CONCATENATE(input_wld_cl01_az1_uplink02_pg,"_VLAN_",wld_az1_rack4_uplink02_vlan)</f>
        <v>#REF!</v>
      </c>
      <c r="S130" s="7"/>
      <c r="T130" s="30" t="s">
        <v>6804</v>
      </c>
      <c r="U130" s="13" t="e">
        <f>CONCATENATE(input_wld_cl01_az1_uplink02_pg,"_VLAN_",wld_az1_rack5_uplink02_vlan)</f>
        <v>#REF!</v>
      </c>
      <c r="V130" s="7"/>
      <c r="W130" s="30" t="s">
        <v>6804</v>
      </c>
      <c r="X130" s="13" t="e">
        <f>CONCATENATE(input_wld_cl01_az1_uplink02_pg,"_VLAN_",wld_az1_rack6_uplink02_vlan)</f>
        <v>#REF!</v>
      </c>
      <c r="Y130" s="7"/>
      <c r="Z130" s="30" t="s">
        <v>6804</v>
      </c>
      <c r="AA130" s="13" t="e">
        <f>CONCATENATE(input_wld_cl01_az1_uplink02_pg,"_VLAN_",wld_az1_rack7_uplink02_vlan)</f>
        <v>#REF!</v>
      </c>
      <c r="AB130" s="7"/>
      <c r="AC130" s="30" t="s">
        <v>6804</v>
      </c>
      <c r="AD130" s="13" t="e">
        <f>CONCATENATE(input_wld_cl01_az1_uplink02_pg,"_VLAN_",wld_az1_rack8_uplink02_vlan)</f>
        <v>#REF!</v>
      </c>
      <c r="AE130" s="7"/>
      <c r="AF130" s="7"/>
      <c r="AG130" s="27"/>
      <c r="AH130" s="27"/>
      <c r="AI130" s="7"/>
      <c r="AJ130" s="7"/>
      <c r="AK130" s="7"/>
    </row>
    <row r="131" spans="1:37" ht="19.5" customHeight="1">
      <c r="A131" s="7"/>
      <c r="B131" s="7"/>
      <c r="C131" s="7"/>
      <c r="D131" s="7"/>
      <c r="E131" s="30" t="s">
        <v>6802</v>
      </c>
      <c r="F131" s="13" t="e">
        <f>IF(ISBLANK(input_mgmt_cl01_az1_uplink01_pg),"Value Missing",input_mgmt_cl01_az1_uplink01_pg)</f>
        <v>#REF!</v>
      </c>
      <c r="G131" s="7"/>
      <c r="H131" s="30" t="s">
        <v>6802</v>
      </c>
      <c r="I131" s="13" t="e">
        <f>IF(ISBLANK(input_wld_cl01_az1_uplink01_pg),"Value Missing",input_wld_cl01_az1_uplink01_pg)</f>
        <v>#REF!</v>
      </c>
      <c r="J131" s="7"/>
      <c r="K131" s="60"/>
      <c r="L131" s="60"/>
      <c r="M131" s="7"/>
      <c r="N131" s="60"/>
      <c r="O131" s="60"/>
      <c r="P131" s="7"/>
      <c r="Q131" s="60"/>
      <c r="R131" s="60"/>
      <c r="S131" s="7"/>
      <c r="T131" s="60"/>
      <c r="U131" s="60"/>
      <c r="V131" s="7"/>
      <c r="W131" s="60"/>
      <c r="X131" s="60"/>
      <c r="Y131" s="7"/>
      <c r="Z131" s="60"/>
      <c r="AA131" s="60"/>
      <c r="AB131" s="7"/>
      <c r="AC131" s="60"/>
      <c r="AD131" s="60"/>
      <c r="AE131" s="7"/>
      <c r="AF131" s="7"/>
      <c r="AG131" s="27"/>
      <c r="AH131" s="27"/>
      <c r="AI131" s="7"/>
      <c r="AJ131" s="7"/>
      <c r="AK131" s="7"/>
    </row>
    <row r="132" spans="1:37" ht="19.5" customHeight="1">
      <c r="A132" s="7"/>
      <c r="B132" s="7"/>
      <c r="C132" s="7"/>
      <c r="D132" s="7"/>
      <c r="E132" s="30" t="s">
        <v>6804</v>
      </c>
      <c r="F132" s="13" t="e">
        <f>IF(ISBLANK(input_mgmt_cl01_az1_uplink02_pg),"Value Missing",input_mgmt_cl01_az1_uplink02_pg)</f>
        <v>#REF!</v>
      </c>
      <c r="G132" s="7"/>
      <c r="H132" s="30" t="s">
        <v>6804</v>
      </c>
      <c r="I132" s="13" t="e">
        <f>IF(ISBLANK(input_wld_cl01_az1_uplink02_pg),"Value Missing",input_wld_cl01_az1_uplink02_pg)</f>
        <v>#REF!</v>
      </c>
      <c r="J132" s="7"/>
      <c r="K132" s="60"/>
      <c r="L132" s="60"/>
      <c r="M132" s="7"/>
      <c r="N132" s="60"/>
      <c r="O132" s="60"/>
      <c r="P132" s="7"/>
      <c r="Q132" s="60"/>
      <c r="R132" s="60"/>
      <c r="S132" s="7"/>
      <c r="T132" s="60"/>
      <c r="U132" s="60"/>
      <c r="V132" s="7"/>
      <c r="W132" s="60"/>
      <c r="X132" s="60"/>
      <c r="Y132" s="7"/>
      <c r="Z132" s="60"/>
      <c r="AA132" s="60"/>
      <c r="AB132" s="7"/>
      <c r="AC132" s="60"/>
      <c r="AD132" s="60"/>
      <c r="AE132" s="7"/>
      <c r="AF132" s="7"/>
      <c r="AG132" s="27"/>
      <c r="AH132" s="27"/>
      <c r="AI132" s="7"/>
      <c r="AJ132" s="7"/>
      <c r="AK132" s="7"/>
    </row>
    <row r="133" spans="1:37" ht="19.5" customHeight="1">
      <c r="A133" s="7"/>
      <c r="B133" s="51"/>
      <c r="C133" s="51"/>
      <c r="D133" s="7"/>
      <c r="E133" s="39" t="s">
        <v>6806</v>
      </c>
      <c r="F133" s="13" t="s">
        <v>6450</v>
      </c>
      <c r="G133" s="7"/>
      <c r="H133" s="39" t="s">
        <v>6806</v>
      </c>
      <c r="I133" s="13" t="s">
        <v>6450</v>
      </c>
      <c r="J133" s="7"/>
      <c r="K133" s="60"/>
      <c r="L133" s="60"/>
      <c r="M133" s="7"/>
      <c r="N133" s="60"/>
      <c r="O133" s="60"/>
      <c r="P133" s="7"/>
      <c r="Q133" s="60"/>
      <c r="R133" s="60"/>
      <c r="S133" s="7"/>
      <c r="T133" s="60"/>
      <c r="U133" s="60"/>
      <c r="V133" s="7"/>
      <c r="W133" s="60"/>
      <c r="X133" s="60"/>
      <c r="Y133" s="7"/>
      <c r="Z133" s="60"/>
      <c r="AA133" s="60"/>
      <c r="AB133" s="7"/>
      <c r="AC133" s="60"/>
      <c r="AD133" s="60"/>
      <c r="AE133" s="7"/>
      <c r="AF133" s="7"/>
      <c r="AG133" s="27"/>
      <c r="AH133" s="27"/>
      <c r="AI133" s="7"/>
      <c r="AJ133" s="7"/>
      <c r="AK133" s="7"/>
    </row>
    <row r="134" spans="1:37" ht="19.5" customHeight="1">
      <c r="A134" s="7"/>
      <c r="B134" s="7"/>
      <c r="C134" s="7"/>
      <c r="D134" s="7"/>
      <c r="E134" s="30" t="s">
        <v>6809</v>
      </c>
      <c r="F134" s="13" t="s">
        <v>6450</v>
      </c>
      <c r="G134" s="7"/>
      <c r="H134" s="30" t="s">
        <v>6907</v>
      </c>
      <c r="I134" s="13" t="s">
        <v>6450</v>
      </c>
      <c r="J134" s="7"/>
      <c r="K134" s="60"/>
      <c r="L134" s="60"/>
      <c r="M134" s="7"/>
      <c r="N134" s="60"/>
      <c r="O134" s="60"/>
      <c r="P134" s="7"/>
      <c r="Q134" s="60"/>
      <c r="R134" s="60"/>
      <c r="S134" s="7"/>
      <c r="T134" s="60"/>
      <c r="U134" s="60"/>
      <c r="V134" s="7"/>
      <c r="W134" s="60"/>
      <c r="X134" s="60"/>
      <c r="Y134" s="7"/>
      <c r="Z134" s="60"/>
      <c r="AA134" s="60"/>
      <c r="AB134" s="7"/>
      <c r="AC134" s="60"/>
      <c r="AD134" s="60"/>
      <c r="AE134" s="7"/>
      <c r="AF134" s="7"/>
      <c r="AG134" s="27"/>
      <c r="AH134" s="27"/>
      <c r="AI134" s="7"/>
      <c r="AJ134" s="7"/>
      <c r="AK134" s="7"/>
    </row>
    <row r="135" spans="1:37" ht="19.5" customHeight="1">
      <c r="A135" s="7"/>
      <c r="B135" s="7"/>
      <c r="C135" s="7"/>
      <c r="D135" s="7"/>
      <c r="E135" s="30" t="s">
        <v>6908</v>
      </c>
      <c r="F135" s="13" t="e">
        <f>IF(ISBLANK(input_mgmt_cl01_az1_nfs_pg),"Value Missing",input_mgmt_cl01_az1_nfs_pg)</f>
        <v>#REF!</v>
      </c>
      <c r="G135" s="7"/>
      <c r="H135" s="30" t="s">
        <v>6909</v>
      </c>
      <c r="I135" s="13" t="e">
        <f>IF(ISBLANK(input_wld_cl01_az1_vsan_storage_client_pg),"Value Missing",input_wld_cl01_az1_vsan_storage_client_pg)</f>
        <v>#REF!</v>
      </c>
      <c r="J135" s="7"/>
      <c r="K135" s="60"/>
      <c r="L135" s="60"/>
      <c r="M135" s="7"/>
      <c r="N135" s="60"/>
      <c r="O135" s="60"/>
      <c r="P135" s="7"/>
      <c r="Q135" s="60"/>
      <c r="R135" s="60"/>
      <c r="S135" s="7"/>
      <c r="T135" s="60"/>
      <c r="U135" s="60"/>
      <c r="V135" s="7"/>
      <c r="W135" s="60"/>
      <c r="X135" s="60"/>
      <c r="Y135" s="7"/>
      <c r="Z135" s="60"/>
      <c r="AA135" s="60"/>
      <c r="AB135" s="7"/>
      <c r="AC135" s="60"/>
      <c r="AD135" s="60"/>
      <c r="AE135" s="7"/>
      <c r="AF135" s="7"/>
      <c r="AG135" s="27"/>
      <c r="AH135" s="27"/>
      <c r="AI135" s="7"/>
      <c r="AJ135" s="7"/>
      <c r="AK135" s="7"/>
    </row>
    <row r="136" spans="1:37" ht="19.5" customHeight="1">
      <c r="A136" s="7"/>
      <c r="B136" s="7"/>
      <c r="C136" s="7"/>
      <c r="D136" s="7"/>
      <c r="E136" s="30" t="s">
        <v>6831</v>
      </c>
      <c r="F136" s="13" t="e">
        <f>IF(ISBLANK(input_mgmt_cl01_az1_vcf_mgmt_pg),"Value Missing",input_mgmt_cl01_az1_vcf_mgmt_pg)</f>
        <v>#REF!</v>
      </c>
      <c r="G136" s="7"/>
      <c r="H136" s="60"/>
      <c r="I136" s="7"/>
      <c r="J136" s="7"/>
      <c r="K136" s="60"/>
      <c r="L136" s="60"/>
      <c r="M136" s="7"/>
      <c r="N136" s="60"/>
      <c r="O136" s="60"/>
      <c r="P136" s="7"/>
      <c r="Q136" s="60"/>
      <c r="R136" s="60"/>
      <c r="S136" s="7"/>
      <c r="T136" s="60"/>
      <c r="U136" s="60"/>
      <c r="V136" s="7"/>
      <c r="W136" s="60"/>
      <c r="X136" s="60"/>
      <c r="Y136" s="7"/>
      <c r="Z136" s="60"/>
      <c r="AA136" s="60"/>
      <c r="AB136" s="7"/>
      <c r="AC136" s="60"/>
      <c r="AD136" s="60"/>
      <c r="AE136" s="7"/>
      <c r="AF136" s="7"/>
      <c r="AG136" s="27"/>
      <c r="AH136" s="27"/>
      <c r="AI136" s="7"/>
      <c r="AJ136" s="7"/>
      <c r="AK136" s="7"/>
    </row>
    <row r="137" spans="1:37" ht="19.5" customHeight="1">
      <c r="A137" s="7"/>
      <c r="B137" s="7"/>
      <c r="C137" s="7"/>
      <c r="D137" s="7"/>
      <c r="E137" s="60"/>
      <c r="F137" s="60"/>
      <c r="G137" s="7"/>
      <c r="H137" s="60"/>
      <c r="I137" s="60"/>
      <c r="J137" s="7"/>
      <c r="K137" s="60"/>
      <c r="L137" s="60"/>
      <c r="M137" s="7"/>
      <c r="N137" s="60"/>
      <c r="O137" s="60"/>
      <c r="P137" s="7"/>
      <c r="Q137" s="60"/>
      <c r="R137" s="60"/>
      <c r="S137" s="7"/>
      <c r="T137" s="60"/>
      <c r="U137" s="60"/>
      <c r="V137" s="7"/>
      <c r="W137" s="60"/>
      <c r="X137" s="60"/>
      <c r="Y137" s="7"/>
      <c r="Z137" s="60"/>
      <c r="AA137" s="60"/>
      <c r="AB137" s="7"/>
      <c r="AC137" s="60"/>
      <c r="AD137" s="60"/>
      <c r="AE137" s="7"/>
      <c r="AF137" s="7"/>
      <c r="AG137" s="27"/>
      <c r="AH137" s="27"/>
      <c r="AI137" s="7"/>
      <c r="AJ137" s="7"/>
      <c r="AK137" s="7"/>
    </row>
    <row r="138" spans="1:37" ht="19.5" customHeight="1">
      <c r="A138" s="7"/>
      <c r="B138" s="7"/>
      <c r="C138" s="7"/>
      <c r="D138" s="7"/>
      <c r="E138" s="49" t="s">
        <v>6910</v>
      </c>
      <c r="F138" s="50"/>
      <c r="G138" s="7"/>
      <c r="H138" s="49" t="s">
        <v>6911</v>
      </c>
      <c r="I138" s="50"/>
      <c r="J138" s="7"/>
      <c r="K138" s="60"/>
      <c r="L138" s="60"/>
      <c r="M138" s="7"/>
      <c r="N138" s="60"/>
      <c r="O138" s="60"/>
      <c r="P138" s="7"/>
      <c r="Q138" s="60"/>
      <c r="R138" s="60"/>
      <c r="S138" s="7"/>
      <c r="T138" s="60"/>
      <c r="U138" s="60"/>
      <c r="V138" s="7"/>
      <c r="W138" s="60"/>
      <c r="X138" s="60"/>
      <c r="Y138" s="7"/>
      <c r="Z138" s="60"/>
      <c r="AA138" s="60"/>
      <c r="AB138" s="7"/>
      <c r="AC138" s="60"/>
      <c r="AD138" s="60"/>
      <c r="AE138" s="7"/>
      <c r="AF138" s="7"/>
      <c r="AG138" s="27"/>
      <c r="AH138" s="27"/>
      <c r="AI138" s="7"/>
      <c r="AJ138" s="7"/>
      <c r="AK138" s="7"/>
    </row>
    <row r="139" spans="1:37" ht="19.5" customHeight="1">
      <c r="A139" s="7"/>
      <c r="B139" s="7"/>
      <c r="C139" s="7"/>
      <c r="D139" s="7"/>
      <c r="E139" s="52" t="s">
        <v>6780</v>
      </c>
      <c r="F139" s="52" t="s">
        <v>6781</v>
      </c>
      <c r="G139" s="7"/>
      <c r="H139" s="52" t="s">
        <v>6780</v>
      </c>
      <c r="I139" s="52" t="s">
        <v>6781</v>
      </c>
      <c r="J139" s="7"/>
      <c r="K139" s="60"/>
      <c r="L139" s="60"/>
      <c r="M139" s="7"/>
      <c r="N139" s="60"/>
      <c r="O139" s="60"/>
      <c r="P139" s="7"/>
      <c r="Q139" s="60"/>
      <c r="R139" s="60"/>
      <c r="S139" s="7"/>
      <c r="T139" s="60"/>
      <c r="U139" s="60"/>
      <c r="V139" s="7"/>
      <c r="W139" s="60"/>
      <c r="X139" s="60"/>
      <c r="Y139" s="7"/>
      <c r="Z139" s="60"/>
      <c r="AA139" s="60"/>
      <c r="AB139" s="7"/>
      <c r="AC139" s="60"/>
      <c r="AD139" s="60"/>
      <c r="AE139" s="7"/>
      <c r="AF139" s="7"/>
      <c r="AG139" s="27"/>
      <c r="AH139" s="27"/>
      <c r="AI139" s="7"/>
      <c r="AJ139" s="7"/>
      <c r="AK139" s="7"/>
    </row>
    <row r="140" spans="1:37" ht="19.5" customHeight="1">
      <c r="A140" s="7"/>
      <c r="B140" s="7"/>
      <c r="C140" s="7"/>
      <c r="D140" s="7"/>
      <c r="E140" s="30" t="s">
        <v>6912</v>
      </c>
      <c r="F140" s="13" t="e">
        <f>IF(ISBLANK(mgmt_cl01_az1_mgmt_vm_uplink1_chosen),"Value Missing",mgmt_cl01_az1_mgmt_vm_uplink1_chosen)</f>
        <v>#REF!</v>
      </c>
      <c r="G140" s="7"/>
      <c r="H140" s="30" t="s">
        <v>6912</v>
      </c>
      <c r="I140" s="13" t="e">
        <f>IF(ISBLANK(wld_cl01_az1_mgmt_vm_uplink1_chosen),"Value Missing",wld_cl01_az1_mgmt_vm_uplink1_chosen)</f>
        <v>#REF!</v>
      </c>
      <c r="J140" s="7"/>
      <c r="K140" s="60"/>
      <c r="L140" s="60"/>
      <c r="M140" s="7"/>
      <c r="N140" s="60"/>
      <c r="O140" s="60"/>
      <c r="P140" s="7"/>
      <c r="Q140" s="60"/>
      <c r="R140" s="60"/>
      <c r="S140" s="7"/>
      <c r="T140" s="60"/>
      <c r="U140" s="60"/>
      <c r="V140" s="7"/>
      <c r="W140" s="60"/>
      <c r="X140" s="60"/>
      <c r="Y140" s="7"/>
      <c r="Z140" s="60"/>
      <c r="AA140" s="60"/>
      <c r="AB140" s="7"/>
      <c r="AC140" s="60"/>
      <c r="AD140" s="60"/>
      <c r="AE140" s="7"/>
      <c r="AF140" s="7"/>
      <c r="AG140" s="27"/>
      <c r="AH140" s="27"/>
      <c r="AI140" s="7"/>
      <c r="AJ140" s="7"/>
      <c r="AK140" s="7"/>
    </row>
    <row r="141" spans="1:37" ht="19.5" customHeight="1">
      <c r="A141" s="7"/>
      <c r="B141" s="7"/>
      <c r="C141" s="7"/>
      <c r="D141" s="7"/>
      <c r="E141" s="30" t="s">
        <v>6913</v>
      </c>
      <c r="F141" s="13" t="e">
        <f>IF(ISBLANK(mgmt_cl01_az1_mgmt_vm_uplink2_chosen),"Value Missing",mgmt_cl01_az1_mgmt_vm_uplink2_chosen)</f>
        <v>#REF!</v>
      </c>
      <c r="G141" s="7"/>
      <c r="H141" s="30" t="s">
        <v>6913</v>
      </c>
      <c r="I141" s="13" t="e">
        <f>IF(ISBLANK(wld_cl01_az1_mgmt_vm_uplink2_chosen),"Value Missing",wld_cl01_az1_mgmt_vm_uplink2_chosen)</f>
        <v>#REF!</v>
      </c>
      <c r="J141" s="7"/>
      <c r="K141" s="60"/>
      <c r="L141" s="60"/>
      <c r="M141" s="7"/>
      <c r="N141" s="60"/>
      <c r="O141" s="60"/>
      <c r="P141" s="7"/>
      <c r="Q141" s="60"/>
      <c r="R141" s="60"/>
      <c r="S141" s="7"/>
      <c r="T141" s="60"/>
      <c r="U141" s="60"/>
      <c r="V141" s="7"/>
      <c r="W141" s="60"/>
      <c r="X141" s="60"/>
      <c r="Y141" s="7"/>
      <c r="Z141" s="60"/>
      <c r="AA141" s="60"/>
      <c r="AB141" s="7"/>
      <c r="AC141" s="60"/>
      <c r="AD141" s="60"/>
      <c r="AE141" s="7"/>
      <c r="AF141" s="7"/>
      <c r="AG141" s="27"/>
      <c r="AH141" s="27"/>
      <c r="AI141" s="7"/>
      <c r="AJ141" s="7"/>
      <c r="AK141" s="7"/>
    </row>
    <row r="142" spans="1:37" ht="19.5" customHeight="1">
      <c r="A142" s="7"/>
      <c r="B142" s="7"/>
      <c r="C142" s="7"/>
      <c r="D142" s="7"/>
      <c r="E142" s="30" t="s">
        <v>6914</v>
      </c>
      <c r="F142" s="13" t="e">
        <f>IF(ISBLANK(mgmt_cl01_az1_mgmt_uplink1_chosen),"Value Missing",mgmt_cl01_az1_mgmt_uplink1_chosen)</f>
        <v>#REF!</v>
      </c>
      <c r="G142" s="7"/>
      <c r="H142" s="30" t="s">
        <v>6914</v>
      </c>
      <c r="I142" s="13" t="e">
        <f>IF(ISBLANK(wld_cl01_az1_mgmt_uplink1_chosen),"Value Missing",wld_cl01_az1_mgmt_uplink1_chosen)</f>
        <v>#REF!</v>
      </c>
      <c r="J142" s="7"/>
      <c r="K142" s="60"/>
      <c r="L142" s="60"/>
      <c r="M142" s="7"/>
      <c r="N142" s="60"/>
      <c r="O142" s="60"/>
      <c r="P142" s="7"/>
      <c r="Q142" s="60"/>
      <c r="R142" s="60"/>
      <c r="S142" s="7"/>
      <c r="T142" s="60"/>
      <c r="U142" s="60"/>
      <c r="V142" s="7"/>
      <c r="W142" s="60"/>
      <c r="X142" s="60"/>
      <c r="Y142" s="7"/>
      <c r="Z142" s="60"/>
      <c r="AA142" s="60"/>
      <c r="AB142" s="7"/>
      <c r="AC142" s="60"/>
      <c r="AD142" s="60"/>
      <c r="AE142" s="7"/>
      <c r="AF142" s="7"/>
      <c r="AG142" s="27"/>
      <c r="AH142" s="27"/>
      <c r="AI142" s="7"/>
      <c r="AJ142" s="7"/>
      <c r="AK142" s="7"/>
    </row>
    <row r="143" spans="1:37" ht="19.5" customHeight="1">
      <c r="A143" s="7"/>
      <c r="B143" s="7"/>
      <c r="C143" s="7"/>
      <c r="D143" s="7"/>
      <c r="E143" s="30" t="s">
        <v>6915</v>
      </c>
      <c r="F143" s="13" t="e">
        <f>IF(ISBLANK(mgmt_cl01_az1_mgmt_uplink2_chosen),"Value Missing",mgmt_cl01_az1_mgmt_uplink2_chosen)</f>
        <v>#REF!</v>
      </c>
      <c r="G143" s="7"/>
      <c r="H143" s="30" t="s">
        <v>6915</v>
      </c>
      <c r="I143" s="13" t="e">
        <f>IF(ISBLANK(wld_cl01_az1_mgmt_uplink2_chosen),"Value Missing",wld_cl01_az1_mgmt_uplink2_chosen)</f>
        <v>#REF!</v>
      </c>
      <c r="J143" s="7"/>
      <c r="K143" s="60"/>
      <c r="L143" s="60"/>
      <c r="M143" s="7"/>
      <c r="N143" s="60"/>
      <c r="O143" s="60"/>
      <c r="P143" s="7"/>
      <c r="Q143" s="60"/>
      <c r="R143" s="60"/>
      <c r="S143" s="7"/>
      <c r="T143" s="60"/>
      <c r="U143" s="60"/>
      <c r="V143" s="7"/>
      <c r="W143" s="60"/>
      <c r="X143" s="60"/>
      <c r="Y143" s="7"/>
      <c r="Z143" s="60"/>
      <c r="AA143" s="60"/>
      <c r="AB143" s="7"/>
      <c r="AC143" s="60"/>
      <c r="AD143" s="60"/>
      <c r="AE143" s="7"/>
      <c r="AF143" s="7"/>
      <c r="AG143" s="27"/>
      <c r="AH143" s="27"/>
      <c r="AI143" s="7"/>
      <c r="AJ143" s="7"/>
      <c r="AK143" s="7"/>
    </row>
    <row r="144" spans="1:37" ht="19.5" customHeight="1">
      <c r="A144" s="7"/>
      <c r="B144" s="7"/>
      <c r="C144" s="7"/>
      <c r="D144" s="7"/>
      <c r="E144" s="30" t="s">
        <v>6916</v>
      </c>
      <c r="F144" s="13" t="e">
        <f>IF(ISBLANK(mgmt_cl01_az1_vmotion_uplink1_chosen),"Value Missing",mgmt_cl01_az1_vmotion_uplink1_chosen)</f>
        <v>#REF!</v>
      </c>
      <c r="G144" s="7"/>
      <c r="H144" s="30" t="s">
        <v>6916</v>
      </c>
      <c r="I144" s="13" t="e">
        <f>IF(ISBLANK(wld_cl01_az1_vmotion_uplink1_chosen),"Value Missing",wld_cl01_az1_vmotion_uplink1_chosen)</f>
        <v>#REF!</v>
      </c>
      <c r="J144" s="7"/>
      <c r="K144" s="60"/>
      <c r="L144" s="60"/>
      <c r="M144" s="7"/>
      <c r="N144" s="60"/>
      <c r="O144" s="60"/>
      <c r="P144" s="7"/>
      <c r="Q144" s="60"/>
      <c r="R144" s="60"/>
      <c r="S144" s="7"/>
      <c r="T144" s="60"/>
      <c r="U144" s="60"/>
      <c r="V144" s="7"/>
      <c r="W144" s="60"/>
      <c r="X144" s="60"/>
      <c r="Y144" s="7"/>
      <c r="Z144" s="60"/>
      <c r="AA144" s="60"/>
      <c r="AB144" s="7"/>
      <c r="AC144" s="60"/>
      <c r="AD144" s="60"/>
      <c r="AE144" s="7"/>
      <c r="AF144" s="7"/>
      <c r="AG144" s="27"/>
      <c r="AH144" s="27"/>
      <c r="AI144" s="7"/>
      <c r="AJ144" s="7"/>
      <c r="AK144" s="7"/>
    </row>
    <row r="145" spans="1:37" ht="19.5" customHeight="1">
      <c r="A145" s="7"/>
      <c r="B145" s="7"/>
      <c r="C145" s="7"/>
      <c r="D145" s="7"/>
      <c r="E145" s="30" t="s">
        <v>6917</v>
      </c>
      <c r="F145" s="13" t="e">
        <f>IF(ISBLANK(mgmt_cl01_az1_vmotion_uplink2_chosen),"Value Missing",mgmt_cl01_az1_vmotion_uplink2_chosen)</f>
        <v>#REF!</v>
      </c>
      <c r="G145" s="7"/>
      <c r="H145" s="30" t="s">
        <v>6917</v>
      </c>
      <c r="I145" s="13" t="e">
        <f>IF(ISBLANK(wld_cl01_az1_vmotion_uplink2_chosen),"Value Missing",wld_cl01_az1_vmotion_uplink2_chosen)</f>
        <v>#REF!</v>
      </c>
      <c r="J145" s="7"/>
      <c r="K145" s="60"/>
      <c r="L145" s="60"/>
      <c r="M145" s="7"/>
      <c r="N145" s="60"/>
      <c r="O145" s="60"/>
      <c r="P145" s="7"/>
      <c r="Q145" s="60"/>
      <c r="R145" s="60"/>
      <c r="S145" s="7"/>
      <c r="T145" s="60"/>
      <c r="U145" s="60"/>
      <c r="V145" s="7"/>
      <c r="W145" s="60"/>
      <c r="X145" s="60"/>
      <c r="Y145" s="7"/>
      <c r="Z145" s="60"/>
      <c r="AA145" s="60"/>
      <c r="AB145" s="7"/>
      <c r="AC145" s="60"/>
      <c r="AD145" s="60"/>
      <c r="AE145" s="7"/>
      <c r="AF145" s="7"/>
      <c r="AG145" s="27"/>
      <c r="AH145" s="27"/>
      <c r="AI145" s="7"/>
      <c r="AJ145" s="7"/>
      <c r="AK145" s="7"/>
    </row>
    <row r="146" spans="1:37" ht="19.5" customHeight="1">
      <c r="A146" s="7"/>
      <c r="B146" s="7"/>
      <c r="C146" s="7"/>
      <c r="D146" s="7"/>
      <c r="E146" s="30" t="s">
        <v>6918</v>
      </c>
      <c r="F146" s="13" t="e">
        <f>IF(ISBLANK(mgmt_cl01_az1_vsan_uplink1_chosen),"Value Missing",mgmt_cl01_az1_vsan_uplink1_chosen)</f>
        <v>#REF!</v>
      </c>
      <c r="G146" s="7"/>
      <c r="H146" s="30" t="s">
        <v>6918</v>
      </c>
      <c r="I146" s="13" t="e">
        <f>IF(ISBLANK(wld_cl01_az1_vsan_uplink1_chosen),"Value Missing",wld_cl01_az1_vsan_uplink1_chosen)</f>
        <v>#REF!</v>
      </c>
      <c r="J146" s="7"/>
      <c r="K146" s="60"/>
      <c r="L146" s="60"/>
      <c r="M146" s="7"/>
      <c r="N146" s="60"/>
      <c r="O146" s="60"/>
      <c r="P146" s="7"/>
      <c r="Q146" s="60"/>
      <c r="R146" s="60"/>
      <c r="S146" s="7"/>
      <c r="T146" s="60"/>
      <c r="U146" s="60"/>
      <c r="V146" s="7"/>
      <c r="W146" s="60"/>
      <c r="X146" s="60"/>
      <c r="Y146" s="7"/>
      <c r="Z146" s="60"/>
      <c r="AA146" s="60"/>
      <c r="AB146" s="7"/>
      <c r="AC146" s="60"/>
      <c r="AD146" s="60"/>
      <c r="AE146" s="7"/>
      <c r="AF146" s="7"/>
      <c r="AG146" s="27"/>
      <c r="AH146" s="27"/>
      <c r="AI146" s="7"/>
      <c r="AJ146" s="7"/>
      <c r="AK146" s="7"/>
    </row>
    <row r="147" spans="1:37" ht="19.5" customHeight="1">
      <c r="A147" s="7"/>
      <c r="B147" s="7"/>
      <c r="C147" s="7"/>
      <c r="D147" s="7"/>
      <c r="E147" s="30" t="s">
        <v>6919</v>
      </c>
      <c r="F147" s="13" t="e">
        <f>IF(ISBLANK(mgmt_cl01_az1_vsan_uplink2_chosen),"Value Missing",mgmt_cl01_az1_vsan_uplink2_chosen)</f>
        <v>#REF!</v>
      </c>
      <c r="G147" s="7"/>
      <c r="H147" s="30" t="s">
        <v>6919</v>
      </c>
      <c r="I147" s="13" t="e">
        <f>IF(ISBLANK(wld_cl01_az1_vsan_uplink2_chosen),"Value Missing",wld_cl01_az1_vsan_uplink2_chosen)</f>
        <v>#REF!</v>
      </c>
      <c r="J147" s="7"/>
      <c r="K147" s="60"/>
      <c r="L147" s="60"/>
      <c r="M147" s="7"/>
      <c r="N147" s="60"/>
      <c r="O147" s="60"/>
      <c r="P147" s="7"/>
      <c r="Q147" s="60"/>
      <c r="R147" s="60"/>
      <c r="S147" s="7"/>
      <c r="T147" s="60"/>
      <c r="U147" s="60"/>
      <c r="V147" s="7"/>
      <c r="W147" s="60"/>
      <c r="X147" s="60"/>
      <c r="Y147" s="7"/>
      <c r="Z147" s="60"/>
      <c r="AA147" s="60"/>
      <c r="AB147" s="7"/>
      <c r="AC147" s="60"/>
      <c r="AD147" s="60"/>
      <c r="AE147" s="7"/>
      <c r="AF147" s="7"/>
      <c r="AG147" s="27"/>
      <c r="AH147" s="27"/>
      <c r="AI147" s="7"/>
      <c r="AJ147" s="7"/>
      <c r="AK147" s="7"/>
    </row>
    <row r="148" spans="1:37" ht="19.5" customHeight="1">
      <c r="A148" s="7"/>
      <c r="B148" s="7"/>
      <c r="C148" s="7"/>
      <c r="D148" s="7"/>
      <c r="E148" s="39" t="s">
        <v>6920</v>
      </c>
      <c r="F148" s="13" t="e">
        <f>IF(ISBLANK(mgmt_cl01_az1_nsx_uplink1_chosen),"Value Missing",mgmt_cl01_az1_nsx_uplink1_chosen)</f>
        <v>#REF!</v>
      </c>
      <c r="G148" s="7"/>
      <c r="H148" s="39" t="s">
        <v>6920</v>
      </c>
      <c r="I148" s="13" t="e">
        <f>IF(ISBLANK(wld_cl01_az1_nsx_uplink1_chosen),"Value Missing",wld_cl01_az1_nsx_uplink1_chosen)</f>
        <v>#REF!</v>
      </c>
      <c r="J148" s="7"/>
      <c r="K148" s="60"/>
      <c r="L148" s="60"/>
      <c r="M148" s="7"/>
      <c r="N148" s="60"/>
      <c r="O148" s="60"/>
      <c r="P148" s="7"/>
      <c r="Q148" s="60"/>
      <c r="R148" s="60"/>
      <c r="S148" s="7"/>
      <c r="T148" s="60"/>
      <c r="U148" s="60"/>
      <c r="V148" s="7"/>
      <c r="W148" s="60"/>
      <c r="X148" s="60"/>
      <c r="Y148" s="7"/>
      <c r="Z148" s="60"/>
      <c r="AA148" s="60"/>
      <c r="AB148" s="7"/>
      <c r="AC148" s="60"/>
      <c r="AD148" s="60"/>
      <c r="AE148" s="7"/>
      <c r="AF148" s="7"/>
      <c r="AG148" s="27"/>
      <c r="AH148" s="27"/>
      <c r="AI148" s="7"/>
      <c r="AJ148" s="7"/>
      <c r="AK148" s="7"/>
    </row>
    <row r="149" spans="1:37" ht="19.5" customHeight="1">
      <c r="A149" s="7"/>
      <c r="B149" s="7"/>
      <c r="C149" s="7"/>
      <c r="D149" s="7"/>
      <c r="E149" s="30" t="s">
        <v>6921</v>
      </c>
      <c r="F149" s="13" t="e">
        <f>IF(ISBLANK(mgmt_cl01_az1_nsx_uplink2_chosen),"Value Missing",mgmt_cl01_az1_nsx_uplink2_chosen)</f>
        <v>#REF!</v>
      </c>
      <c r="G149" s="7"/>
      <c r="H149" s="30" t="s">
        <v>6921</v>
      </c>
      <c r="I149" s="13" t="e">
        <f>IF(ISBLANK(wld_cl01_az1_nsx_uplink2_chosen),"Value Missing",wld_cl01_az1_nsx_uplink2_chosen)</f>
        <v>#REF!</v>
      </c>
      <c r="J149" s="7"/>
      <c r="K149" s="60"/>
      <c r="L149" s="60"/>
      <c r="M149" s="7"/>
      <c r="N149" s="60"/>
      <c r="O149" s="60"/>
      <c r="P149" s="7"/>
      <c r="Q149" s="60"/>
      <c r="R149" s="60"/>
      <c r="S149" s="7"/>
      <c r="T149" s="60"/>
      <c r="U149" s="60"/>
      <c r="V149" s="7"/>
      <c r="W149" s="60"/>
      <c r="X149" s="60"/>
      <c r="Y149" s="7"/>
      <c r="Z149" s="60"/>
      <c r="AA149" s="60"/>
      <c r="AB149" s="7"/>
      <c r="AC149" s="60"/>
      <c r="AD149" s="60"/>
      <c r="AE149" s="7"/>
      <c r="AF149" s="7"/>
      <c r="AG149" s="27"/>
      <c r="AH149" s="27"/>
      <c r="AI149" s="7"/>
      <c r="AJ149" s="7"/>
      <c r="AK149" s="7"/>
    </row>
    <row r="150" spans="1:37" ht="19.5" customHeight="1">
      <c r="A150" s="7"/>
      <c r="B150" s="7"/>
      <c r="C150" s="7"/>
      <c r="D150" s="7"/>
      <c r="E150" s="30" t="s">
        <v>6922</v>
      </c>
      <c r="F150" s="13" t="e">
        <f>IF(ISBLANK(mgmt_cl01_az1_nfs_uplink1_chosen),"Value Missing",mgmt_cl01_az1_nfs_uplink1_chosen)</f>
        <v>#REF!</v>
      </c>
      <c r="G150" s="7"/>
      <c r="H150" s="30" t="s">
        <v>6923</v>
      </c>
      <c r="I150" s="13" t="e">
        <f>wld_cl01_az1_vsan_storage_client_uplink1_chosen</f>
        <v>#REF!</v>
      </c>
      <c r="J150" s="7"/>
      <c r="K150" s="60"/>
      <c r="L150" s="60"/>
      <c r="M150" s="7"/>
      <c r="N150" s="60"/>
      <c r="O150" s="60"/>
      <c r="P150" s="7"/>
      <c r="Q150" s="60"/>
      <c r="R150" s="60"/>
      <c r="S150" s="7"/>
      <c r="T150" s="60"/>
      <c r="U150" s="60"/>
      <c r="V150" s="7"/>
      <c r="W150" s="60"/>
      <c r="X150" s="60"/>
      <c r="Y150" s="7"/>
      <c r="Z150" s="60"/>
      <c r="AA150" s="60"/>
      <c r="AB150" s="7"/>
      <c r="AC150" s="60"/>
      <c r="AD150" s="60"/>
      <c r="AE150" s="7"/>
      <c r="AF150" s="7"/>
      <c r="AG150" s="27"/>
      <c r="AH150" s="27"/>
      <c r="AI150" s="7"/>
      <c r="AJ150" s="7"/>
      <c r="AK150" s="7"/>
    </row>
    <row r="151" spans="1:37" ht="19.5" customHeight="1">
      <c r="A151" s="7"/>
      <c r="B151" s="7"/>
      <c r="C151" s="7"/>
      <c r="D151" s="7"/>
      <c r="E151" s="30" t="s">
        <v>6924</v>
      </c>
      <c r="F151" s="13" t="e">
        <f>IF(ISBLANK(mgmt_cl01_az1_nfs_uplink2_chosen),"Value Missing",mgmt_cl01_az1_nfs_uplink2_chosen)</f>
        <v>#REF!</v>
      </c>
      <c r="G151" s="7"/>
      <c r="H151" s="30" t="s">
        <v>6923</v>
      </c>
      <c r="I151" s="13" t="e">
        <f>wld_cl01_az1_vsan_storage_client_uplink2_chosen</f>
        <v>#REF!</v>
      </c>
      <c r="J151" s="7"/>
      <c r="K151" s="60"/>
      <c r="L151" s="60"/>
      <c r="M151" s="7"/>
      <c r="N151" s="60"/>
      <c r="O151" s="60"/>
      <c r="P151" s="7"/>
      <c r="Q151" s="60"/>
      <c r="R151" s="60"/>
      <c r="S151" s="7"/>
      <c r="T151" s="60"/>
      <c r="U151" s="60"/>
      <c r="V151" s="7"/>
      <c r="W151" s="60"/>
      <c r="X151" s="60"/>
      <c r="Y151" s="7"/>
      <c r="Z151" s="60"/>
      <c r="AA151" s="60"/>
      <c r="AB151" s="7"/>
      <c r="AC151" s="60"/>
      <c r="AD151" s="60"/>
      <c r="AE151" s="7"/>
      <c r="AF151" s="7"/>
      <c r="AG151" s="27"/>
      <c r="AH151" s="27"/>
      <c r="AI151" s="7"/>
      <c r="AJ151" s="7"/>
      <c r="AK151" s="7"/>
    </row>
    <row r="152" spans="1:37" ht="19.5" customHeight="1">
      <c r="A152" s="7"/>
      <c r="B152" s="7"/>
      <c r="C152" s="7"/>
      <c r="D152" s="7"/>
      <c r="E152" s="60"/>
      <c r="F152" s="60"/>
      <c r="G152" s="7"/>
      <c r="H152" s="60"/>
      <c r="I152" s="60"/>
      <c r="J152" s="7"/>
      <c r="K152" s="60"/>
      <c r="L152" s="60"/>
      <c r="M152" s="7"/>
      <c r="N152" s="60"/>
      <c r="O152" s="60"/>
      <c r="P152" s="7"/>
      <c r="Q152" s="60"/>
      <c r="R152" s="60"/>
      <c r="S152" s="7"/>
      <c r="T152" s="60"/>
      <c r="U152" s="60"/>
      <c r="V152" s="7"/>
      <c r="W152" s="60"/>
      <c r="X152" s="60"/>
      <c r="Y152" s="7"/>
      <c r="Z152" s="60"/>
      <c r="AA152" s="60"/>
      <c r="AB152" s="7"/>
      <c r="AC152" s="60"/>
      <c r="AD152" s="60"/>
      <c r="AE152" s="7"/>
      <c r="AF152" s="7"/>
      <c r="AG152" s="27"/>
      <c r="AH152" s="27"/>
      <c r="AI152" s="7"/>
      <c r="AJ152" s="7"/>
      <c r="AK152" s="7"/>
    </row>
    <row r="153" spans="1:37" ht="19.5" customHeight="1">
      <c r="A153" s="7"/>
      <c r="B153" s="7"/>
      <c r="C153" s="7"/>
      <c r="D153" s="7"/>
      <c r="E153" s="49" t="s">
        <v>6925</v>
      </c>
      <c r="F153" s="50"/>
      <c r="G153" s="7"/>
      <c r="H153" s="49" t="s">
        <v>6926</v>
      </c>
      <c r="I153" s="50"/>
      <c r="J153" s="7"/>
      <c r="K153" s="60"/>
      <c r="L153" s="60"/>
      <c r="M153" s="7"/>
      <c r="N153" s="60"/>
      <c r="O153" s="60"/>
      <c r="P153" s="7"/>
      <c r="Q153" s="60"/>
      <c r="R153" s="60"/>
      <c r="S153" s="7"/>
      <c r="T153" s="60"/>
      <c r="U153" s="60"/>
      <c r="V153" s="7"/>
      <c r="W153" s="60"/>
      <c r="X153" s="60"/>
      <c r="Y153" s="7"/>
      <c r="Z153" s="60"/>
      <c r="AA153" s="60"/>
      <c r="AB153" s="7"/>
      <c r="AC153" s="60"/>
      <c r="AD153" s="60"/>
      <c r="AE153" s="7"/>
      <c r="AF153" s="7"/>
      <c r="AG153" s="27"/>
      <c r="AH153" s="27"/>
      <c r="AI153" s="7"/>
      <c r="AJ153" s="7"/>
      <c r="AK153" s="7"/>
    </row>
    <row r="154" spans="1:37" ht="19.5" customHeight="1">
      <c r="A154" s="7"/>
      <c r="B154" s="7"/>
      <c r="C154" s="7"/>
      <c r="D154" s="7"/>
      <c r="E154" s="52" t="s">
        <v>6780</v>
      </c>
      <c r="F154" s="52" t="s">
        <v>6781</v>
      </c>
      <c r="G154" s="7"/>
      <c r="H154" s="52" t="s">
        <v>6780</v>
      </c>
      <c r="I154" s="52" t="s">
        <v>6781</v>
      </c>
      <c r="J154" s="7"/>
      <c r="K154" s="60"/>
      <c r="L154" s="60"/>
      <c r="M154" s="7"/>
      <c r="N154" s="60"/>
      <c r="O154" s="60"/>
      <c r="P154" s="7"/>
      <c r="Q154" s="60"/>
      <c r="R154" s="60"/>
      <c r="S154" s="7"/>
      <c r="T154" s="60"/>
      <c r="U154" s="60"/>
      <c r="V154" s="7"/>
      <c r="W154" s="60"/>
      <c r="X154" s="60"/>
      <c r="Y154" s="7"/>
      <c r="Z154" s="60"/>
      <c r="AA154" s="60"/>
      <c r="AB154" s="7"/>
      <c r="AC154" s="60"/>
      <c r="AD154" s="60"/>
      <c r="AE154" s="7"/>
      <c r="AF154" s="7"/>
      <c r="AG154" s="27"/>
      <c r="AH154" s="27"/>
      <c r="AI154" s="7"/>
      <c r="AJ154" s="7"/>
      <c r="AK154" s="7"/>
    </row>
    <row r="155" spans="1:37" ht="19.5" customHeight="1">
      <c r="A155" s="7"/>
      <c r="B155" s="7"/>
      <c r="C155" s="7"/>
      <c r="D155" s="7"/>
      <c r="E155" s="30" t="s">
        <v>6927</v>
      </c>
      <c r="F155" s="13" t="e">
        <f>IF(ISBLANK(mgmt_cl01_az1_mgmt_vm_lbt_chosen),"Value Missing",mgmt_cl01_az1_mgmt_vm_lbt_chosen)</f>
        <v>#REF!</v>
      </c>
      <c r="G155" s="7"/>
      <c r="H155" s="30" t="s">
        <v>6927</v>
      </c>
      <c r="I155" s="13" t="e">
        <f>IF(ISBLANK(wld_cl01_az1_mgmt_vm_lbt_chosen),"Value Missing",wld_cl01_az1_mgmt_vm_lbt_chosen)</f>
        <v>#REF!</v>
      </c>
      <c r="J155" s="7"/>
      <c r="K155" s="60"/>
      <c r="L155" s="7"/>
      <c r="M155" s="7"/>
      <c r="N155" s="60"/>
      <c r="O155" s="60"/>
      <c r="P155" s="7"/>
      <c r="Q155" s="60"/>
      <c r="R155" s="60"/>
      <c r="S155" s="7"/>
      <c r="T155" s="60"/>
      <c r="U155" s="60"/>
      <c r="V155" s="7"/>
      <c r="W155" s="60"/>
      <c r="X155" s="60"/>
      <c r="Y155" s="7"/>
      <c r="Z155" s="60"/>
      <c r="AA155" s="60"/>
      <c r="AB155" s="7"/>
      <c r="AC155" s="60"/>
      <c r="AD155" s="60"/>
      <c r="AE155" s="7"/>
      <c r="AF155" s="7"/>
      <c r="AG155" s="27"/>
      <c r="AH155" s="27"/>
      <c r="AI155" s="7"/>
      <c r="AJ155" s="7"/>
      <c r="AK155" s="7"/>
    </row>
    <row r="156" spans="1:37" ht="19.5" customHeight="1">
      <c r="A156" s="7"/>
      <c r="B156" s="7"/>
      <c r="C156" s="7"/>
      <c r="D156" s="7"/>
      <c r="E156" s="30" t="s">
        <v>6928</v>
      </c>
      <c r="F156" s="13" t="e">
        <f>IF(ISBLANK(mgmt_cl01_az1_mgmt_lbt_chosen),"Value Missing",mgmt_cl01_az1_mgmt_lbt_chosen)</f>
        <v>#REF!</v>
      </c>
      <c r="G156" s="7"/>
      <c r="H156" s="30" t="s">
        <v>6928</v>
      </c>
      <c r="I156" s="13" t="e">
        <f>IF(ISBLANK(wld_cl01_az1_mgmt_lbt_chosen),"Value Missing",wld_cl01_az1_mgmt_lbt_chosen)</f>
        <v>#REF!</v>
      </c>
      <c r="J156" s="7"/>
      <c r="K156" s="60"/>
      <c r="L156" s="60"/>
      <c r="M156" s="7"/>
      <c r="N156" s="60"/>
      <c r="O156" s="60"/>
      <c r="P156" s="7"/>
      <c r="Q156" s="60"/>
      <c r="R156" s="60"/>
      <c r="S156" s="7"/>
      <c r="T156" s="60"/>
      <c r="U156" s="60"/>
      <c r="V156" s="7"/>
      <c r="W156" s="60"/>
      <c r="X156" s="60"/>
      <c r="Y156" s="7"/>
      <c r="Z156" s="60"/>
      <c r="AA156" s="60"/>
      <c r="AB156" s="7"/>
      <c r="AC156" s="60"/>
      <c r="AD156" s="60"/>
      <c r="AE156" s="7"/>
      <c r="AF156" s="7"/>
      <c r="AG156" s="27"/>
      <c r="AH156" s="27"/>
      <c r="AI156" s="7"/>
      <c r="AJ156" s="7"/>
      <c r="AK156" s="7"/>
    </row>
    <row r="157" spans="1:37" ht="19.5" customHeight="1">
      <c r="A157" s="7"/>
      <c r="B157" s="7"/>
      <c r="C157" s="7"/>
      <c r="D157" s="7"/>
      <c r="E157" s="30" t="s">
        <v>6929</v>
      </c>
      <c r="F157" s="13" t="e">
        <f>IF(ISBLANK(mgmt_cl01_az1_vmotion_lbt_chosen),"Value Missing",mgmt_cl01_az1_vmotion_lbt_chosen)</f>
        <v>#REF!</v>
      </c>
      <c r="G157" s="7"/>
      <c r="H157" s="30" t="s">
        <v>6929</v>
      </c>
      <c r="I157" s="13" t="e">
        <f>IF(ISBLANK(wld_cl01_az1_vmotion_lbt_chosen),"Value Missing",wld_cl01_az1_vmotion_lbt_chosen)</f>
        <v>#REF!</v>
      </c>
      <c r="J157" s="7"/>
      <c r="K157" s="60"/>
      <c r="L157" s="60"/>
      <c r="M157" s="9"/>
      <c r="N157" s="60"/>
      <c r="O157" s="60"/>
      <c r="P157" s="7"/>
      <c r="Q157" s="60"/>
      <c r="R157" s="60"/>
      <c r="S157" s="7"/>
      <c r="T157" s="60"/>
      <c r="U157" s="60"/>
      <c r="V157" s="7"/>
      <c r="W157" s="60"/>
      <c r="X157" s="60"/>
      <c r="Y157" s="7"/>
      <c r="Z157" s="60"/>
      <c r="AA157" s="60"/>
      <c r="AB157" s="7"/>
      <c r="AC157" s="60"/>
      <c r="AD157" s="60"/>
      <c r="AE157" s="7"/>
      <c r="AF157" s="7"/>
      <c r="AG157" s="27"/>
      <c r="AH157" s="27"/>
      <c r="AI157" s="7"/>
      <c r="AJ157" s="7"/>
      <c r="AK157" s="7"/>
    </row>
    <row r="158" spans="1:37" ht="19.5" customHeight="1">
      <c r="A158" s="7"/>
      <c r="B158" s="7"/>
      <c r="C158" s="7"/>
      <c r="D158" s="7"/>
      <c r="E158" s="30" t="s">
        <v>6930</v>
      </c>
      <c r="F158" s="13" t="e">
        <f>IF(ISBLANK(mgmt_cl01_az1_vsan_lbt_chosen),"Value Missing",mgmt_cl01_az1_vsan_lbt_chosen)</f>
        <v>#REF!</v>
      </c>
      <c r="G158" s="53"/>
      <c r="H158" s="30" t="s">
        <v>6930</v>
      </c>
      <c r="I158" s="13" t="e">
        <f>IF(ISBLANK(wld_cl01_az1_vsan_lbt_chosen),"Value Missing",wld_cl01_az1_vsan_lbt_chosen)</f>
        <v>#REF!</v>
      </c>
      <c r="J158" s="53"/>
      <c r="K158" s="60"/>
      <c r="L158" s="60"/>
      <c r="M158" s="7"/>
      <c r="N158" s="60"/>
      <c r="O158" s="60"/>
      <c r="P158" s="7"/>
      <c r="Q158" s="60"/>
      <c r="R158" s="60"/>
      <c r="S158" s="7"/>
      <c r="T158" s="60"/>
      <c r="U158" s="60"/>
      <c r="V158" s="7"/>
      <c r="W158" s="60"/>
      <c r="X158" s="60"/>
      <c r="Y158" s="7"/>
      <c r="Z158" s="60"/>
      <c r="AA158" s="60"/>
      <c r="AB158" s="7"/>
      <c r="AC158" s="60"/>
      <c r="AD158" s="60"/>
      <c r="AE158" s="7"/>
      <c r="AF158" s="7"/>
      <c r="AG158" s="27"/>
      <c r="AH158" s="27"/>
      <c r="AI158" s="7"/>
      <c r="AJ158" s="7"/>
      <c r="AK158" s="7"/>
    </row>
    <row r="159" spans="1:37" ht="19.5" customHeight="1">
      <c r="A159" s="7"/>
      <c r="B159" s="7"/>
      <c r="C159" s="7"/>
      <c r="D159" s="7"/>
      <c r="E159" s="30" t="s">
        <v>6931</v>
      </c>
      <c r="F159" s="13" t="e">
        <f>IF(ISBLANK(mgmt_cl01_az1_nsx_lbt_chosen),"Value Missing",mgmt_cl01_az1_nsx_lbt_chosen)</f>
        <v>#REF!</v>
      </c>
      <c r="G159" s="7"/>
      <c r="H159" s="30" t="s">
        <v>6787</v>
      </c>
      <c r="I159" s="13" t="e">
        <f>IF(ISBLANK(wld_cl01_az1_nsx_lbt_chosen),"Value Missing",wld_cl01_az1_nsx_lbt_chosen)</f>
        <v>#REF!</v>
      </c>
      <c r="J159" s="7"/>
      <c r="K159" s="60"/>
      <c r="L159" s="60"/>
      <c r="M159" s="53"/>
      <c r="N159" s="60"/>
      <c r="O159" s="60"/>
      <c r="P159" s="7"/>
      <c r="Q159" s="60"/>
      <c r="R159" s="60"/>
      <c r="S159" s="7"/>
      <c r="T159" s="60"/>
      <c r="U159" s="60"/>
      <c r="V159" s="7"/>
      <c r="W159" s="60"/>
      <c r="X159" s="60"/>
      <c r="Y159" s="7"/>
      <c r="Z159" s="60"/>
      <c r="AA159" s="60"/>
      <c r="AB159" s="7"/>
      <c r="AC159" s="60"/>
      <c r="AD159" s="60"/>
      <c r="AE159" s="7"/>
      <c r="AF159" s="7"/>
      <c r="AG159" s="27"/>
      <c r="AH159" s="27"/>
      <c r="AI159" s="7"/>
      <c r="AJ159" s="7"/>
      <c r="AK159" s="7"/>
    </row>
    <row r="160" spans="1:37" ht="19.5" customHeight="1">
      <c r="A160" s="7"/>
      <c r="B160" s="7"/>
      <c r="C160" s="7"/>
      <c r="D160" s="7"/>
      <c r="E160" s="30" t="s">
        <v>6932</v>
      </c>
      <c r="F160" s="13"/>
      <c r="G160" s="7"/>
      <c r="H160" s="30" t="s">
        <v>6932</v>
      </c>
      <c r="I160" s="13" t="e">
        <f>IF(ISBLANK(wld_cl01_az1_vsan_storage_client_lbt_chosen),"Value Missing",wld_cl01_az1_vsan_storage_client_lbt_chosen)</f>
        <v>#REF!</v>
      </c>
      <c r="J160" s="7"/>
      <c r="K160" s="60"/>
      <c r="L160" s="60"/>
      <c r="M160" s="7"/>
      <c r="N160" s="60"/>
      <c r="O160" s="60"/>
      <c r="P160" s="7"/>
      <c r="Q160" s="60"/>
      <c r="R160" s="60"/>
      <c r="S160" s="7"/>
      <c r="T160" s="60"/>
      <c r="U160" s="60"/>
      <c r="V160" s="7"/>
      <c r="W160" s="60"/>
      <c r="X160" s="60"/>
      <c r="Y160" s="7"/>
      <c r="Z160" s="60"/>
      <c r="AA160" s="60"/>
      <c r="AB160" s="7"/>
      <c r="AC160" s="60"/>
      <c r="AD160" s="60"/>
      <c r="AE160" s="7"/>
      <c r="AF160" s="7"/>
      <c r="AG160" s="27"/>
      <c r="AH160" s="27"/>
      <c r="AI160" s="7"/>
      <c r="AJ160" s="7"/>
      <c r="AK160" s="7"/>
    </row>
    <row r="161" spans="1:37" ht="19.5" customHeight="1">
      <c r="A161" s="7"/>
      <c r="B161" s="7"/>
      <c r="C161" s="7"/>
      <c r="D161" s="7"/>
      <c r="E161" s="30" t="s">
        <v>6933</v>
      </c>
      <c r="F161" s="13" t="e">
        <f>IF(ISBLANK(mgmt_cl01_az1_nfs_lbt_chosen),"Value Missing",mgmt_cl01_az1_nfs_lbt_chosen)</f>
        <v>#REF!</v>
      </c>
      <c r="G161" s="7"/>
      <c r="H161" s="60"/>
      <c r="I161" s="9"/>
      <c r="J161" s="7"/>
      <c r="K161" s="60"/>
      <c r="L161" s="60"/>
      <c r="M161" s="7"/>
      <c r="N161" s="60"/>
      <c r="O161" s="60"/>
      <c r="P161" s="7"/>
      <c r="Q161" s="60"/>
      <c r="R161" s="60"/>
      <c r="S161" s="7"/>
      <c r="T161" s="60"/>
      <c r="U161" s="60"/>
      <c r="V161" s="7"/>
      <c r="W161" s="60"/>
      <c r="X161" s="60"/>
      <c r="Y161" s="7"/>
      <c r="Z161" s="60"/>
      <c r="AA161" s="60"/>
      <c r="AB161" s="7"/>
      <c r="AC161" s="60"/>
      <c r="AD161" s="60"/>
      <c r="AE161" s="7"/>
      <c r="AF161" s="7"/>
      <c r="AG161" s="27"/>
      <c r="AH161" s="27"/>
      <c r="AI161" s="27"/>
      <c r="AJ161" s="7"/>
      <c r="AK161" s="7"/>
    </row>
    <row r="162" spans="1:37" ht="19.5" customHeight="1">
      <c r="A162" s="7"/>
      <c r="B162" s="7"/>
      <c r="C162" s="7"/>
      <c r="D162" s="7"/>
      <c r="E162" s="7"/>
      <c r="F162" s="7"/>
      <c r="G162" s="7"/>
      <c r="H162" s="7"/>
      <c r="I162" s="9"/>
      <c r="J162" s="7"/>
      <c r="K162" s="7"/>
      <c r="L162" s="9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27"/>
      <c r="AH162" s="27"/>
      <c r="AI162" s="27"/>
      <c r="AJ162" s="7"/>
      <c r="AK162" s="7"/>
    </row>
    <row r="163" spans="1:37" ht="19.5" customHeight="1">
      <c r="A163" s="7"/>
      <c r="B163" s="7"/>
      <c r="C163" s="7"/>
      <c r="D163" s="7"/>
      <c r="E163" s="83" t="s">
        <v>6934</v>
      </c>
      <c r="F163" s="50"/>
      <c r="G163" s="7"/>
      <c r="H163" s="83" t="s">
        <v>6935</v>
      </c>
      <c r="I163" s="50"/>
      <c r="J163" s="7"/>
      <c r="K163" s="83" t="s">
        <v>6936</v>
      </c>
      <c r="L163" s="50"/>
      <c r="M163" s="7"/>
      <c r="N163" s="83" t="s">
        <v>6937</v>
      </c>
      <c r="O163" s="50"/>
      <c r="P163" s="7"/>
      <c r="Q163" s="83" t="s">
        <v>6938</v>
      </c>
      <c r="R163" s="50"/>
      <c r="S163" s="7"/>
      <c r="T163" s="83" t="s">
        <v>6939</v>
      </c>
      <c r="U163" s="50"/>
      <c r="V163" s="7"/>
      <c r="W163" s="83" t="s">
        <v>6940</v>
      </c>
      <c r="X163" s="50"/>
      <c r="Y163" s="7"/>
      <c r="Z163" s="83" t="s">
        <v>6941</v>
      </c>
      <c r="AA163" s="50"/>
      <c r="AB163" s="7"/>
      <c r="AC163" s="83" t="s">
        <v>6942</v>
      </c>
      <c r="AD163" s="50"/>
      <c r="AE163" s="7"/>
      <c r="AF163" s="7"/>
      <c r="AG163" s="27"/>
      <c r="AH163" s="27"/>
      <c r="AI163" s="27"/>
      <c r="AJ163" s="7"/>
      <c r="AK163" s="7"/>
    </row>
    <row r="164" spans="1:37" ht="19.5" customHeight="1">
      <c r="A164" s="7"/>
      <c r="B164" s="7"/>
      <c r="C164" s="7"/>
      <c r="D164" s="7"/>
      <c r="E164" s="52" t="s">
        <v>6780</v>
      </c>
      <c r="F164" s="52" t="s">
        <v>6781</v>
      </c>
      <c r="G164" s="7"/>
      <c r="H164" s="52" t="s">
        <v>6780</v>
      </c>
      <c r="I164" s="52" t="s">
        <v>6943</v>
      </c>
      <c r="J164" s="7"/>
      <c r="K164" s="52" t="s">
        <v>6780</v>
      </c>
      <c r="L164" s="52" t="s">
        <v>6943</v>
      </c>
      <c r="M164" s="7"/>
      <c r="N164" s="52" t="s">
        <v>6780</v>
      </c>
      <c r="O164" s="52" t="s">
        <v>6943</v>
      </c>
      <c r="P164" s="53"/>
      <c r="Q164" s="52" t="s">
        <v>6780</v>
      </c>
      <c r="R164" s="52" t="s">
        <v>6943</v>
      </c>
      <c r="S164" s="53"/>
      <c r="T164" s="52" t="s">
        <v>6780</v>
      </c>
      <c r="U164" s="52" t="s">
        <v>6943</v>
      </c>
      <c r="V164" s="53"/>
      <c r="W164" s="52" t="s">
        <v>6780</v>
      </c>
      <c r="X164" s="52" t="s">
        <v>6943</v>
      </c>
      <c r="Y164" s="53"/>
      <c r="Z164" s="52" t="s">
        <v>6780</v>
      </c>
      <c r="AA164" s="52" t="s">
        <v>6943</v>
      </c>
      <c r="AB164" s="53"/>
      <c r="AC164" s="52" t="s">
        <v>6780</v>
      </c>
      <c r="AD164" s="52" t="s">
        <v>6943</v>
      </c>
      <c r="AE164" s="7"/>
      <c r="AF164" s="7"/>
      <c r="AG164" s="27"/>
      <c r="AH164" s="27"/>
      <c r="AI164" s="27"/>
      <c r="AJ164" s="7"/>
      <c r="AK164" s="7"/>
    </row>
    <row r="165" spans="1:37" ht="19.5" customHeight="1">
      <c r="A165" s="7"/>
      <c r="B165" s="7"/>
      <c r="C165" s="7"/>
      <c r="D165" s="7"/>
      <c r="E165" s="80" t="s">
        <v>6944</v>
      </c>
      <c r="F165" s="13" t="e">
        <f>IF(ISBLANK(input_mgmt_az1_vmotion_pool_start_ip),"Value Missing",input_mgmt_az1_vmotion_pool_start_ip)</f>
        <v>#REF!</v>
      </c>
      <c r="G165" s="7"/>
      <c r="H165" s="80" t="s">
        <v>6944</v>
      </c>
      <c r="I165" s="13" t="e">
        <f>IF(ISBLANK(input_wld_az1_vmotion_pool_start_ip),"Value Missing",input_wld_az1_vmotion_pool_start_ip)</f>
        <v>#REF!</v>
      </c>
      <c r="J165" s="7"/>
      <c r="K165" s="80" t="s">
        <v>6944</v>
      </c>
      <c r="L165" s="13" t="e">
        <f>IF(ISBLANK(input_wld_az1_rack2_vmotion_pool_start_ip),"Value Missing",input_wld_az1_rack2_vmotion_pool_start_ip)</f>
        <v>#REF!</v>
      </c>
      <c r="M165" s="7"/>
      <c r="N165" s="80" t="s">
        <v>6944</v>
      </c>
      <c r="O165" s="13" t="e">
        <f>IF(ISBLANK(input_wld_az1_rack3_vmotion_pool_start_ip),"Value Missing",input_wld_az1_rack3_vmotion_pool_start_ip)</f>
        <v>#REF!</v>
      </c>
      <c r="P165" s="7"/>
      <c r="Q165" s="80" t="s">
        <v>6944</v>
      </c>
      <c r="R165" s="13" t="e">
        <f>IF(ISBLANK(input_wld_az1_rack4_vmotion_pool_start_ip),"Value Missing",input_wld_az1_rack4_vmotion_pool_start_ip)</f>
        <v>#REF!</v>
      </c>
      <c r="S165" s="7"/>
      <c r="T165" s="80" t="s">
        <v>6944</v>
      </c>
      <c r="U165" s="13" t="e">
        <f>IF(ISBLANK(input_wld_az1_rack5_vmotion_pool_start_ip),"Value Missing",input_wld_az1_rack5_vmotion_pool_start_ip)</f>
        <v>#REF!</v>
      </c>
      <c r="V165" s="7"/>
      <c r="W165" s="80" t="s">
        <v>6944</v>
      </c>
      <c r="X165" s="13" t="e">
        <f>IF(ISBLANK(input_wld_az1_rack6_vmotion_pool_start_ip),"Value Missing",input_wld_az1_rack6_vmotion_pool_start_ip)</f>
        <v>#REF!</v>
      </c>
      <c r="Y165" s="7"/>
      <c r="Z165" s="80" t="s">
        <v>6944</v>
      </c>
      <c r="AA165" s="13" t="e">
        <f>IF(ISBLANK(input_wld_az1_rack7_vmotion_pool_start_ip),"Value Missing",input_wld_az1_rack7_vmotion_pool_start_ip)</f>
        <v>#REF!</v>
      </c>
      <c r="AB165" s="7"/>
      <c r="AC165" s="80" t="s">
        <v>6944</v>
      </c>
      <c r="AD165" s="13" t="e">
        <f>IF(ISBLANK(input_wld_az1_rack8_vmotion_pool_start_ip),"Value Missing",input_wld_az1_rack8_vmotion_pool_start_ip)</f>
        <v>#REF!</v>
      </c>
      <c r="AE165" s="7"/>
      <c r="AF165" s="7"/>
      <c r="AG165" s="27"/>
      <c r="AH165" s="27"/>
      <c r="AI165" s="27"/>
      <c r="AJ165" s="7"/>
      <c r="AK165" s="7"/>
    </row>
    <row r="166" spans="1:37" ht="19.5" customHeight="1">
      <c r="A166" s="7"/>
      <c r="B166" s="7"/>
      <c r="C166" s="7"/>
      <c r="D166" s="7"/>
      <c r="E166" s="80" t="s">
        <v>6945</v>
      </c>
      <c r="F166" s="13" t="e">
        <f>IF(ISBLANK(input_mgmt_az1_vmotion_pool_end_ip),"Value Missing",input_mgmt_az1_vmotion_pool_end_ip)</f>
        <v>#REF!</v>
      </c>
      <c r="G166" s="7"/>
      <c r="H166" s="80" t="s">
        <v>6945</v>
      </c>
      <c r="I166" s="13" t="e">
        <f>IF(ISBLANK(input_wld_az1_vmotion_pool_end_ip),"Value Missing",input_wld_az1_vmotion_pool_end_ip)</f>
        <v>#REF!</v>
      </c>
      <c r="J166" s="7"/>
      <c r="K166" s="80" t="s">
        <v>6945</v>
      </c>
      <c r="L166" s="13" t="e">
        <f>IF(ISBLANK(input_wld_az1_rack2_vmotion_pool_end_ip),"Value Missing",input_wld_az1_rack2_vmotion_pool_end_ip)</f>
        <v>#REF!</v>
      </c>
      <c r="M166" s="7"/>
      <c r="N166" s="80" t="s">
        <v>6945</v>
      </c>
      <c r="O166" s="13" t="e">
        <f>IF(ISBLANK(input_wld_az1_rack3_vmotion_pool_end_ip),"Value Missing",input_wld_az1_rack3_vmotion_pool_end_ip)</f>
        <v>#REF!</v>
      </c>
      <c r="P166" s="7"/>
      <c r="Q166" s="80" t="s">
        <v>6945</v>
      </c>
      <c r="R166" s="13" t="e">
        <f>IF(ISBLANK(input_wld_az1_rack4_vmotion_pool_end_ip),"Value Missing",input_wld_az1_rack4_vmotion_pool_end_ip)</f>
        <v>#REF!</v>
      </c>
      <c r="S166" s="7"/>
      <c r="T166" s="80" t="s">
        <v>6945</v>
      </c>
      <c r="U166" s="13" t="e">
        <f>IF(ISBLANK(input_wld_az1_rack5_vmotion_pool_end_ip),"Value Missing",input_wld_az1_rack5_vmotion_pool_end_ip)</f>
        <v>#REF!</v>
      </c>
      <c r="V166" s="7"/>
      <c r="W166" s="80" t="s">
        <v>6945</v>
      </c>
      <c r="X166" s="13" t="e">
        <f>IF(ISBLANK(input_wld_az1_rack6_vmotion_pool_end_ip),"Value Missing",input_wld_az1_rack6_vmotion_pool_end_ip)</f>
        <v>#REF!</v>
      </c>
      <c r="Y166" s="7"/>
      <c r="Z166" s="80" t="s">
        <v>6945</v>
      </c>
      <c r="AA166" s="13" t="e">
        <f>IF(ISBLANK(input_wld_az1_rack7_vmotion_pool_end_ip),"Value Missing",input_wld_az1_rack7_vmotion_pool_end_ip)</f>
        <v>#REF!</v>
      </c>
      <c r="AB166" s="7"/>
      <c r="AC166" s="80" t="s">
        <v>6945</v>
      </c>
      <c r="AD166" s="13" t="e">
        <f>IF(ISBLANK(input_wld_az1_rack8_vmotion_pool_end_ip),"Value Missing",input_wld_az1_rack8_vmotion_pool_end_ip)</f>
        <v>#REF!</v>
      </c>
      <c r="AE166" s="7"/>
      <c r="AF166" s="7"/>
      <c r="AG166" s="27"/>
      <c r="AH166" s="27"/>
      <c r="AI166" s="27"/>
      <c r="AJ166" s="7"/>
      <c r="AK166" s="7"/>
    </row>
    <row r="167" spans="1:37" ht="19.5" customHeight="1">
      <c r="A167" s="7"/>
      <c r="B167" s="7"/>
      <c r="C167" s="7"/>
      <c r="D167" s="7"/>
      <c r="E167" s="80" t="s">
        <v>6946</v>
      </c>
      <c r="F167" s="13" t="e">
        <f>IF(ISBLANK(input_mgmt_az1_vsan_pool_start_ip),"Value Missing",input_mgmt_az1_vsan_pool_start_ip)</f>
        <v>#REF!</v>
      </c>
      <c r="G167" s="7"/>
      <c r="H167" s="80" t="s">
        <v>6946</v>
      </c>
      <c r="I167" s="13" t="e">
        <f>IF(ISBLANK(input_wld_az1_principal_storage_pool_start_ip),"Value Missing",input_wld_az1_principal_storage_pool_start_ip)</f>
        <v>#REF!</v>
      </c>
      <c r="J167" s="7"/>
      <c r="K167" s="80" t="s">
        <v>6946</v>
      </c>
      <c r="L167" s="13" t="e">
        <f>IF(ISBLANK(input_wld_az1_rack2_principal_storage_pool_start_ip),"Value Missing",input_wld_az1_rack2_principal_storage_pool_start_ip)</f>
        <v>#REF!</v>
      </c>
      <c r="M167" s="7"/>
      <c r="N167" s="80" t="s">
        <v>6946</v>
      </c>
      <c r="O167" s="13" t="e">
        <f>IF(ISBLANK(input_wld_az1_rack3_principal_storage_pool_start_ip),"Value Missing",input_wld_az1_rack3_principal_storage_pool_start_ip)</f>
        <v>#REF!</v>
      </c>
      <c r="P167" s="7"/>
      <c r="Q167" s="80" t="s">
        <v>6946</v>
      </c>
      <c r="R167" s="13" t="e">
        <f>IF(ISBLANK(input_wld_az1_rack4_principal_storage_pool_start_ip),"Value Missing",input_wld_az1_rack4_principal_storage_pool_start_ip)</f>
        <v>#REF!</v>
      </c>
      <c r="S167" s="7"/>
      <c r="T167" s="80" t="s">
        <v>6946</v>
      </c>
      <c r="U167" s="13" t="e">
        <f>IF(ISBLANK(input_wld_az1_rack5_principal_storage_pool_start_ip),"Value Missing",input_wld_az1_rack5_principal_storage_pool_start_ip)</f>
        <v>#REF!</v>
      </c>
      <c r="V167" s="7"/>
      <c r="W167" s="80" t="s">
        <v>6946</v>
      </c>
      <c r="X167" s="13" t="e">
        <f>IF(ISBLANK(input_wld_az1_rack6_principal_storage_pool_start_ip),"Value Missing",input_wld_az1_rack6_principal_storage_pool_start_ip)</f>
        <v>#REF!</v>
      </c>
      <c r="Y167" s="7"/>
      <c r="Z167" s="80" t="s">
        <v>6946</v>
      </c>
      <c r="AA167" s="13" t="e">
        <f>IF(ISBLANK(input_wld_az1_rack7_principal_storage_pool_start_ip),"Value Missing",input_wld_az1_rack7_principal_storage_pool_start_ip)</f>
        <v>#REF!</v>
      </c>
      <c r="AB167" s="7"/>
      <c r="AC167" s="80" t="s">
        <v>6946</v>
      </c>
      <c r="AD167" s="13" t="e">
        <f>IF(ISBLANK(input_wld_az1_rack8_principal_storage_pool_start_ip),"Value Missing",input_wld_az1_rack8_principal_storage_pool_start_ip)</f>
        <v>#REF!</v>
      </c>
      <c r="AE167" s="7"/>
      <c r="AF167" s="7"/>
      <c r="AG167" s="27"/>
      <c r="AH167" s="27"/>
      <c r="AI167" s="27"/>
      <c r="AJ167" s="7"/>
      <c r="AK167" s="7"/>
    </row>
    <row r="168" spans="1:37" ht="19.5" customHeight="1">
      <c r="A168" s="7"/>
      <c r="B168" s="7"/>
      <c r="C168" s="7"/>
      <c r="D168" s="7"/>
      <c r="E168" s="80" t="s">
        <v>6947</v>
      </c>
      <c r="F168" s="13" t="e">
        <f>IF(ISBLANK(input_mgmt_az1_vsan_pool_end_ip),"Value Missing",input_mgmt_az1_vsan_pool_end_ip)</f>
        <v>#REF!</v>
      </c>
      <c r="G168" s="7"/>
      <c r="H168" s="80" t="s">
        <v>6947</v>
      </c>
      <c r="I168" s="13" t="e">
        <f>IF(ISBLANK(input_wld_az1_principal_storage_pool_end_ip),"Value Missing",input_wld_az1_principal_storage_pool_end_ip)</f>
        <v>#REF!</v>
      </c>
      <c r="J168" s="7"/>
      <c r="K168" s="80" t="s">
        <v>6947</v>
      </c>
      <c r="L168" s="13" t="e">
        <f>IF(ISBLANK(input_wld_az1_rack2_principal_storage_pool_end_ip),"Value Missing",input_wld_az1_rack2_principal_storage_pool_end_ip)</f>
        <v>#REF!</v>
      </c>
      <c r="M168" s="7"/>
      <c r="N168" s="80" t="s">
        <v>6947</v>
      </c>
      <c r="O168" s="13" t="e">
        <f>IF(ISBLANK(input_wld_az1_rack3_principal_storage_pool_end_ip),"Value Missing",input_wld_az1_rack3_principal_storage_pool_end_ip)</f>
        <v>#REF!</v>
      </c>
      <c r="P168" s="7"/>
      <c r="Q168" s="80" t="s">
        <v>6947</v>
      </c>
      <c r="R168" s="13" t="e">
        <f>IF(ISBLANK(input_wld_az1_rack4_principal_storage_pool_end_ip),"Value Missing",input_wld_az1_rack4_principal_storage_pool_end_ip)</f>
        <v>#REF!</v>
      </c>
      <c r="S168" s="7"/>
      <c r="T168" s="80" t="s">
        <v>6947</v>
      </c>
      <c r="U168" s="13" t="e">
        <f>IF(ISBLANK(input_wld_az1_rack5_principal_storage_pool_end_ip),"Value Missing",input_wld_az1_rack5_principal_storage_pool_end_ip)</f>
        <v>#REF!</v>
      </c>
      <c r="V168" s="7"/>
      <c r="W168" s="80" t="s">
        <v>6947</v>
      </c>
      <c r="X168" s="13" t="e">
        <f>IF(ISBLANK(input_wld_az1_rack6_principal_storage_pool_end_ip),"Value Missing",input_wld_az1_rack6_principal_storage_pool_end_ip)</f>
        <v>#REF!</v>
      </c>
      <c r="Y168" s="7"/>
      <c r="Z168" s="80" t="s">
        <v>6947</v>
      </c>
      <c r="AA168" s="13" t="e">
        <f>IF(ISBLANK(input_wld_az1_rack7_principal_storage_pool_end_ip),"Value Missing",input_wld_az1_rack7_principal_storage_pool_end_ip)</f>
        <v>#REF!</v>
      </c>
      <c r="AB168" s="7"/>
      <c r="AC168" s="80" t="s">
        <v>6947</v>
      </c>
      <c r="AD168" s="13" t="e">
        <f>IF(ISBLANK(input_wld_az1_rack8_principal_storage_pool_end_ip),"Value Missing",input_wld_az1_rack8_principal_storage_pool_end_ip)</f>
        <v>#REF!</v>
      </c>
      <c r="AE168" s="7"/>
      <c r="AF168" s="7"/>
      <c r="AG168" s="27"/>
      <c r="AH168" s="27"/>
      <c r="AI168" s="27"/>
      <c r="AJ168" s="7"/>
      <c r="AK168" s="7"/>
    </row>
    <row r="169" spans="1:37" ht="19.5" customHeight="1">
      <c r="A169" s="7"/>
      <c r="B169" s="7"/>
      <c r="C169" s="7"/>
      <c r="D169" s="7"/>
      <c r="E169" s="80" t="s">
        <v>6948</v>
      </c>
      <c r="F169" s="13" t="e">
        <f>IF(ISBLANK(input_mgmt_az1_host_overlay_pool_start_ip),"Value Missing",input_mgmt_az1_host_overlay_pool_start_ip)</f>
        <v>#REF!</v>
      </c>
      <c r="G169" s="7"/>
      <c r="H169" s="80" t="s">
        <v>6948</v>
      </c>
      <c r="I169" s="13" t="e">
        <f>IF(ISBLANK(input_wld_az1_host_overlay_pool_start_ip),"Value Missing",input_wld_az1_host_overlay_pool_start_ip)</f>
        <v>#REF!</v>
      </c>
      <c r="J169" s="7"/>
      <c r="K169" s="80" t="s">
        <v>6948</v>
      </c>
      <c r="L169" s="13" t="e">
        <f>IF(ISBLANK(input_wld_az1_rack2_host_overlay_pool_start_ip),"Value Missing",input_wld_az1_rack2_host_overlay_pool_start_ip)</f>
        <v>#REF!</v>
      </c>
      <c r="M169" s="7"/>
      <c r="N169" s="80" t="s">
        <v>6948</v>
      </c>
      <c r="O169" s="13" t="e">
        <f>IF(ISBLANK(input_wld_az1_rack3_host_overlay_pool_start_ip),"Value Missing",input_wld_az1_rack3_host_overlay_pool_start_ip)</f>
        <v>#REF!</v>
      </c>
      <c r="P169" s="7"/>
      <c r="Q169" s="80" t="s">
        <v>6948</v>
      </c>
      <c r="R169" s="13" t="e">
        <f>IF(ISBLANK(input_wld_az1_rack4_host_overlay_pool_start_ip),"Value Missing",input_wld_az1_rack4_host_overlay_pool_start_ip)</f>
        <v>#REF!</v>
      </c>
      <c r="S169" s="7"/>
      <c r="T169" s="80" t="s">
        <v>6948</v>
      </c>
      <c r="U169" s="13" t="e">
        <f>IF(ISBLANK(input_wld_az1_rack5_host_overlay_pool_start_ip),"Value Missing",input_wld_az1_rack5_host_overlay_pool_start_ip)</f>
        <v>#REF!</v>
      </c>
      <c r="V169" s="7"/>
      <c r="W169" s="80" t="s">
        <v>6948</v>
      </c>
      <c r="X169" s="13" t="e">
        <f>IF(ISBLANK(input_wld_az1_rack6_host_overlay_pool_start_ip),"Value Missing",input_wld_az1_rack6_host_overlay_pool_start_ip)</f>
        <v>#REF!</v>
      </c>
      <c r="Y169" s="7"/>
      <c r="Z169" s="80" t="s">
        <v>6948</v>
      </c>
      <c r="AA169" s="13" t="e">
        <f>IF(ISBLANK(input_wld_az1_rack7_host_overlay_pool_start_ip),"Value Missing",input_wld_az1_rack7_host_overlay_pool_start_ip)</f>
        <v>#REF!</v>
      </c>
      <c r="AB169" s="7"/>
      <c r="AC169" s="80" t="s">
        <v>6948</v>
      </c>
      <c r="AD169" s="13" t="e">
        <f>IF(ISBLANK(input_wld_az1_rack8_host_overlay_pool_start_ip),"Value Missing",input_wld_az1_rack8_host_overlay_pool_start_ip)</f>
        <v>#REF!</v>
      </c>
      <c r="AE169" s="7"/>
      <c r="AF169" s="7"/>
      <c r="AG169" s="27"/>
      <c r="AH169" s="27"/>
      <c r="AI169" s="27"/>
      <c r="AJ169" s="7"/>
      <c r="AK169" s="7"/>
    </row>
    <row r="170" spans="1:37" ht="19.5" customHeight="1">
      <c r="A170" s="7"/>
      <c r="B170" s="7"/>
      <c r="C170" s="7"/>
      <c r="D170" s="7"/>
      <c r="E170" s="80" t="s">
        <v>6949</v>
      </c>
      <c r="F170" s="13" t="e">
        <f>IF(ISBLANK(input_mgmt_az1_host_overlay_pool_end_ip),"Value Missing",input_mgmt_az1_host_overlay_pool_end_ip)</f>
        <v>#REF!</v>
      </c>
      <c r="G170" s="7"/>
      <c r="H170" s="80" t="s">
        <v>6949</v>
      </c>
      <c r="I170" s="13" t="e">
        <f>IF(ISBLANK(input_wld_az1_host_overlay_pool_end_ip),"Value Missing",input_wld_az1_host_overlay_pool_end_ip)</f>
        <v>#REF!</v>
      </c>
      <c r="J170" s="7"/>
      <c r="K170" s="80" t="s">
        <v>6949</v>
      </c>
      <c r="L170" s="13" t="e">
        <f>IF(ISBLANK(input_wld_az1_rack2_host_overlay_pool_end_ip),"Value Missing",input_wld_az1_rack2_host_overlay_pool_end_ip)</f>
        <v>#REF!</v>
      </c>
      <c r="M170" s="7"/>
      <c r="N170" s="80" t="s">
        <v>6949</v>
      </c>
      <c r="O170" s="13" t="e">
        <f>IF(ISBLANK(input_wld_az1_rack3_host_overlay_pool_end_ip),"Value Missing",input_wld_az1_rack3_host_overlay_pool_end_ip)</f>
        <v>#REF!</v>
      </c>
      <c r="P170" s="7"/>
      <c r="Q170" s="80" t="s">
        <v>6949</v>
      </c>
      <c r="R170" s="13" t="e">
        <f>IF(ISBLANK(input_wld_az1_rack4_host_overlay_pool_end_ip),"Value Missing",input_wld_az1_rack4_host_overlay_pool_end_ip)</f>
        <v>#REF!</v>
      </c>
      <c r="S170" s="7"/>
      <c r="T170" s="80" t="s">
        <v>6949</v>
      </c>
      <c r="U170" s="13" t="e">
        <f>IF(ISBLANK(input_wld_az1_rack5_host_overlay_pool_end_ip),"Value Missing",input_wld_az1_rack5_host_overlay_pool_end_ip)</f>
        <v>#REF!</v>
      </c>
      <c r="V170" s="7"/>
      <c r="W170" s="80" t="s">
        <v>6949</v>
      </c>
      <c r="X170" s="13" t="e">
        <f>IF(ISBLANK(input_wld_az1_rack6_host_overlay_pool_end_ip),"Value Missing",input_wld_az1_rack6_host_overlay_pool_end_ip)</f>
        <v>#REF!</v>
      </c>
      <c r="Y170" s="7"/>
      <c r="Z170" s="80" t="s">
        <v>6949</v>
      </c>
      <c r="AA170" s="13" t="e">
        <f>IF(ISBLANK(input_wld_az1_rack7_host_overlay_pool_end_ip),"Value Missing",input_wld_az1_rack7_host_overlay_pool_end_ip)</f>
        <v>#REF!</v>
      </c>
      <c r="AB170" s="7"/>
      <c r="AC170" s="80" t="s">
        <v>6949</v>
      </c>
      <c r="AD170" s="13" t="e">
        <f>IF(ISBLANK(input_wld_az1_rack8_host_overlay_pool_end_ip),"Value Missing",input_wld_az1_rack8_host_overlay_pool_end_ip)</f>
        <v>#REF!</v>
      </c>
      <c r="AE170" s="7"/>
      <c r="AF170" s="7"/>
      <c r="AG170" s="27"/>
      <c r="AH170" s="27"/>
      <c r="AI170" s="27"/>
      <c r="AJ170" s="7"/>
      <c r="AK170" s="7"/>
    </row>
    <row r="171" spans="1:37" ht="19.5" customHeight="1">
      <c r="A171" s="7"/>
      <c r="B171" s="7"/>
      <c r="C171" s="7"/>
      <c r="D171" s="7"/>
      <c r="E171" s="85" t="s">
        <v>6950</v>
      </c>
      <c r="F171" s="13" t="e">
        <f>IF(ISBLANK(input_mgmt_az1_secondary_storage_pool_start_ip),"Value Missing",input_mgmt_az1_secondary_storage_pool_start_ip)</f>
        <v>#REF!</v>
      </c>
      <c r="G171" s="7"/>
      <c r="H171" s="39" t="s">
        <v>6950</v>
      </c>
      <c r="I171" s="13" t="e">
        <f>IF(ISBLANK(input_wld_az1_secondary_storage_pool_start_ip),"Value Missing",input_wld_az1_secondary_storage_pool_start_ip)</f>
        <v>#REF!</v>
      </c>
      <c r="J171" s="7"/>
      <c r="K171" s="39" t="s">
        <v>6950</v>
      </c>
      <c r="L171" s="13" t="str">
        <f>IF(ISBLANK(input_wld_az1_rack2_secondary_storage_pool_start_ip),"Value Missing",input_wld_az1_rack2_secondary_storage_pool_start_ip)</f>
        <v>Value Missing</v>
      </c>
      <c r="M171" s="7"/>
      <c r="N171" s="39" t="s">
        <v>6950</v>
      </c>
      <c r="O171" s="13" t="str">
        <f>IF(ISBLANK(input_wld_az1_rack3_secondary_storage_pool_start_ip),"Value Missing",input_wld_az1_rack3_secondary_storage_pool_start_ip)</f>
        <v>Value Missing</v>
      </c>
      <c r="P171" s="7"/>
      <c r="Q171" s="39" t="s">
        <v>6950</v>
      </c>
      <c r="R171" s="13" t="str">
        <f>IF(ISBLANK(input_wld_az1_rack4_secondary_storage_pool_start_ip),"Value Missing",input_wld_az1_rack4_secondary_storage_pool_start_ip)</f>
        <v>Value Missing</v>
      </c>
      <c r="S171" s="7"/>
      <c r="T171" s="39" t="s">
        <v>6950</v>
      </c>
      <c r="U171" s="13" t="str">
        <f>IF(ISBLANK(input_wld_az1_rack5_secondary_storage_pool_start_ip),"Value Missing",input_wld_az1_rack5_secondary_storage_pool_start_ip)</f>
        <v>Value Missing</v>
      </c>
      <c r="V171" s="7"/>
      <c r="W171" s="39" t="s">
        <v>6950</v>
      </c>
      <c r="X171" s="13" t="str">
        <f>IF(ISBLANK(input_wld_az1_rack6_secondary_storage_pool_start_ip),"Value Missing",input_wld_az1_rack6_secondary_storage_pool_start_ip)</f>
        <v>Value Missing</v>
      </c>
      <c r="Y171" s="7"/>
      <c r="Z171" s="39" t="s">
        <v>6950</v>
      </c>
      <c r="AA171" s="13" t="str">
        <f>IF(ISBLANK(input_wld_az1_rack7_secondary_storage_pool_start_ip),"Value Missing",input_wld_az1_rack7_secondary_storage_pool_start_ip)</f>
        <v>Value Missing</v>
      </c>
      <c r="AB171" s="7"/>
      <c r="AC171" s="39" t="s">
        <v>6950</v>
      </c>
      <c r="AD171" s="13" t="str">
        <f>IF(ISBLANK(input_wld_az1_rack8_secondary_storage_pool_start_ip),"Value Missing",input_wld_az1_rack8_secondary_storage_pool_start_ip)</f>
        <v>Value Missing</v>
      </c>
      <c r="AE171" s="7"/>
      <c r="AF171" s="7"/>
      <c r="AG171" s="27"/>
      <c r="AH171" s="27"/>
      <c r="AI171" s="27"/>
      <c r="AJ171" s="7"/>
      <c r="AK171" s="7"/>
    </row>
    <row r="172" spans="1:37" ht="19.5" customHeight="1">
      <c r="A172" s="7"/>
      <c r="B172" s="7"/>
      <c r="C172" s="7"/>
      <c r="D172" s="7"/>
      <c r="E172" s="86" t="s">
        <v>6951</v>
      </c>
      <c r="F172" s="13" t="e">
        <f>IF(ISBLANK(input_mgmt_az1_secondary_storage_pool_end_ip),"Value Missing",input_mgmt_az1_secondary_storage_pool_end_ip)</f>
        <v>#REF!</v>
      </c>
      <c r="G172" s="7"/>
      <c r="H172" s="42" t="s">
        <v>6951</v>
      </c>
      <c r="I172" s="13" t="e">
        <f>IF(ISBLANK(input_wld_az1_secondary_storage_pool_end_ip),"Value Missing",input_wld_az1_secondary_storage_pool_end_ip)</f>
        <v>#REF!</v>
      </c>
      <c r="J172" s="7"/>
      <c r="K172" s="42" t="s">
        <v>6951</v>
      </c>
      <c r="L172" s="13" t="str">
        <f>IF(ISBLANK(input_wld_az1_rack2_secondary_storage_pool_end_ip),"Value Missing",input_wld_az1_rack2_secondary_storage_pool_end_ip)</f>
        <v>Value Missing</v>
      </c>
      <c r="M172" s="7"/>
      <c r="N172" s="42" t="s">
        <v>6951</v>
      </c>
      <c r="O172" s="13" t="str">
        <f>IF(ISBLANK(input_wld_az1_rack3_secondary_storage_pool_end_ip),"Value Missing",input_wld_az1_rack3_secondary_storage_pool_end_ip)</f>
        <v>Value Missing</v>
      </c>
      <c r="P172" s="7"/>
      <c r="Q172" s="42" t="s">
        <v>6951</v>
      </c>
      <c r="R172" s="13" t="str">
        <f>IF(ISBLANK(input_wld_az1_rack4_secondary_storage_pool_end_ip),"Value Missing",input_wld_az1_rack4_secondary_storage_pool_end_ip)</f>
        <v>Value Missing</v>
      </c>
      <c r="S172" s="7"/>
      <c r="T172" s="42" t="s">
        <v>6951</v>
      </c>
      <c r="U172" s="13" t="str">
        <f>IF(ISBLANK(input_wld_az1_rack5_secondary_storage_pool_end_ip),"Value Missing",input_wld_az1_rack5_secondary_storage_pool_end_ip)</f>
        <v>Value Missing</v>
      </c>
      <c r="V172" s="7"/>
      <c r="W172" s="42" t="s">
        <v>6951</v>
      </c>
      <c r="X172" s="13" t="str">
        <f>IF(ISBLANK(input_wld_az1_rack6_secondary_storage_pool_end_ip),"Value Missing",input_wld_az1_rack6_secondary_storage_pool_end_ip)</f>
        <v>Value Missing</v>
      </c>
      <c r="Y172" s="7"/>
      <c r="Z172" s="42" t="s">
        <v>6951</v>
      </c>
      <c r="AA172" s="13" t="str">
        <f>IF(ISBLANK(input_wld_az1_rack7_secondary_storage_pool_end_ip),"Value Missing",input_wld_az1_rack7_secondary_storage_pool_end_ip)</f>
        <v>Value Missing</v>
      </c>
      <c r="AB172" s="7"/>
      <c r="AC172" s="42" t="s">
        <v>6951</v>
      </c>
      <c r="AD172" s="13" t="str">
        <f>IF(ISBLANK(input_wld_az1_rack8_secondary_storage_pool_end_ip),"Value Missing",input_wld_az1_rack8_secondary_storage_pool_end_ip)</f>
        <v>Value Missing</v>
      </c>
      <c r="AE172" s="7"/>
      <c r="AF172" s="7"/>
      <c r="AG172" s="27"/>
      <c r="AH172" s="27"/>
      <c r="AI172" s="27"/>
      <c r="AJ172" s="7"/>
      <c r="AK172" s="7"/>
    </row>
    <row r="173" spans="1:37" ht="19.5" customHeight="1">
      <c r="A173" s="7"/>
      <c r="B173" s="7"/>
      <c r="C173" s="7"/>
      <c r="D173" s="7"/>
      <c r="E173" s="86"/>
      <c r="F173" s="13"/>
      <c r="G173" s="87"/>
      <c r="H173" s="56" t="s">
        <v>6952</v>
      </c>
      <c r="I173" s="13" t="e">
        <f>IF(ISBLANK(input_wld_az1_storage_cluster_pool_start_ip),"Value Missing",input_wld_az1_storage_cluster_pool_start_ip)</f>
        <v>#REF!</v>
      </c>
      <c r="J173" s="87"/>
      <c r="K173" s="42"/>
      <c r="L173" s="13"/>
      <c r="M173" s="7"/>
      <c r="N173" s="42"/>
      <c r="O173" s="13"/>
      <c r="P173" s="7"/>
      <c r="Q173" s="42"/>
      <c r="R173" s="13"/>
      <c r="S173" s="7"/>
      <c r="T173" s="42"/>
      <c r="U173" s="13"/>
      <c r="V173" s="7"/>
      <c r="W173" s="42"/>
      <c r="X173" s="13"/>
      <c r="Y173" s="7"/>
      <c r="Z173" s="42"/>
      <c r="AA173" s="13"/>
      <c r="AB173" s="7"/>
      <c r="AC173" s="42"/>
      <c r="AD173" s="13"/>
      <c r="AE173" s="7"/>
      <c r="AF173" s="7"/>
      <c r="AG173" s="27"/>
      <c r="AH173" s="27"/>
      <c r="AI173" s="27"/>
      <c r="AJ173" s="7"/>
      <c r="AK173" s="7"/>
    </row>
    <row r="174" spans="1:37" ht="19.5" customHeight="1">
      <c r="A174" s="7"/>
      <c r="B174" s="7"/>
      <c r="C174" s="7"/>
      <c r="D174" s="7"/>
      <c r="E174" s="86"/>
      <c r="F174" s="13"/>
      <c r="G174" s="27"/>
      <c r="H174" s="58" t="s">
        <v>6953</v>
      </c>
      <c r="I174" s="13" t="e">
        <f>IF(ISBLANK(input_wld_az1_storage_cluster_pool_end_ip),"Value Missing",input_wld_az1_storage_cluster_pool_end_ip)</f>
        <v>#REF!</v>
      </c>
      <c r="J174" s="27"/>
      <c r="K174" s="42"/>
      <c r="L174" s="13"/>
      <c r="M174" s="7"/>
      <c r="N174" s="42"/>
      <c r="O174" s="13"/>
      <c r="P174" s="7"/>
      <c r="Q174" s="42"/>
      <c r="R174" s="13"/>
      <c r="S174" s="7"/>
      <c r="T174" s="42"/>
      <c r="U174" s="13"/>
      <c r="V174" s="7"/>
      <c r="W174" s="42"/>
      <c r="X174" s="13"/>
      <c r="Y174" s="7"/>
      <c r="Z174" s="42"/>
      <c r="AA174" s="13"/>
      <c r="AB174" s="7"/>
      <c r="AC174" s="42"/>
      <c r="AD174" s="13"/>
      <c r="AE174" s="7"/>
      <c r="AF174" s="7"/>
      <c r="AG174" s="27"/>
      <c r="AH174" s="27"/>
      <c r="AI174" s="27"/>
      <c r="AJ174" s="7"/>
      <c r="AK174" s="7"/>
    </row>
    <row r="175" spans="1:37" ht="19.5" customHeight="1">
      <c r="A175" s="7"/>
      <c r="B175" s="7"/>
      <c r="C175" s="7"/>
      <c r="D175" s="7"/>
      <c r="E175" s="80" t="s">
        <v>6757</v>
      </c>
      <c r="F175" s="13" t="e">
        <f>IF(ISBLANK(input_mgmt_az1_edge_overlay_pool_start_ip),"Value Missing",input_mgmt_az1_edge_overlay_pool_start_ip)</f>
        <v>#REF!</v>
      </c>
      <c r="G175" s="7"/>
      <c r="H175" s="80" t="s">
        <v>6757</v>
      </c>
      <c r="I175" s="13" t="e">
        <f>IF(ISBLANK(input_wld_az1_edge_overlay_pool_start_ip),"Value Missing",input_wld_az1_edge_overlay_pool_start_ip)</f>
        <v>#REF!</v>
      </c>
      <c r="J175" s="7"/>
      <c r="K175" s="80" t="s">
        <v>6757</v>
      </c>
      <c r="L175" s="13" t="str">
        <f t="array" ref="L175">IF(ISBLANK(input_wld_az1_rack2_edge_overlay_pool_start_ip),"Value Missing",input_wld_az1_rack2_edge_overlay_pool_start_ip)</f>
        <v>Value Missing</v>
      </c>
      <c r="M175" s="7"/>
      <c r="N175" s="80" t="s">
        <v>6757</v>
      </c>
      <c r="O175" s="13" t="str">
        <f t="array" ref="O175">IF(ISBLANK(input_wld_az1_rack3_edge_overlay_pool_start_ip),"Value Missing",input_wld_az1_rack3_edge_overlay_pool_start_ip)</f>
        <v>Value Missing</v>
      </c>
      <c r="P175" s="7"/>
      <c r="Q175" s="80" t="s">
        <v>6757</v>
      </c>
      <c r="R175" s="13" t="str">
        <f t="array" ref="R175">IF(ISBLANK(input_wld_az1_rack4_edge_overlay_pool_start_ip),"Value Missing",input_wld_az1_rack4_edge_overlay_pool_start_ip)</f>
        <v>Value Missing</v>
      </c>
      <c r="S175" s="7"/>
      <c r="T175" s="80" t="s">
        <v>6757</v>
      </c>
      <c r="U175" s="13" t="str">
        <f t="array" ref="U175">IF(ISBLANK(input_wld_az1_rack5_edge_overlay_pool_start_ip),"Value Missing",input_wld_az1_rack5_edge_overlay_pool_start_ip)</f>
        <v>Value Missing</v>
      </c>
      <c r="V175" s="7"/>
      <c r="W175" s="80" t="s">
        <v>6757</v>
      </c>
      <c r="X175" s="13" t="str">
        <f t="array" ref="X175">IF(ISBLANK(input_wld_az1_rack6_edge_overlay_pool_start_ip),"Value Missing",input_wld_az1_rack6_edge_overlay_pool_start_ip)</f>
        <v>Value Missing</v>
      </c>
      <c r="Y175" s="7"/>
      <c r="Z175" s="80" t="s">
        <v>6757</v>
      </c>
      <c r="AA175" s="13" t="str">
        <f t="array" ref="AA175">IF(ISBLANK(input_wld_az1_rack7_edge_overlay_pool_start_ip),"Value Missing",input_wld_az1_rack7_edge_overlay_pool_start_ip)</f>
        <v>Value Missing</v>
      </c>
      <c r="AB175" s="7"/>
      <c r="AC175" s="80" t="s">
        <v>6757</v>
      </c>
      <c r="AD175" s="13" t="str">
        <f t="array" ref="AD175">IF(ISBLANK(input_wld_az1_rack8_edge_overlay_pool_start_ip),"Value Missing",input_wld_az1_rack8_edge_overlay_pool_start_ip)</f>
        <v>Value Missing</v>
      </c>
      <c r="AE175" s="7"/>
      <c r="AF175" s="7"/>
      <c r="AG175" s="27"/>
      <c r="AH175" s="27"/>
      <c r="AI175" s="27"/>
      <c r="AJ175" s="7"/>
      <c r="AK175" s="7"/>
    </row>
    <row r="176" spans="1:37" ht="19.5" customHeight="1">
      <c r="A176" s="7"/>
      <c r="B176" s="7"/>
      <c r="C176" s="7"/>
      <c r="D176" s="7"/>
      <c r="E176" s="80" t="s">
        <v>6758</v>
      </c>
      <c r="F176" s="13" t="e">
        <f>IF(ISBLANK(input_mgmt_az1_edge_overlay_pool_end_ip),"Value Missing",input_mgmt_az1_edge_overlay_pool_end_ip)</f>
        <v>#REF!</v>
      </c>
      <c r="G176" s="71"/>
      <c r="H176" s="80" t="s">
        <v>6758</v>
      </c>
      <c r="I176" s="13" t="e">
        <f>IF(ISBLANK(input_wld_az1_edge_overlay_pool_end_ip),"Value Missing",input_wld_az1_edge_overlay_pool_end_ip)</f>
        <v>#REF!</v>
      </c>
      <c r="J176" s="71"/>
      <c r="K176" s="80" t="s">
        <v>6758</v>
      </c>
      <c r="L176" s="13" t="str">
        <f t="array" ref="L176">IF(ISBLANK(input_wld_az1_rack2_edge_overlay_pool_end_ip),"Value Missing",input_wld_az1_rack2_edge_overlay_pool_end_ip)</f>
        <v>Value Missing</v>
      </c>
      <c r="M176" s="87"/>
      <c r="N176" s="80" t="s">
        <v>6758</v>
      </c>
      <c r="O176" s="13" t="str">
        <f t="array" ref="O176">IF(ISBLANK(input_wld_az1_rack3_edge_overlay_pool_end_ip),"Value Missing",input_wld_az1_rack3_edge_overlay_pool_end_ip)</f>
        <v>Value Missing</v>
      </c>
      <c r="P176" s="7"/>
      <c r="Q176" s="80" t="s">
        <v>6758</v>
      </c>
      <c r="R176" s="13" t="str">
        <f t="array" ref="R176">IF(ISBLANK(input_wld_az1_rack4_edge_overlay_pool_end_ip),"Value Missing",input_wld_az1_rack4_edge_overlay_pool_end_ip)</f>
        <v>Value Missing</v>
      </c>
      <c r="S176" s="7"/>
      <c r="T176" s="80" t="s">
        <v>6758</v>
      </c>
      <c r="U176" s="13" t="str">
        <f t="array" ref="U176">IF(ISBLANK(input_wld_az1_rack5_edge_overlay_pool_end_ip),"Value Missing",input_wld_az1_rack5_edge_overlay_pool_end_ip)</f>
        <v>Value Missing</v>
      </c>
      <c r="V176" s="7"/>
      <c r="W176" s="80" t="s">
        <v>6758</v>
      </c>
      <c r="X176" s="13" t="str">
        <f t="array" ref="X176">IF(ISBLANK(input_wld_az1_rack6_edge_overlay_pool_end_ip),"Value Missing",input_wld_az1_rack6_edge_overlay_pool_end_ip)</f>
        <v>Value Missing</v>
      </c>
      <c r="Y176" s="7"/>
      <c r="Z176" s="80" t="s">
        <v>6758</v>
      </c>
      <c r="AA176" s="13" t="str">
        <f t="array" ref="AA176">IF(ISBLANK(input_wld_az1_rack7_edge_overlay_pool_end_ip),"Value Missing",input_wld_az1_rack7_edge_overlay_pool_end_ip)</f>
        <v>Value Missing</v>
      </c>
      <c r="AB176" s="7"/>
      <c r="AC176" s="80" t="s">
        <v>6758</v>
      </c>
      <c r="AD176" s="13" t="str">
        <f t="array" ref="AD176">IF(ISBLANK(input_wld_az1_rack8_edge_overlay_pool_end_ip),"Value Missing",input_wld_az1_rack8_edge_overlay_pool_end_ip)</f>
        <v>Value Missing</v>
      </c>
      <c r="AE176" s="7"/>
      <c r="AF176" s="7"/>
      <c r="AG176" s="27"/>
      <c r="AH176" s="27"/>
      <c r="AI176" s="27"/>
      <c r="AJ176" s="7"/>
      <c r="AK176" s="7"/>
    </row>
    <row r="177" spans="1:37" ht="19.5" customHeight="1">
      <c r="A177" s="7"/>
      <c r="B177" s="7"/>
      <c r="C177" s="7"/>
      <c r="D177" s="7"/>
      <c r="E177" s="80" t="s">
        <v>6954</v>
      </c>
      <c r="F177" s="13" t="e">
        <f>IF(ISBLANK(input_mgmt_rtep_overlay_pool_start_ip),"Value Missing",input_mgmt_rtep_overlay_pool_start_ip)</f>
        <v>#REF!</v>
      </c>
      <c r="G177" s="7"/>
      <c r="H177" s="80" t="s">
        <v>6954</v>
      </c>
      <c r="I177" s="13" t="e">
        <f>IF(ISBLANK(input_wld_rtep_overlay_pool_start_ip),"Value Missing",input_wld_rtep_overlay_pool_start_ip)</f>
        <v>#REF!</v>
      </c>
      <c r="J177" s="7"/>
      <c r="K177" s="80" t="s">
        <v>6954</v>
      </c>
      <c r="L177" s="13"/>
      <c r="M177" s="27"/>
      <c r="N177" s="80" t="s">
        <v>6954</v>
      </c>
      <c r="O177" s="13"/>
      <c r="P177" s="7"/>
      <c r="Q177" s="80" t="s">
        <v>6954</v>
      </c>
      <c r="R177" s="13"/>
      <c r="S177" s="7"/>
      <c r="T177" s="80" t="s">
        <v>6954</v>
      </c>
      <c r="U177" s="13"/>
      <c r="V177" s="7"/>
      <c r="W177" s="80" t="s">
        <v>6954</v>
      </c>
      <c r="X177" s="13"/>
      <c r="Y177" s="7"/>
      <c r="Z177" s="80" t="s">
        <v>6954</v>
      </c>
      <c r="AA177" s="13"/>
      <c r="AB177" s="7"/>
      <c r="AC177" s="80" t="s">
        <v>6954</v>
      </c>
      <c r="AD177" s="13"/>
      <c r="AE177" s="7"/>
      <c r="AF177" s="7"/>
      <c r="AG177" s="27"/>
      <c r="AH177" s="27"/>
      <c r="AI177" s="27"/>
      <c r="AJ177" s="27"/>
      <c r="AK177" s="7"/>
    </row>
    <row r="178" spans="1:37" ht="19.5" customHeight="1">
      <c r="A178" s="7"/>
      <c r="B178" s="7"/>
      <c r="C178" s="7"/>
      <c r="D178" s="7"/>
      <c r="E178" s="80" t="s">
        <v>6955</v>
      </c>
      <c r="F178" s="13" t="e">
        <f>IF(ISBLANK(input_mgmt_rtep_overlay_pool_end_ip),"Value Missing",input_mgmt_rtep_overlay_pool_end_ip)</f>
        <v>#REF!</v>
      </c>
      <c r="G178" s="7"/>
      <c r="H178" s="80" t="s">
        <v>6955</v>
      </c>
      <c r="I178" s="13" t="e">
        <f>IF(ISBLANK(input_wld_rtep_overlay_pool_end_ip),"Value Missing",input_wld_rtep_overlay_pool_end_ip)</f>
        <v>#REF!</v>
      </c>
      <c r="J178" s="7"/>
      <c r="K178" s="80" t="s">
        <v>6955</v>
      </c>
      <c r="L178" s="13"/>
      <c r="M178" s="7"/>
      <c r="N178" s="80" t="s">
        <v>6955</v>
      </c>
      <c r="O178" s="13"/>
      <c r="P178" s="7"/>
      <c r="Q178" s="80" t="s">
        <v>6955</v>
      </c>
      <c r="R178" s="13"/>
      <c r="S178" s="7"/>
      <c r="T178" s="80" t="s">
        <v>6955</v>
      </c>
      <c r="U178" s="13"/>
      <c r="V178" s="7"/>
      <c r="W178" s="80" t="s">
        <v>6955</v>
      </c>
      <c r="X178" s="13"/>
      <c r="Y178" s="7"/>
      <c r="Z178" s="80" t="s">
        <v>6955</v>
      </c>
      <c r="AA178" s="13"/>
      <c r="AB178" s="7"/>
      <c r="AC178" s="80" t="s">
        <v>6955</v>
      </c>
      <c r="AD178" s="13"/>
      <c r="AE178" s="7"/>
      <c r="AF178" s="7"/>
      <c r="AG178" s="27"/>
      <c r="AH178" s="27"/>
      <c r="AI178" s="27"/>
      <c r="AJ178" s="27"/>
      <c r="AK178" s="7"/>
    </row>
    <row r="179" spans="1:37" ht="19.5" customHeight="1">
      <c r="A179" s="7"/>
      <c r="B179" s="7"/>
      <c r="C179" s="7"/>
      <c r="D179" s="7"/>
      <c r="E179" s="7"/>
      <c r="F179" s="7"/>
      <c r="G179" s="7"/>
      <c r="H179" s="92"/>
      <c r="I179" s="7"/>
      <c r="J179" s="7"/>
      <c r="K179" s="93"/>
      <c r="L179" s="7"/>
      <c r="M179" s="71"/>
      <c r="N179" s="93"/>
      <c r="O179" s="7"/>
      <c r="P179" s="7"/>
      <c r="Q179" s="93"/>
      <c r="R179" s="7"/>
      <c r="S179" s="7"/>
      <c r="T179" s="93"/>
      <c r="U179" s="7"/>
      <c r="V179" s="7"/>
      <c r="W179" s="93"/>
      <c r="X179" s="7"/>
      <c r="Y179" s="7"/>
      <c r="Z179" s="93"/>
      <c r="AA179" s="7"/>
      <c r="AB179" s="7"/>
      <c r="AC179" s="93"/>
      <c r="AD179" s="7"/>
      <c r="AE179" s="7"/>
      <c r="AF179" s="7"/>
      <c r="AG179" s="27"/>
      <c r="AH179" s="27"/>
      <c r="AI179" s="27"/>
      <c r="AJ179" s="27"/>
      <c r="AK179" s="7"/>
    </row>
    <row r="180" spans="1:37" ht="19.5" customHeight="1">
      <c r="A180" s="7"/>
      <c r="B180" s="7"/>
      <c r="C180" s="7"/>
      <c r="D180" s="7"/>
      <c r="E180" s="83" t="s">
        <v>6956</v>
      </c>
      <c r="F180" s="50"/>
      <c r="G180" s="7"/>
      <c r="H180" s="83" t="s">
        <v>6957</v>
      </c>
      <c r="I180" s="50"/>
      <c r="J180" s="7"/>
      <c r="K180" s="83" t="s">
        <v>6958</v>
      </c>
      <c r="L180" s="50"/>
      <c r="M180" s="7"/>
      <c r="N180" s="83" t="s">
        <v>6959</v>
      </c>
      <c r="O180" s="50"/>
      <c r="P180" s="7"/>
      <c r="Q180" s="83" t="s">
        <v>6960</v>
      </c>
      <c r="R180" s="50"/>
      <c r="S180" s="7"/>
      <c r="T180" s="83" t="s">
        <v>6961</v>
      </c>
      <c r="U180" s="50"/>
      <c r="V180" s="7"/>
      <c r="W180" s="83" t="s">
        <v>6962</v>
      </c>
      <c r="X180" s="50"/>
      <c r="Y180" s="7"/>
      <c r="Z180" s="83" t="s">
        <v>6963</v>
      </c>
      <c r="AA180" s="50"/>
      <c r="AB180" s="7"/>
      <c r="AC180" s="83" t="s">
        <v>6964</v>
      </c>
      <c r="AD180" s="50"/>
      <c r="AE180" s="7"/>
      <c r="AF180" s="7"/>
      <c r="AG180" s="27"/>
      <c r="AH180" s="27"/>
      <c r="AI180" s="27"/>
      <c r="AJ180" s="27"/>
      <c r="AK180" s="7"/>
    </row>
    <row r="181" spans="1:37" ht="19.5" customHeight="1">
      <c r="A181" s="7"/>
      <c r="B181" s="7"/>
      <c r="C181" s="7"/>
      <c r="D181" s="7"/>
      <c r="E181" s="52" t="s">
        <v>6780</v>
      </c>
      <c r="F181" s="52" t="s">
        <v>6781</v>
      </c>
      <c r="G181" s="7"/>
      <c r="H181" s="52" t="s">
        <v>6780</v>
      </c>
      <c r="I181" s="52" t="s">
        <v>6943</v>
      </c>
      <c r="J181" s="7"/>
      <c r="K181" s="52" t="s">
        <v>6780</v>
      </c>
      <c r="L181" s="52" t="s">
        <v>6943</v>
      </c>
      <c r="M181" s="7"/>
      <c r="N181" s="52" t="s">
        <v>6780</v>
      </c>
      <c r="O181" s="52" t="s">
        <v>6943</v>
      </c>
      <c r="P181" s="87"/>
      <c r="Q181" s="52" t="s">
        <v>6780</v>
      </c>
      <c r="R181" s="52" t="s">
        <v>6943</v>
      </c>
      <c r="S181" s="87"/>
      <c r="T181" s="52" t="s">
        <v>6780</v>
      </c>
      <c r="U181" s="52" t="s">
        <v>6943</v>
      </c>
      <c r="V181" s="87"/>
      <c r="W181" s="52" t="s">
        <v>6780</v>
      </c>
      <c r="X181" s="52" t="s">
        <v>6943</v>
      </c>
      <c r="Y181" s="87"/>
      <c r="Z181" s="52" t="s">
        <v>6780</v>
      </c>
      <c r="AA181" s="52" t="s">
        <v>6943</v>
      </c>
      <c r="AB181" s="87"/>
      <c r="AC181" s="52" t="s">
        <v>6780</v>
      </c>
      <c r="AD181" s="52" t="s">
        <v>6943</v>
      </c>
      <c r="AE181" s="7"/>
      <c r="AF181" s="7"/>
      <c r="AG181" s="27"/>
      <c r="AH181" s="27"/>
      <c r="AI181" s="27"/>
      <c r="AJ181" s="27"/>
      <c r="AK181" s="7"/>
    </row>
    <row r="182" spans="1:37" ht="19.5" customHeight="1">
      <c r="A182" s="7"/>
      <c r="B182" s="7"/>
      <c r="C182" s="7"/>
      <c r="D182" s="7"/>
      <c r="E182" s="80" t="s">
        <v>6965</v>
      </c>
      <c r="F182" s="13" t="e">
        <f>CONCATENATE(this_instance,"01-m01","-r01-network-pool-01")</f>
        <v>#REF!</v>
      </c>
      <c r="G182" s="7"/>
      <c r="H182" s="80" t="s">
        <v>6966</v>
      </c>
      <c r="I182" s="13" t="e">
        <f>IF(ISBLANK(input_wld_az1_pool_name),"Value Missing",input_wld_az1_pool_name)</f>
        <v>#REF!</v>
      </c>
      <c r="J182" s="7"/>
      <c r="K182" s="80" t="s">
        <v>6965</v>
      </c>
      <c r="L182" s="13" t="e">
        <f>IF(ISBLANK(input_wld_az1_rack2_pool_name),"Value Missing",input_wld_az1_rack2_pool_name)</f>
        <v>#REF!</v>
      </c>
      <c r="M182" s="7"/>
      <c r="N182" s="80" t="s">
        <v>6966</v>
      </c>
      <c r="O182" s="13" t="e">
        <f>IF(ISBLANK(input_wld_az1_rack3_pool_name),"Value Missing",input_wld_az1_rack3_pool_name)</f>
        <v>#REF!</v>
      </c>
      <c r="P182" s="27"/>
      <c r="Q182" s="80" t="s">
        <v>6966</v>
      </c>
      <c r="R182" s="13" t="e">
        <f>IF(ISBLANK(input_wld_az1_rack4_pool_name),"Value Missing",input_wld_az1_rack4_pool_name)</f>
        <v>#REF!</v>
      </c>
      <c r="S182" s="27"/>
      <c r="T182" s="80" t="s">
        <v>6966</v>
      </c>
      <c r="U182" s="13" t="e">
        <f>IF(ISBLANK(input_wld_az1_rack5_pool_name),"Value Missing",input_wld_az1_rack5_pool_name)</f>
        <v>#REF!</v>
      </c>
      <c r="V182" s="27"/>
      <c r="W182" s="80" t="s">
        <v>6966</v>
      </c>
      <c r="X182" s="13" t="e">
        <f>IF(ISBLANK(input_wld_az1_rack6_pool_name),"Value Missing",input_wld_az1_rack6_pool_name)</f>
        <v>#REF!</v>
      </c>
      <c r="Y182" s="27"/>
      <c r="Z182" s="80" t="s">
        <v>6966</v>
      </c>
      <c r="AA182" s="13" t="e">
        <f>IF(ISBLANK(input_wld_az1_rack7_pool_name),"Value Missing",input_wld_az1_rack7_pool_name)</f>
        <v>#REF!</v>
      </c>
      <c r="AB182" s="27"/>
      <c r="AC182" s="80" t="s">
        <v>6966</v>
      </c>
      <c r="AD182" s="13" t="e">
        <f>IF(ISBLANK(input_wld_az1_rack8_pool_name),"Value Missing",input_wld_az1_rack8_pool_name)</f>
        <v>#REF!</v>
      </c>
      <c r="AE182" s="7"/>
      <c r="AF182" s="7"/>
      <c r="AG182" s="27"/>
      <c r="AH182" s="27"/>
      <c r="AI182" s="27"/>
      <c r="AJ182" s="7"/>
      <c r="AK182" s="7"/>
    </row>
    <row r="183" spans="1:37" ht="19.5" customHeight="1">
      <c r="A183" s="7"/>
      <c r="B183" s="7"/>
      <c r="C183" s="7"/>
      <c r="D183" s="7"/>
      <c r="E183" s="80" t="s">
        <v>6967</v>
      </c>
      <c r="F183" s="13" t="e">
        <f>CONCATENATE(this_instance,"01-",sample_mgmt_cl01_cluster,"-r01-network-profile")</f>
        <v>#REF!</v>
      </c>
      <c r="G183" s="51"/>
      <c r="H183" s="80" t="s">
        <v>6967</v>
      </c>
      <c r="I183" s="13" t="e">
        <f>IF(ISBLANK(input_wld_az1_rack1_host_overlay_network_profile_name),"Value Missing",input_wld_az1_rack1_host_overlay_network_profile_name)</f>
        <v>#REF!</v>
      </c>
      <c r="J183" s="51"/>
      <c r="K183" s="80" t="s">
        <v>6967</v>
      </c>
      <c r="L183" s="13" t="e">
        <f>IF(ISBLANK(input_wld_az1_rack2_host_overlay_network_profile_name),"Value Missing",input_wld_az1_rack2_host_overlay_network_profile_name)</f>
        <v>#REF!</v>
      </c>
      <c r="M183" s="7"/>
      <c r="N183" s="80" t="s">
        <v>6967</v>
      </c>
      <c r="O183" s="13" t="e">
        <f>IF(ISBLANK(input_wld_az1_rack3_host_overlay_network_profile_name),"Value Missing",input_wld_az1_rack3_host_overlay_network_profile_name)</f>
        <v>#REF!</v>
      </c>
      <c r="P183" s="7"/>
      <c r="Q183" s="80" t="s">
        <v>6967</v>
      </c>
      <c r="R183" s="13" t="e">
        <f>IF(ISBLANK(input_wld_az1_rack4_host_overlay_network_profile_name),"Value Missing",input_wld_az1_rack4_host_overlay_network_profile_name)</f>
        <v>#REF!</v>
      </c>
      <c r="S183" s="7"/>
      <c r="T183" s="80" t="s">
        <v>6967</v>
      </c>
      <c r="U183" s="13" t="e">
        <f>IF(ISBLANK(input_wld_az1_rack5_host_overlay_network_profile_name),"Value Missing",input_wld_az1_rack5_host_overlay_network_profile_name)</f>
        <v>#REF!</v>
      </c>
      <c r="V183" s="7"/>
      <c r="W183" s="80" t="s">
        <v>6967</v>
      </c>
      <c r="X183" s="13" t="e">
        <f>IF(ISBLANK(input_wld_az1_rack6_host_overlay_network_profile_name),"Value Missing",input_wld_az1_rack6_host_overlay_network_profile_name)</f>
        <v>#REF!</v>
      </c>
      <c r="Y183" s="7"/>
      <c r="Z183" s="80" t="s">
        <v>6967</v>
      </c>
      <c r="AA183" s="13" t="e">
        <f>IF(ISBLANK(input_wld_az1_rack7_host_overlay_network_profile_name),"Value Missing",input_wld_az1_rack7_host_overlay_network_profile_name)</f>
        <v>#REF!</v>
      </c>
      <c r="AB183" s="7"/>
      <c r="AC183" s="80" t="s">
        <v>6967</v>
      </c>
      <c r="AD183" s="13" t="e">
        <f>IF(ISBLANK(input_wld_az1_rack8_host_overlay_network_profile_name),"Value Missing",input_wld_az1_rack8_host_overlay_network_profile_name)</f>
        <v>#REF!</v>
      </c>
      <c r="AE183" s="7"/>
      <c r="AF183" s="7"/>
      <c r="AG183" s="27"/>
      <c r="AH183" s="27"/>
      <c r="AI183" s="27"/>
      <c r="AJ183" s="27"/>
      <c r="AK183" s="7"/>
    </row>
    <row r="184" spans="1:37" ht="19.5" customHeight="1">
      <c r="A184" s="7"/>
      <c r="B184" s="7"/>
      <c r="C184" s="7"/>
      <c r="D184" s="7"/>
      <c r="E184" s="80" t="s">
        <v>6968</v>
      </c>
      <c r="F184" s="94" t="str">
        <f>IF(ISBLANK(sample_mgmt_az1_host_overlay_network_pool_description),"Value Missing",sample_mgmt_az1_host_overlay_network_pool_description)</f>
        <v>ESX Host Overlay TEP IP Pool</v>
      </c>
      <c r="G184" s="7"/>
      <c r="H184" s="80" t="s">
        <v>6968</v>
      </c>
      <c r="I184" s="94" t="e">
        <f>IF(ISBLANK(sample_wld_az1_host_overlay_network_pool_description),"Value Missing",sample_wld_az1_host_overlay_network_pool_description)</f>
        <v>#REF!</v>
      </c>
      <c r="J184" s="7"/>
      <c r="K184" s="80" t="s">
        <v>6968</v>
      </c>
      <c r="L184" s="94"/>
      <c r="M184" s="7"/>
      <c r="N184" s="80" t="s">
        <v>6968</v>
      </c>
      <c r="O184" s="94"/>
      <c r="P184" s="71"/>
      <c r="Q184" s="80" t="s">
        <v>6968</v>
      </c>
      <c r="R184" s="94"/>
      <c r="S184" s="71"/>
      <c r="T184" s="80" t="s">
        <v>6968</v>
      </c>
      <c r="U184" s="94"/>
      <c r="V184" s="71"/>
      <c r="W184" s="80" t="s">
        <v>6968</v>
      </c>
      <c r="X184" s="94"/>
      <c r="Y184" s="71"/>
      <c r="Z184" s="80" t="s">
        <v>6968</v>
      </c>
      <c r="AA184" s="94"/>
      <c r="AB184" s="71"/>
      <c r="AC184" s="80" t="s">
        <v>6968</v>
      </c>
      <c r="AD184" s="94"/>
      <c r="AE184" s="7"/>
      <c r="AF184" s="7"/>
      <c r="AG184" s="27"/>
      <c r="AH184" s="27"/>
      <c r="AI184" s="27"/>
      <c r="AJ184" s="27"/>
      <c r="AK184" s="7"/>
    </row>
    <row r="185" spans="1:37" ht="19.5" customHeight="1">
      <c r="A185" s="7"/>
      <c r="B185" s="7"/>
      <c r="C185" s="7"/>
      <c r="D185" s="7"/>
      <c r="E185" s="80" t="s">
        <v>6969</v>
      </c>
      <c r="F185" s="13" t="str">
        <f>IF(ISBLANK(input_mgmt_az1_host_overlay_network_pool_name),"Value Missing",input_mgmt_az1_host_overlay_network_pool_name)</f>
        <v>Value Missing</v>
      </c>
      <c r="G185" s="53"/>
      <c r="H185" s="80" t="s">
        <v>6970</v>
      </c>
      <c r="I185" s="13" t="e">
        <f>IF(ISBLANK(input_wld_az1_host_overlay_network_pool_name),"Value Missing",input_wld_az1_host_overlay_network_pool_name)</f>
        <v>#REF!</v>
      </c>
      <c r="J185" s="53"/>
      <c r="K185" s="80" t="s">
        <v>6969</v>
      </c>
      <c r="L185" s="13" t="e">
        <f>IF(ISBLANK(input_wld_az1_rack2_host_overlay_network_pool_name),"Value Missing",input_wld_az1_rack2_host_overlay_network_pool_name)</f>
        <v>#REF!</v>
      </c>
      <c r="M185" s="7"/>
      <c r="N185" s="80" t="s">
        <v>6970</v>
      </c>
      <c r="O185" s="13" t="e">
        <f>IF(ISBLANK(input_wld_az1_rack3_host_overlay_network_pool_name),"Value Missing",input_wld_az1_rack3_host_overlay_network_pool_name)</f>
        <v>#REF!</v>
      </c>
      <c r="P185" s="7"/>
      <c r="Q185" s="80" t="s">
        <v>6970</v>
      </c>
      <c r="R185" s="13" t="e">
        <f>IF(ISBLANK(input_wld_az1_rack4_host_overlay_network_pool_name),"Value Missing",input_wld_az1_rack4_host_overlay_network_pool_name)</f>
        <v>#REF!</v>
      </c>
      <c r="S185" s="7"/>
      <c r="T185" s="80" t="s">
        <v>6970</v>
      </c>
      <c r="U185" s="13" t="e">
        <f>IF(ISBLANK(input_wld_az1_rack5_host_overlay_network_pool_name),"Value Missing",input_wld_az1_rack5_host_overlay_network_pool_name)</f>
        <v>#REF!</v>
      </c>
      <c r="V185" s="7"/>
      <c r="W185" s="80" t="s">
        <v>6970</v>
      </c>
      <c r="X185" s="13" t="e">
        <f>IF(ISBLANK(input_wld_az1_rack6_host_overlay_network_pool_name),"Value Missing",input_wld_az1_rack6_host_overlay_network_pool_name)</f>
        <v>#REF!</v>
      </c>
      <c r="Y185" s="7"/>
      <c r="Z185" s="80" t="s">
        <v>6970</v>
      </c>
      <c r="AA185" s="13" t="e">
        <f>IF(ISBLANK(input_wld_az1_rack7_host_overlay_network_pool_name),"Value Missing",input_wld_az1_rack7_host_overlay_network_pool_name)</f>
        <v>#REF!</v>
      </c>
      <c r="AB185" s="7"/>
      <c r="AC185" s="80" t="s">
        <v>6970</v>
      </c>
      <c r="AD185" s="13" t="e">
        <f>IF(ISBLANK(input_wld_az1_rack8_host_overlay_network_pool_name),"Value Missing",input_wld_az1_rack8_host_overlay_network_pool_name)</f>
        <v>#REF!</v>
      </c>
      <c r="AE185" s="7"/>
      <c r="AF185" s="7"/>
      <c r="AG185" s="27"/>
      <c r="AH185" s="27"/>
      <c r="AI185" s="27"/>
      <c r="AJ185" s="27"/>
      <c r="AK185" s="7"/>
    </row>
    <row r="186" spans="1:37" ht="19.5" customHeight="1">
      <c r="A186" s="7"/>
      <c r="B186" s="7"/>
      <c r="C186" s="7"/>
      <c r="D186" s="7"/>
      <c r="E186" s="30" t="s">
        <v>6971</v>
      </c>
      <c r="F186" s="13" t="str">
        <f>IF(ISBLANK(input_mgmt_host_overlay_transportzone),"Value Missing",input_mgmt_host_overlay_transportzone)</f>
        <v>Value Missing</v>
      </c>
      <c r="G186" s="53"/>
      <c r="H186" s="80" t="s">
        <v>6972</v>
      </c>
      <c r="I186" s="13" t="e">
        <f>IF(ISBLANK(input_wld_host_overlay_transportzone),"Value Missing",input_wld_host_overlay_transportzone)</f>
        <v>#REF!</v>
      </c>
      <c r="J186" s="53"/>
      <c r="K186" s="80"/>
      <c r="L186" s="13"/>
      <c r="M186" s="51"/>
      <c r="N186" s="80"/>
      <c r="O186" s="13"/>
      <c r="P186" s="7"/>
      <c r="Q186" s="80"/>
      <c r="R186" s="13"/>
      <c r="S186" s="7"/>
      <c r="T186" s="80"/>
      <c r="U186" s="13"/>
      <c r="V186" s="7"/>
      <c r="W186" s="80"/>
      <c r="X186" s="13"/>
      <c r="Y186" s="7"/>
      <c r="Z186" s="80"/>
      <c r="AA186" s="13"/>
      <c r="AB186" s="7"/>
      <c r="AC186" s="80"/>
      <c r="AD186" s="13"/>
      <c r="AE186" s="7"/>
      <c r="AF186" s="7"/>
      <c r="AG186" s="27"/>
      <c r="AH186" s="27"/>
      <c r="AI186" s="27"/>
      <c r="AJ186" s="27"/>
      <c r="AK186" s="7"/>
    </row>
    <row r="187" spans="1:37" ht="19.5" customHeight="1">
      <c r="A187" s="7"/>
      <c r="B187" s="7"/>
      <c r="C187" s="7"/>
      <c r="D187" s="7"/>
      <c r="E187" s="80" t="s">
        <v>6973</v>
      </c>
      <c r="F187" s="13" t="e">
        <f>CONCATENATE(this_instance,"01-m01","-r01-uplink-profile01")</f>
        <v>#REF!</v>
      </c>
      <c r="G187" s="7"/>
      <c r="H187" s="80" t="s">
        <v>6973</v>
      </c>
      <c r="I187" s="13" t="e">
        <f>IF(ISBLANK(input_wld_az1_host_overlay_uplink_profile_name),"Value Missing",input_wld_az1_host_overlay_uplink_profile_name)</f>
        <v>#REF!</v>
      </c>
      <c r="J187" s="7"/>
      <c r="K187" s="80" t="s">
        <v>6973</v>
      </c>
      <c r="L187" s="13" t="e">
        <f>IF(ISBLANK(input_wld_az1_rack2_host_overlay_uplink_profile_name),"Value Missing",input_wld_az1_rack2_host_overlay_uplink_profile_name)</f>
        <v>#REF!</v>
      </c>
      <c r="M187" s="9"/>
      <c r="N187" s="80" t="s">
        <v>6973</v>
      </c>
      <c r="O187" s="13" t="e">
        <f>IF(ISBLANK(input_wld_az1_rack3_host_overlay_uplink_profile_name),"Value Missing",input_wld_az1_rack3_host_overlay_uplink_profile_name)</f>
        <v>#REF!</v>
      </c>
      <c r="P187" s="7"/>
      <c r="Q187" s="80" t="s">
        <v>6973</v>
      </c>
      <c r="R187" s="13" t="e">
        <f>IF(ISBLANK(input_wld_az1_rack4_host_overlay_uplink_profile_name),"Value Missing",input_wld_az1_rack4_host_overlay_uplink_profile_name)</f>
        <v>#REF!</v>
      </c>
      <c r="S187" s="7"/>
      <c r="T187" s="80" t="s">
        <v>6973</v>
      </c>
      <c r="U187" s="13" t="e">
        <f>IF(ISBLANK(input_wld_az1_rack5_host_overlay_uplink_profile_name),"Value Missing",input_wld_az1_rack5_host_overlay_uplink_profile_name)</f>
        <v>#REF!</v>
      </c>
      <c r="V187" s="7"/>
      <c r="W187" s="80" t="s">
        <v>6973</v>
      </c>
      <c r="X187" s="13" t="e">
        <f>IF(ISBLANK(input_wld_az1_rack6_host_overlay_uplink_profile_name),"Value Missing",input_wld_az1_rack6_host_overlay_uplink_profile_name)</f>
        <v>#REF!</v>
      </c>
      <c r="Y187" s="7"/>
      <c r="Z187" s="80" t="s">
        <v>6973</v>
      </c>
      <c r="AA187" s="13" t="e">
        <f>IF(ISBLANK(input_wld_az1_rack7_host_overlay_uplink_profile_name),"Value Missing",input_wld_az1_rack7_host_overlay_uplink_profile_name)</f>
        <v>#REF!</v>
      </c>
      <c r="AB187" s="7"/>
      <c r="AC187" s="80" t="s">
        <v>6973</v>
      </c>
      <c r="AD187" s="13" t="e">
        <f>IF(ISBLANK(input_wld_az1_rack8_host_overlay_uplink_profile_name),"Value Missing",input_wld_az1_rack8_host_overlay_uplink_profile_name)</f>
        <v>#REF!</v>
      </c>
      <c r="AE187" s="7"/>
      <c r="AF187" s="7"/>
      <c r="AG187" s="27"/>
      <c r="AH187" s="27"/>
      <c r="AI187" s="27"/>
      <c r="AJ187" s="27"/>
      <c r="AK187" s="7"/>
    </row>
    <row r="188" spans="1:37" ht="19.5" customHeight="1">
      <c r="A188" s="7"/>
      <c r="B188" s="7"/>
      <c r="C188" s="7"/>
      <c r="D188" s="7"/>
      <c r="E188" s="80" t="s">
        <v>6974</v>
      </c>
      <c r="F188" s="13" t="e">
        <f>IF(ISBLANK(input_mgmt_az1_edge_overlay_network_pool_name),"Value Missing",input_mgmt_az1_edge_overlay_network_pool_name)</f>
        <v>#REF!</v>
      </c>
      <c r="G188" s="7"/>
      <c r="H188" s="80" t="s">
        <v>6974</v>
      </c>
      <c r="I188" s="13" t="e">
        <f>IF(ISBLANK(input_wld_az1_edge_overlay_network_pool_name),"Value Missing",input_wld_az1_edge_overlay_network_pool_name)</f>
        <v>#REF!</v>
      </c>
      <c r="J188" s="7"/>
      <c r="K188" s="80" t="s">
        <v>6974</v>
      </c>
      <c r="L188" s="13" t="e">
        <f>IF(ISBLANK(input_wld_az1_rack2_edge_overlay_network_pool_name),"Value Missing",input_wld_az1_rack2_edge_overlay_network_pool_name)</f>
        <v>#REF!</v>
      </c>
      <c r="M188" s="53"/>
      <c r="N188" s="80" t="s">
        <v>6974</v>
      </c>
      <c r="O188" s="13" t="e">
        <f>IF(ISBLANK(input_wld_az1_rack3_edge_overlay_network_pool_name),"Value Missing",input_wld_az1_rack3_edge_overlay_network_pool_name)</f>
        <v>#REF!</v>
      </c>
      <c r="P188" s="7"/>
      <c r="Q188" s="80" t="s">
        <v>6974</v>
      </c>
      <c r="R188" s="13" t="e">
        <f>IF(ISBLANK(input_wld_az1_rack4_edge_overlay_network_pool_name),"Value Missing",input_wld_az1_rack4_edge_overlay_network_pool_name)</f>
        <v>#REF!</v>
      </c>
      <c r="S188" s="7"/>
      <c r="T188" s="80" t="s">
        <v>6974</v>
      </c>
      <c r="U188" s="13" t="e">
        <f>IF(ISBLANK(input_wld_az1_rack5_edge_overlay_network_pool_name),"Value Missing",input_wld_az1_rack5_edge_overlay_network_pool_name)</f>
        <v>#REF!</v>
      </c>
      <c r="V188" s="7"/>
      <c r="W188" s="80" t="s">
        <v>6974</v>
      </c>
      <c r="X188" s="13" t="e">
        <f>IF(ISBLANK(input_wld_az1_rack6_edge_overlay_network_pool_name),"Value Missing",input_wld_az1_rack6_edge_overlay_network_pool_name)</f>
        <v>#REF!</v>
      </c>
      <c r="Y188" s="7"/>
      <c r="Z188" s="80" t="s">
        <v>6974</v>
      </c>
      <c r="AA188" s="13" t="e">
        <f>IF(ISBLANK(input_wld_az1_rack7_edge_overlay_network_pool_name),"Value Missing",input_wld_az1_rack7_edge_overlay_network_pool_name)</f>
        <v>#REF!</v>
      </c>
      <c r="AB188" s="7"/>
      <c r="AC188" s="56" t="s">
        <v>6974</v>
      </c>
      <c r="AD188" s="13" t="e">
        <f>IF(ISBLANK(input_wld_az1_rack8_edge_overlay_network_pool_name),"Value Missing",input_wld_az1_rack8_edge_overlay_network_pool_name)</f>
        <v>#REF!</v>
      </c>
      <c r="AE188" s="7"/>
      <c r="AF188" s="7"/>
      <c r="AG188" s="27"/>
      <c r="AH188" s="27"/>
      <c r="AI188" s="27"/>
      <c r="AJ188" s="27"/>
      <c r="AK188" s="7"/>
    </row>
    <row r="189" spans="1:37" ht="19.5" customHeight="1">
      <c r="A189" s="7"/>
      <c r="B189" s="7"/>
      <c r="C189" s="7"/>
      <c r="D189" s="7"/>
      <c r="E189" s="80" t="s">
        <v>6975</v>
      </c>
      <c r="F189" s="13" t="e">
        <f>IF(ISBLANK(input_mgmt_az1_rtep_ip_pool_name),"Value Missing",input_mgmt_az1_rtep_ip_pool_name)</f>
        <v>#REF!</v>
      </c>
      <c r="G189" s="7"/>
      <c r="H189" s="80" t="s">
        <v>6975</v>
      </c>
      <c r="I189" s="13" t="e">
        <f>IF(ISBLANK(input_wld_az1_rtep_ip_pool_name),"Value Missing",input_wld_az1_rtep_ip_pool_name)</f>
        <v>#REF!</v>
      </c>
      <c r="J189" s="7"/>
      <c r="K189" s="80" t="s">
        <v>6975</v>
      </c>
      <c r="L189" s="13" t="e">
        <f>IF(ISBLANK(input_wld_az1_rack2_rtep_ip_pool_name),"Value Missing",input_wld_az1_rack2_rtep_ip_pool_name)</f>
        <v>#REF!</v>
      </c>
      <c r="M189" s="53"/>
      <c r="N189" s="80" t="s">
        <v>6975</v>
      </c>
      <c r="O189" s="13" t="e">
        <f>IF(ISBLANK(input_wld_az1_rack3_rtep_ip_pool_name),"Value Missing",input_wld_az1_rack3_rtep_ip_pool_name)</f>
        <v>#REF!</v>
      </c>
      <c r="P189" s="7"/>
      <c r="Q189" s="80" t="s">
        <v>6975</v>
      </c>
      <c r="R189" s="13" t="e">
        <f>IF(ISBLANK(input_wld_az1_rack4_rtep_ip_pool_name),"Value Missing",input_wld_az1_rack4_rtep_ip_pool_name)</f>
        <v>#REF!</v>
      </c>
      <c r="S189" s="7"/>
      <c r="T189" s="80" t="s">
        <v>6975</v>
      </c>
      <c r="U189" s="13" t="e">
        <f>IF(ISBLANK(input_wld_az1_rack5_rtep_ip_pool_name),"Value Missing",input_wld_az1_rack5_rtep_ip_pool_name)</f>
        <v>#REF!</v>
      </c>
      <c r="V189" s="7"/>
      <c r="W189" s="80" t="s">
        <v>6975</v>
      </c>
      <c r="X189" s="13" t="e">
        <f>IF(ISBLANK(input_wld_az1_rack6_rtep_ip_pool_name),"Value Missing",input_wld_az1_rack6_rtep_ip_pool_name)</f>
        <v>#REF!</v>
      </c>
      <c r="Y189" s="7"/>
      <c r="Z189" s="80" t="s">
        <v>6975</v>
      </c>
      <c r="AA189" s="13" t="e">
        <f>IF(ISBLANK(input_wld_az1_rack7_rtep_ip_pool_name),"Value Missing",input_wld_az1_rack7_rtep_ip_pool_name)</f>
        <v>#REF!</v>
      </c>
      <c r="AB189" s="7"/>
      <c r="AC189" s="80" t="s">
        <v>6975</v>
      </c>
      <c r="AD189" s="13" t="e">
        <f>IF(ISBLANK(input_wld_az1_rack8_rtep_ip_pool_name),"Value Missing",input_wld_az1_rack8_rtep_ip_pool_name)</f>
        <v>#REF!</v>
      </c>
      <c r="AE189" s="7"/>
      <c r="AF189" s="7"/>
      <c r="AG189" s="27"/>
      <c r="AH189" s="27"/>
      <c r="AI189" s="27"/>
      <c r="AJ189" s="27"/>
      <c r="AK189" s="7"/>
    </row>
    <row r="190" spans="1:37" ht="19.5" customHeight="1">
      <c r="A190" s="7"/>
      <c r="B190" s="7"/>
      <c r="C190" s="7"/>
      <c r="D190" s="7"/>
      <c r="E190" s="80" t="s">
        <v>6976</v>
      </c>
      <c r="F190" s="13"/>
      <c r="G190" s="7"/>
      <c r="H190" s="80" t="s">
        <v>6976</v>
      </c>
      <c r="I190" s="13"/>
      <c r="J190" s="7"/>
      <c r="K190" s="80" t="s">
        <v>6976</v>
      </c>
      <c r="L190" s="13" t="e">
        <f>IF(ISBLANK(input_wld_az1_rack2_vsan_fault_domain),"Value Missing",input_wld_az1_rack2_vsan_fault_domain)</f>
        <v>#REF!</v>
      </c>
      <c r="M190" s="7"/>
      <c r="N190" s="80" t="s">
        <v>6976</v>
      </c>
      <c r="O190" s="13" t="e">
        <f>IF(ISBLANK(input_wld_az1_rack3_vsan_fault_domain),"Value Missing",input_wld_az1_rack3_vsan_fault_domain)</f>
        <v>#REF!</v>
      </c>
      <c r="P190" s="7"/>
      <c r="Q190" s="80" t="s">
        <v>6976</v>
      </c>
      <c r="R190" s="13" t="e">
        <f>IF(ISBLANK(input_wld_az1_rack4_vsan_fault_domain),"Value Missing",input_wld_az1_rack4_vsan_fault_domain)</f>
        <v>#REF!</v>
      </c>
      <c r="S190" s="7"/>
      <c r="T190" s="80" t="s">
        <v>6976</v>
      </c>
      <c r="U190" s="13" t="e">
        <f>IF(ISBLANK(input_wld_az1_rack5_vsan_fault_domain),"Value Missing",input_wld_az1_rack5_vsan_fault_domain)</f>
        <v>#REF!</v>
      </c>
      <c r="V190" s="7"/>
      <c r="W190" s="80" t="s">
        <v>6976</v>
      </c>
      <c r="X190" s="13" t="e">
        <f>IF(ISBLANK(input_wld_az1_rack6_vsan_fault_domain),"Value Missing",input_wld_az1_rack6_vsan_fault_domain)</f>
        <v>#REF!</v>
      </c>
      <c r="Y190" s="7"/>
      <c r="Z190" s="80" t="s">
        <v>6976</v>
      </c>
      <c r="AA190" s="13" t="e">
        <f>IF(ISBLANK(input_wld_az1_rack7_vsan_fault_domain),"Value Missing",input_wld_az1_rack7_vsan_fault_domain)</f>
        <v>#REF!</v>
      </c>
      <c r="AB190" s="7"/>
      <c r="AC190" s="80" t="s">
        <v>6976</v>
      </c>
      <c r="AD190" s="13" t="e">
        <f>IF(ISBLANK(input_wld_az1_rack8_vsan_fault_domain),"Value Missing",input_wld_az1_rack8_vsan_fault_domain)</f>
        <v>#REF!</v>
      </c>
      <c r="AE190" s="7"/>
      <c r="AF190" s="7"/>
      <c r="AG190" s="27"/>
      <c r="AH190" s="27"/>
      <c r="AI190" s="27"/>
      <c r="AJ190" s="27"/>
      <c r="AK190" s="7"/>
    </row>
    <row r="191" spans="1:37" ht="19.5" customHeight="1">
      <c r="A191" s="7"/>
      <c r="B191" s="7"/>
      <c r="C191" s="7"/>
      <c r="D191" s="7"/>
      <c r="E191" s="51"/>
      <c r="F191" s="51"/>
      <c r="G191" s="7"/>
      <c r="H191" s="95"/>
      <c r="I191" s="95"/>
      <c r="J191" s="7"/>
      <c r="K191" s="95"/>
      <c r="L191" s="68"/>
      <c r="M191" s="7"/>
      <c r="N191" s="95"/>
      <c r="O191" s="68"/>
      <c r="P191" s="51"/>
      <c r="Q191" s="95"/>
      <c r="R191" s="68"/>
      <c r="S191" s="51"/>
      <c r="T191" s="95"/>
      <c r="U191" s="68"/>
      <c r="V191" s="51"/>
      <c r="W191" s="95"/>
      <c r="X191" s="68"/>
      <c r="Y191" s="51"/>
      <c r="Z191" s="95"/>
      <c r="AA191" s="68"/>
      <c r="AB191" s="51"/>
      <c r="AC191" s="95"/>
      <c r="AD191" s="68"/>
      <c r="AE191" s="7"/>
      <c r="AF191" s="7"/>
      <c r="AG191" s="27"/>
      <c r="AH191" s="27"/>
      <c r="AI191" s="27"/>
      <c r="AJ191" s="27"/>
      <c r="AK191" s="7"/>
    </row>
    <row r="192" spans="1:37" ht="19.5" customHeight="1">
      <c r="A192" s="7"/>
      <c r="B192" s="7"/>
      <c r="C192" s="7"/>
      <c r="D192" s="7"/>
      <c r="E192" s="206" t="s">
        <v>6977</v>
      </c>
      <c r="F192" s="200"/>
      <c r="G192" s="7"/>
      <c r="H192" s="206" t="s">
        <v>6978</v>
      </c>
      <c r="I192" s="200"/>
      <c r="J192" s="7"/>
      <c r="K192" s="206" t="s">
        <v>6979</v>
      </c>
      <c r="L192" s="200"/>
      <c r="M192" s="7"/>
      <c r="N192" s="206" t="s">
        <v>6980</v>
      </c>
      <c r="O192" s="200"/>
      <c r="P192" s="7"/>
      <c r="Q192" s="206" t="s">
        <v>6981</v>
      </c>
      <c r="R192" s="200"/>
      <c r="S192" s="7"/>
      <c r="T192" s="206" t="s">
        <v>6981</v>
      </c>
      <c r="U192" s="200"/>
      <c r="V192" s="7"/>
      <c r="W192" s="206" t="s">
        <v>6981</v>
      </c>
      <c r="X192" s="200"/>
      <c r="Y192" s="7"/>
      <c r="Z192" s="206" t="s">
        <v>6981</v>
      </c>
      <c r="AA192" s="200"/>
      <c r="AB192" s="7"/>
      <c r="AC192" s="206" t="s">
        <v>6981</v>
      </c>
      <c r="AD192" s="200"/>
      <c r="AE192" s="7"/>
      <c r="AF192" s="7"/>
      <c r="AG192" s="27"/>
      <c r="AH192" s="27"/>
      <c r="AI192" s="27"/>
      <c r="AJ192" s="27"/>
      <c r="AK192" s="7"/>
    </row>
    <row r="193" spans="1:37" ht="19.5" customHeight="1">
      <c r="A193" s="7"/>
      <c r="B193" s="7"/>
      <c r="C193" s="7"/>
      <c r="D193" s="7"/>
      <c r="E193" s="52" t="s">
        <v>6780</v>
      </c>
      <c r="F193" s="52" t="s">
        <v>6781</v>
      </c>
      <c r="G193" s="7"/>
      <c r="H193" s="52" t="s">
        <v>6780</v>
      </c>
      <c r="I193" s="52" t="s">
        <v>6943</v>
      </c>
      <c r="J193" s="7"/>
      <c r="K193" s="52" t="s">
        <v>6780</v>
      </c>
      <c r="L193" s="52" t="s">
        <v>6943</v>
      </c>
      <c r="M193" s="7"/>
      <c r="N193" s="52" t="s">
        <v>6780</v>
      </c>
      <c r="O193" s="52" t="s">
        <v>6943</v>
      </c>
      <c r="P193" s="53"/>
      <c r="Q193" s="52" t="s">
        <v>6780</v>
      </c>
      <c r="R193" s="52" t="s">
        <v>6943</v>
      </c>
      <c r="S193" s="53"/>
      <c r="T193" s="52" t="s">
        <v>6780</v>
      </c>
      <c r="U193" s="52" t="s">
        <v>6943</v>
      </c>
      <c r="V193" s="53"/>
      <c r="W193" s="52" t="s">
        <v>6780</v>
      </c>
      <c r="X193" s="52" t="s">
        <v>6943</v>
      </c>
      <c r="Y193" s="53"/>
      <c r="Z193" s="52" t="s">
        <v>6780</v>
      </c>
      <c r="AA193" s="52" t="s">
        <v>6943</v>
      </c>
      <c r="AB193" s="53"/>
      <c r="AC193" s="52" t="s">
        <v>6780</v>
      </c>
      <c r="AD193" s="52" t="s">
        <v>6943</v>
      </c>
      <c r="AE193" s="7"/>
      <c r="AF193" s="7"/>
      <c r="AG193" s="27"/>
      <c r="AH193" s="27"/>
      <c r="AI193" s="27"/>
      <c r="AJ193" s="27"/>
      <c r="AK193" s="7"/>
    </row>
    <row r="194" spans="1:37" ht="19.5" customHeight="1">
      <c r="A194" s="7"/>
      <c r="B194" s="7"/>
      <c r="C194" s="7"/>
      <c r="D194" s="7"/>
      <c r="E194" s="30" t="s">
        <v>6982</v>
      </c>
      <c r="F194" s="66"/>
      <c r="G194" s="7"/>
      <c r="H194" s="30" t="s">
        <v>6983</v>
      </c>
      <c r="I194" s="13"/>
      <c r="J194" s="7"/>
      <c r="K194" s="30" t="s">
        <v>6984</v>
      </c>
      <c r="L194" s="66" t="str">
        <f>IF(ISBLANK(input_wld_az1_rack2_mgmt_vm_cidr),"Value Missing",VLOOKUP(INT(RIGHT(input_wld_az1_rack2_mgmt_vm_cidr,LEN(input_wld_az1_rack2_mgmt_vm_cidr)-FIND("/",input_wld_az1_rack2_mgmt_vm_cidr))),table_cidr_to_mask,2,FALSE))</f>
        <v>Value Missing</v>
      </c>
      <c r="M194" s="7"/>
      <c r="N194" s="30" t="s">
        <v>6985</v>
      </c>
      <c r="O194" s="66" t="str">
        <f>IF(ISBLANK(input_wld_az1_rack3_mgmt_vm_cidr),"Value Missing",VLOOKUP(INT(RIGHT(input_wld_az1_rack3_mgmt_vm_cidr,LEN(input_wld_az1_rack3_mgmt_vm_cidr)-FIND("/",input_wld_az1_rack3_mgmt_vm_cidr))),table_cidr_to_mask,2,FALSE))</f>
        <v>Value Missing</v>
      </c>
      <c r="P194" s="53"/>
      <c r="Q194" s="30" t="s">
        <v>6986</v>
      </c>
      <c r="R194" s="66" t="str">
        <f>IF(ISBLANK(input_wld_az1_rack4_mgmt_vm_cidr),"Value Missing",VLOOKUP(INT(RIGHT(input_wld_az1_rack4_mgmt_vm_cidr,LEN(input_wld_az1_rack4_mgmt_vm_cidr)-FIND("/",input_wld_az1_rack4_mgmt_vm_cidr))),table_cidr_to_mask,2,FALSE))</f>
        <v>Value Missing</v>
      </c>
      <c r="S194" s="53"/>
      <c r="T194" s="30" t="s">
        <v>6987</v>
      </c>
      <c r="U194" s="66" t="str">
        <f>IF(ISBLANK(input_wld_az1_rack5_mgmt_vm_cidr),"Value Missing",VLOOKUP(INT(RIGHT(input_wld_az1_rack5_mgmt_vm_cidr,LEN(input_wld_az1_rack5_mgmt_vm_cidr)-FIND("/",input_wld_az1_rack5_mgmt_vm_cidr))),table_cidr_to_mask,2,FALSE))</f>
        <v>Value Missing</v>
      </c>
      <c r="V194" s="53"/>
      <c r="W194" s="30" t="s">
        <v>6988</v>
      </c>
      <c r="X194" s="66" t="str">
        <f>IF(ISBLANK(input_wld_az1_rack6_mgmt_vm_cidr),"Value Missing",VLOOKUP(INT(RIGHT(input_wld_az1_rack6_mgmt_vm_cidr,LEN(input_wld_az1_rack6_mgmt_vm_cidr)-FIND("/",input_wld_az1_rack6_mgmt_vm_cidr))),table_cidr_to_mask,2,FALSE))</f>
        <v>Value Missing</v>
      </c>
      <c r="Y194" s="53"/>
      <c r="Z194" s="30" t="s">
        <v>6989</v>
      </c>
      <c r="AA194" s="66" t="str">
        <f>IF(ISBLANK(input_wld_az1_rack7_mgmt_vm_cidr),"Value Missing",VLOOKUP(INT(RIGHT(input_wld_az1_rack7_mgmt_vm_cidr,LEN(input_wld_az1_rack7_mgmt_vm_cidr)-FIND("/",input_wld_az1_rack7_mgmt_vm_cidr))),table_cidr_to_mask,2,FALSE))</f>
        <v>Value Missing</v>
      </c>
      <c r="AB194" s="53"/>
      <c r="AC194" s="30" t="s">
        <v>6990</v>
      </c>
      <c r="AD194" s="66" t="str">
        <f>IF(ISBLANK(input_wld_az1_rack8_mgmt_vm_cidr),"Value Missing",VLOOKUP(INT(RIGHT(input_wld_az1_rack8_mgmt_vm_cidr,LEN(input_wld_az1_rack8_mgmt_vm_cidr)-FIND("/",input_wld_az1_rack8_mgmt_vm_cidr))),table_cidr_to_mask,2,FALSE))</f>
        <v>Value Missing</v>
      </c>
      <c r="AE194" s="7"/>
      <c r="AF194" s="7"/>
      <c r="AG194" s="27"/>
      <c r="AH194" s="27"/>
      <c r="AI194" s="27"/>
      <c r="AJ194" s="27"/>
      <c r="AK194" s="7"/>
    </row>
    <row r="195" spans="1:37" ht="19.5" customHeight="1">
      <c r="A195" s="7"/>
      <c r="B195" s="27"/>
      <c r="C195" s="27"/>
      <c r="D195" s="7"/>
      <c r="E195" s="30" t="s">
        <v>6991</v>
      </c>
      <c r="F195" s="13"/>
      <c r="G195" s="53"/>
      <c r="H195" s="30" t="s">
        <v>6992</v>
      </c>
      <c r="I195" s="13"/>
      <c r="J195" s="53"/>
      <c r="K195" s="30" t="s">
        <v>6993</v>
      </c>
      <c r="L195" s="13" t="e">
        <f>IF(ISBLANK(input_wld_az1_rack2_mgmt_cidr),"Value Missing",VLOOKUP(INT(RIGHT(input_wld_az1_rack2_mgmt_cidr,LEN(input_wld_az1_rack2_mgmt_cidr)-FIND("/",input_wld_az1_rack2_mgmt_cidr))),table_cidr_to_mask,2,FALSE))</f>
        <v>#REF!</v>
      </c>
      <c r="M195" s="7"/>
      <c r="N195" s="30" t="s">
        <v>6994</v>
      </c>
      <c r="O195" s="13" t="e">
        <f>IF(ISBLANK(input_wld_az1_rack3_mgmt_cidr),"Value Missing",VLOOKUP(INT(RIGHT(input_wld_az1_rack3_mgmt_cidr,LEN(input_wld_az1_rack3_mgmt_cidr)-FIND("/",input_wld_az1_rack3_mgmt_cidr))),table_cidr_to_mask,2,FALSE))</f>
        <v>#REF!</v>
      </c>
      <c r="P195" s="7"/>
      <c r="Q195" s="30" t="s">
        <v>6995</v>
      </c>
      <c r="R195" s="13" t="e">
        <f>IF(ISBLANK(input_wld_az1_rack4_mgmt_cidr),"Value Missing",VLOOKUP(INT(RIGHT(input_wld_az1_rack4_mgmt_cidr,LEN(input_wld_az1_rack4_mgmt_cidr)-FIND("/",input_wld_az1_rack4_mgmt_cidr))),table_cidr_to_mask,2,FALSE))</f>
        <v>#REF!</v>
      </c>
      <c r="S195" s="7"/>
      <c r="T195" s="30" t="s">
        <v>6996</v>
      </c>
      <c r="U195" s="13" t="e">
        <f>IF(ISBLANK(input_wld_az1_rack5_mgmt_cidr),"Value Missing",VLOOKUP(INT(RIGHT(input_wld_az1_rack5_mgmt_cidr,LEN(input_wld_az1_rack5_mgmt_cidr)-FIND("/",input_wld_az1_rack5_mgmt_cidr))),table_cidr_to_mask,2,FALSE))</f>
        <v>#REF!</v>
      </c>
      <c r="V195" s="7"/>
      <c r="W195" s="30" t="s">
        <v>6997</v>
      </c>
      <c r="X195" s="13" t="e">
        <f>IF(ISBLANK(input_wld_az1_rack6_mgmt_cidr),"Value Missing",VLOOKUP(INT(RIGHT(input_wld_az1_rack6_mgmt_cidr,LEN(input_wld_az1_rack6_mgmt_cidr)-FIND("/",input_wld_az1_rack6_mgmt_cidr))),table_cidr_to_mask,2,FALSE))</f>
        <v>#REF!</v>
      </c>
      <c r="Y195" s="7"/>
      <c r="Z195" s="30" t="s">
        <v>6998</v>
      </c>
      <c r="AA195" s="13" t="e">
        <f>IF(ISBLANK(input_wld_az1_rack7_mgmt_cidr),"Value Missing",VLOOKUP(INT(RIGHT(input_wld_az1_rack7_mgmt_cidr,LEN(input_wld_az1_rack7_mgmt_cidr)-FIND("/",input_wld_az1_rack7_mgmt_cidr))),table_cidr_to_mask,2,FALSE))</f>
        <v>#REF!</v>
      </c>
      <c r="AB195" s="7"/>
      <c r="AC195" s="30" t="s">
        <v>6999</v>
      </c>
      <c r="AD195" s="13" t="e">
        <f>IF(ISBLANK(input_wld_az1_rack8_mgmt_cidr),"Value Missing",VLOOKUP(INT(RIGHT(input_wld_az1_rack8_mgmt_cidr,LEN(input_wld_az1_rack8_mgmt_cidr)-FIND("/",input_wld_az1_rack8_mgmt_cidr))),table_cidr_to_mask,2,FALSE))</f>
        <v>#REF!</v>
      </c>
      <c r="AE195" s="7"/>
      <c r="AF195" s="7"/>
      <c r="AG195" s="27"/>
      <c r="AH195" s="27"/>
      <c r="AI195" s="27"/>
      <c r="AJ195" s="27"/>
      <c r="AK195" s="7"/>
    </row>
    <row r="196" spans="1:37" ht="19.5" customHeight="1">
      <c r="A196" s="7"/>
      <c r="B196" s="27"/>
      <c r="C196" s="2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27"/>
      <c r="AF196" s="27"/>
      <c r="AG196" s="27"/>
      <c r="AH196" s="27"/>
      <c r="AI196" s="27"/>
      <c r="AJ196" s="27"/>
      <c r="AK196" s="27"/>
    </row>
    <row r="197" spans="1:37" ht="19.5" customHeight="1">
      <c r="A197" s="7"/>
      <c r="B197" s="27"/>
      <c r="C197" s="27"/>
      <c r="D197" s="7"/>
      <c r="E197" s="83" t="s">
        <v>7000</v>
      </c>
      <c r="F197" s="83"/>
      <c r="G197" s="7"/>
      <c r="H197" s="83" t="s">
        <v>7001</v>
      </c>
      <c r="I197" s="83"/>
      <c r="J197" s="7"/>
      <c r="K197" s="83" t="s">
        <v>7002</v>
      </c>
      <c r="L197" s="83"/>
      <c r="M197" s="7"/>
      <c r="N197" s="83" t="s">
        <v>7003</v>
      </c>
      <c r="O197" s="83"/>
      <c r="P197" s="53"/>
      <c r="Q197" s="83" t="s">
        <v>7004</v>
      </c>
      <c r="R197" s="83"/>
      <c r="S197" s="53"/>
      <c r="T197" s="83" t="s">
        <v>7005</v>
      </c>
      <c r="U197" s="83"/>
      <c r="V197" s="53"/>
      <c r="W197" s="83" t="s">
        <v>7006</v>
      </c>
      <c r="X197" s="83"/>
      <c r="Y197" s="53"/>
      <c r="Z197" s="83" t="s">
        <v>7007</v>
      </c>
      <c r="AA197" s="83"/>
      <c r="AB197" s="53"/>
      <c r="AC197" s="83" t="s">
        <v>7008</v>
      </c>
      <c r="AD197" s="83"/>
      <c r="AE197" s="27"/>
      <c r="AF197" s="27"/>
      <c r="AG197" s="27"/>
      <c r="AH197" s="27"/>
      <c r="AI197" s="27"/>
      <c r="AJ197" s="27"/>
      <c r="AK197" s="27"/>
    </row>
    <row r="198" spans="1:37" ht="19.5" customHeight="1">
      <c r="A198" s="7"/>
      <c r="B198" s="27"/>
      <c r="C198" s="27"/>
      <c r="D198" s="7"/>
      <c r="E198" s="52" t="s">
        <v>6780</v>
      </c>
      <c r="F198" s="52" t="s">
        <v>6781</v>
      </c>
      <c r="G198" s="7"/>
      <c r="H198" s="52" t="s">
        <v>6780</v>
      </c>
      <c r="I198" s="52" t="s">
        <v>6943</v>
      </c>
      <c r="J198" s="7"/>
      <c r="K198" s="52" t="s">
        <v>6780</v>
      </c>
      <c r="L198" s="52" t="s">
        <v>6943</v>
      </c>
      <c r="M198" s="7"/>
      <c r="N198" s="52" t="s">
        <v>6780</v>
      </c>
      <c r="O198" s="52" t="s">
        <v>6943</v>
      </c>
      <c r="P198" s="53"/>
      <c r="Q198" s="52" t="s">
        <v>6780</v>
      </c>
      <c r="R198" s="52" t="s">
        <v>6943</v>
      </c>
      <c r="S198" s="53"/>
      <c r="T198" s="52" t="s">
        <v>6780</v>
      </c>
      <c r="U198" s="52" t="s">
        <v>6943</v>
      </c>
      <c r="V198" s="53"/>
      <c r="W198" s="52" t="s">
        <v>6780</v>
      </c>
      <c r="X198" s="52" t="s">
        <v>6943</v>
      </c>
      <c r="Y198" s="53"/>
      <c r="Z198" s="52" t="s">
        <v>6780</v>
      </c>
      <c r="AA198" s="52" t="s">
        <v>6943</v>
      </c>
      <c r="AB198" s="53"/>
      <c r="AC198" s="52" t="s">
        <v>6780</v>
      </c>
      <c r="AD198" s="52" t="s">
        <v>6943</v>
      </c>
      <c r="AE198" s="27"/>
      <c r="AF198" s="27"/>
      <c r="AG198" s="27"/>
      <c r="AH198" s="27"/>
      <c r="AI198" s="27"/>
      <c r="AJ198" s="27"/>
      <c r="AK198" s="27"/>
    </row>
    <row r="199" spans="1:37" ht="19.5" customHeight="1">
      <c r="A199" s="7"/>
      <c r="B199" s="27"/>
      <c r="C199" s="27"/>
      <c r="D199" s="7"/>
      <c r="E199" s="30" t="s">
        <v>7009</v>
      </c>
      <c r="F199" s="13" t="e">
        <f>IF(ISBLANK(input_mgmt_az1_host1_mgmt_ip),"Value Missing",input_mgmt_az1_host1_mgmt_ip)</f>
        <v>#REF!</v>
      </c>
      <c r="G199" s="7"/>
      <c r="H199" s="30" t="s">
        <v>7009</v>
      </c>
      <c r="I199" s="13" t="e">
        <f>IF(ISBLANK(input_wld_az1_host1_mgmt_ip),"Value Missing",input_wld_az1_host1_mgmt_ip)</f>
        <v>#REF!</v>
      </c>
      <c r="J199" s="7"/>
      <c r="K199" s="30" t="s">
        <v>7009</v>
      </c>
      <c r="L199" s="13" t="e">
        <f>IF(ISBLANK(input_wld_az1_rack2_host1_mgmt_ip),"Value Missing",input_wld_az1_rack2_host1_mgmt_ip)</f>
        <v>#REF!</v>
      </c>
      <c r="M199" s="7"/>
      <c r="N199" s="30" t="s">
        <v>7009</v>
      </c>
      <c r="O199" s="13" t="e">
        <f>IF(ISBLANK(input_wld_az1_rack3_host1_mgmt_ip),"Value Missing",input_wld_az1_rack3_host1_mgmt_ip)</f>
        <v>#REF!</v>
      </c>
      <c r="P199" s="7"/>
      <c r="Q199" s="30" t="s">
        <v>7009</v>
      </c>
      <c r="R199" s="13" t="e">
        <f>IF(ISBLANK(input_wld_az1_rack4_host1_mgmt_ip),"Value Missing",input_wld_az1_rack4_host1_mgmt_ip)</f>
        <v>#REF!</v>
      </c>
      <c r="S199" s="7"/>
      <c r="T199" s="30" t="s">
        <v>7009</v>
      </c>
      <c r="U199" s="13" t="e">
        <f>IF(ISBLANK(input_wld_az1_rack5_host1_mgmt_ip),"Value Missing",input_wld_az1_rack5_host1_mgmt_ip)</f>
        <v>#REF!</v>
      </c>
      <c r="V199" s="7"/>
      <c r="W199" s="30" t="s">
        <v>7009</v>
      </c>
      <c r="X199" s="13" t="e">
        <f>IF(ISBLANK(input_wld_az1_rack6_host1_mgmt_ip),"Value Missing",input_wld_az1_rack6_host1_mgmt_ip)</f>
        <v>#REF!</v>
      </c>
      <c r="Y199" s="7"/>
      <c r="Z199" s="30" t="s">
        <v>7009</v>
      </c>
      <c r="AA199" s="13" t="e">
        <f>IF(ISBLANK(input_wld_az1_rack7_host1_mgmt_ip),"Value Missing",input_wld_az1_rack7_host1_mgmt_ip)</f>
        <v>#REF!</v>
      </c>
      <c r="AB199" s="7"/>
      <c r="AC199" s="30" t="s">
        <v>7009</v>
      </c>
      <c r="AD199" s="13" t="e">
        <f>IF(ISBLANK(input_wld_az1_rack8_host1_mgmt_ip),"Value Missing",input_wld_az1_rack8_host1_mgmt_ip)</f>
        <v>#REF!</v>
      </c>
      <c r="AE199" s="27"/>
      <c r="AF199" s="27"/>
      <c r="AG199" s="27"/>
      <c r="AH199" s="27"/>
      <c r="AI199" s="27"/>
      <c r="AJ199" s="27"/>
      <c r="AK199" s="27"/>
    </row>
    <row r="200" spans="1:37" ht="19.5" customHeight="1">
      <c r="A200" s="7"/>
      <c r="B200" s="27"/>
      <c r="C200" s="27"/>
      <c r="D200" s="7"/>
      <c r="E200" s="30" t="s">
        <v>7010</v>
      </c>
      <c r="F200" s="13" t="e">
        <f>IF(ISBLANK(input_mgmt_az1_host2_mgmt_ip),"Value Missing",input_mgmt_az1_host2_mgmt_ip)</f>
        <v>#REF!</v>
      </c>
      <c r="G200" s="7"/>
      <c r="H200" s="30" t="s">
        <v>7010</v>
      </c>
      <c r="I200" s="13" t="e">
        <f>IF(ISBLANK(input_wld_az1_host2_mgmt_ip),"Value Missing",input_wld_az1_host2_mgmt_ip)</f>
        <v>#REF!</v>
      </c>
      <c r="J200" s="7"/>
      <c r="K200" s="30" t="s">
        <v>7010</v>
      </c>
      <c r="L200" s="13" t="e">
        <f>IF(ISBLANK(input_wld_az1_rack2_host2_mgmt_ip),"Value Missing",input_wld_az1_rack2_host2_mgmt_ip)</f>
        <v>#REF!</v>
      </c>
      <c r="M200" s="7"/>
      <c r="N200" s="30" t="s">
        <v>7010</v>
      </c>
      <c r="O200" s="13" t="e">
        <f>IF(ISBLANK(input_wld_az1_rack3_host2_mgmt_ip),"Value Missing",input_wld_az1_rack3_host2_mgmt_ip)</f>
        <v>#REF!</v>
      </c>
      <c r="P200" s="7"/>
      <c r="Q200" s="30" t="s">
        <v>7010</v>
      </c>
      <c r="R200" s="13" t="e">
        <f>IF(ISBLANK(input_wld_az1_rack4_host2_mgmt_ip),"Value Missing",input_wld_az1_rack4_host2_mgmt_ip)</f>
        <v>#REF!</v>
      </c>
      <c r="S200" s="7"/>
      <c r="T200" s="30" t="s">
        <v>7010</v>
      </c>
      <c r="U200" s="13" t="e">
        <f>IF(ISBLANK(input_wld_az1_rack5_host2_mgmt_ip),"Value Missing",input_wld_az1_rack5_host2_mgmt_ip)</f>
        <v>#REF!</v>
      </c>
      <c r="V200" s="7"/>
      <c r="W200" s="30" t="s">
        <v>7010</v>
      </c>
      <c r="X200" s="13" t="e">
        <f>IF(ISBLANK(input_wld_az1_rack6_host2_mgmt_ip),"Value Missing",input_wld_az1_rack6_host2_mgmt_ip)</f>
        <v>#REF!</v>
      </c>
      <c r="Y200" s="7"/>
      <c r="Z200" s="30" t="s">
        <v>7010</v>
      </c>
      <c r="AA200" s="13" t="e">
        <f>IF(ISBLANK(input_wld_az1_rack7_host2_mgmt_ip),"Value Missing",input_wld_az1_rack7_host2_mgmt_ip)</f>
        <v>#REF!</v>
      </c>
      <c r="AB200" s="7"/>
      <c r="AC200" s="30" t="s">
        <v>7010</v>
      </c>
      <c r="AD200" s="13" t="e">
        <f>IF(ISBLANK(input_wld_az1_rack8_host2_mgmt_ip),"Value Missing",input_wld_az1_rack8_host2_mgmt_ip)</f>
        <v>#REF!</v>
      </c>
      <c r="AE200" s="27"/>
      <c r="AF200" s="27"/>
      <c r="AG200" s="27"/>
      <c r="AH200" s="27"/>
      <c r="AI200" s="27"/>
      <c r="AJ200" s="27"/>
      <c r="AK200" s="27"/>
    </row>
    <row r="201" spans="1:37" ht="19.5" customHeight="1">
      <c r="A201" s="7"/>
      <c r="B201" s="27"/>
      <c r="C201" s="27"/>
      <c r="D201" s="7"/>
      <c r="E201" s="30" t="s">
        <v>7011</v>
      </c>
      <c r="F201" s="13" t="e">
        <f>IF(ISBLANK(input_mgmt_az1_host3_mgmt_ip),"Value Missing",input_mgmt_az1_host3_mgmt_ip)</f>
        <v>#REF!</v>
      </c>
      <c r="G201" s="7"/>
      <c r="H201" s="30" t="s">
        <v>7011</v>
      </c>
      <c r="I201" s="13" t="e">
        <f>IF(ISBLANK(input_wld_az1_host3_mgmt_ip),"Value Missing",input_wld_az1_host3_mgmt_ip)</f>
        <v>#REF!</v>
      </c>
      <c r="J201" s="7"/>
      <c r="K201" s="30" t="s">
        <v>7011</v>
      </c>
      <c r="L201" s="13" t="e">
        <f>IF(ISBLANK(input_wld_az1_rack2_host3_mgmt_ip),"Value Missing",input_wld_az1_rack2_host3_mgmt_ip)</f>
        <v>#REF!</v>
      </c>
      <c r="M201" s="7"/>
      <c r="N201" s="30" t="s">
        <v>7011</v>
      </c>
      <c r="O201" s="13" t="e">
        <f>IF(ISBLANK(input_wld_az1_rack3_host3_mgmt_ip),"Value Missing",input_wld_az1_rack3_host3_mgmt_ip)</f>
        <v>#REF!</v>
      </c>
      <c r="P201" s="7"/>
      <c r="Q201" s="30" t="s">
        <v>7011</v>
      </c>
      <c r="R201" s="13" t="e">
        <f>IF(ISBLANK(input_wld_az1_rack4_host3_mgmt_ip),"Value Missing",input_wld_az1_rack4_host3_mgmt_ip)</f>
        <v>#REF!</v>
      </c>
      <c r="S201" s="7"/>
      <c r="T201" s="30" t="s">
        <v>7011</v>
      </c>
      <c r="U201" s="13" t="e">
        <f>IF(ISBLANK(input_wld_az1_rack5_host3_mgmt_ip),"Value Missing",input_wld_az1_rack5_host3_mgmt_ip)</f>
        <v>#REF!</v>
      </c>
      <c r="V201" s="7"/>
      <c r="W201" s="30" t="s">
        <v>7011</v>
      </c>
      <c r="X201" s="13" t="e">
        <f>IF(ISBLANK(input_wld_az1_rack6_host3_mgmt_ip),"Value Missing",input_wld_az1_rack6_host3_mgmt_ip)</f>
        <v>#REF!</v>
      </c>
      <c r="Y201" s="7"/>
      <c r="Z201" s="30" t="s">
        <v>7011</v>
      </c>
      <c r="AA201" s="13" t="e">
        <f>IF(ISBLANK(input_wld_az1_rack7_host3_mgmt_ip),"Value Missing",input_wld_az1_rack7_host3_mgmt_ip)</f>
        <v>#REF!</v>
      </c>
      <c r="AB201" s="7"/>
      <c r="AC201" s="30" t="s">
        <v>7011</v>
      </c>
      <c r="AD201" s="13" t="e">
        <f>IF(ISBLANK(input_wld_az1_rack8_host3_mgmt_ip),"Value Missing",input_wld_az1_rack8_host3_mgmt_ip)</f>
        <v>#REF!</v>
      </c>
      <c r="AE201" s="27"/>
      <c r="AF201" s="27"/>
      <c r="AG201" s="27"/>
      <c r="AH201" s="27"/>
      <c r="AI201" s="27"/>
      <c r="AJ201" s="27"/>
      <c r="AK201" s="27"/>
    </row>
    <row r="202" spans="1:37" ht="19.5" customHeight="1">
      <c r="A202" s="7"/>
      <c r="B202" s="27"/>
      <c r="C202" s="27"/>
      <c r="D202" s="7"/>
      <c r="E202" s="30" t="s">
        <v>7012</v>
      </c>
      <c r="F202" s="13" t="e">
        <f>IF(ISBLANK(input_mgmt_az1_host4_mgmt_ip),"Value Missing",input_mgmt_az1_host4_mgmt_ip)</f>
        <v>#REF!</v>
      </c>
      <c r="G202" s="7"/>
      <c r="H202" s="30" t="s">
        <v>7012</v>
      </c>
      <c r="I202" s="13" t="e">
        <f>IF(ISBLANK(input_wld_az1_host4_mgmt_ip),"Value Missing",input_wld_az1_host4_mgmt_ip)</f>
        <v>#REF!</v>
      </c>
      <c r="J202" s="7"/>
      <c r="K202" s="30" t="s">
        <v>7012</v>
      </c>
      <c r="L202" s="13" t="e">
        <f>IF(ISBLANK(input_wld_az1_rack2_host4_mgmt_ip),"Value Missing",input_wld_az1_rack2_host4_mgmt_ip)</f>
        <v>#REF!</v>
      </c>
      <c r="M202" s="7"/>
      <c r="N202" s="30" t="s">
        <v>7012</v>
      </c>
      <c r="O202" s="13" t="e">
        <f>IF(ISBLANK(input_wld_az1_rack3_host4_mgmt_ip),"Value Missing",input_wld_az1_rack3_host4_mgmt_ip)</f>
        <v>#REF!</v>
      </c>
      <c r="P202" s="7"/>
      <c r="Q202" s="30" t="s">
        <v>7012</v>
      </c>
      <c r="R202" s="13" t="e">
        <f>IF(ISBLANK(input_wld_az1_rack4_host4_mgmt_ip),"Value Missing",input_wld_az1_rack4_host4_mgmt_ip)</f>
        <v>#REF!</v>
      </c>
      <c r="S202" s="7"/>
      <c r="T202" s="30" t="s">
        <v>7012</v>
      </c>
      <c r="U202" s="13" t="e">
        <f>IF(ISBLANK(input_wld_az1_rack5_host4_mgmt_ip),"Value Missing",input_wld_az1_rack5_host4_mgmt_ip)</f>
        <v>#REF!</v>
      </c>
      <c r="V202" s="7"/>
      <c r="W202" s="30" t="s">
        <v>7012</v>
      </c>
      <c r="X202" s="13" t="e">
        <f>IF(ISBLANK(input_wld_az1_rack6_host4_mgmt_ip),"Value Missing",input_wld_az1_rack6_host4_mgmt_ip)</f>
        <v>#REF!</v>
      </c>
      <c r="Y202" s="7"/>
      <c r="Z202" s="30" t="s">
        <v>7012</v>
      </c>
      <c r="AA202" s="13" t="e">
        <f>IF(ISBLANK(input_wld_az1_rack7_host4_mgmt_ip),"Value Missing",input_wld_az1_rack7_host4_mgmt_ip)</f>
        <v>#REF!</v>
      </c>
      <c r="AB202" s="7"/>
      <c r="AC202" s="30" t="s">
        <v>7012</v>
      </c>
      <c r="AD202" s="13" t="e">
        <f>IF(ISBLANK(input_wld_az1_rack8_host4_mgmt_ip),"Value Missing",input_wld_az1_rack8_host4_mgmt_ip)</f>
        <v>#REF!</v>
      </c>
      <c r="AE202" s="27"/>
      <c r="AF202" s="27"/>
      <c r="AG202" s="27"/>
      <c r="AH202" s="27"/>
      <c r="AI202" s="27"/>
      <c r="AJ202" s="27"/>
      <c r="AK202" s="27"/>
    </row>
    <row r="203" spans="1:37" ht="19.5" customHeight="1">
      <c r="A203" s="7"/>
      <c r="B203" s="27"/>
      <c r="C203" s="27"/>
      <c r="D203" s="7"/>
      <c r="E203" s="30" t="s">
        <v>7013</v>
      </c>
      <c r="F203" s="13" t="e">
        <f>IF(ISBLANK(input_mgmt_az1_host5_mgmt_ip),"Value Missing",input_mgmt_az1_host5_mgmt_ip)</f>
        <v>#REF!</v>
      </c>
      <c r="G203" s="7"/>
      <c r="H203" s="30" t="s">
        <v>7013</v>
      </c>
      <c r="I203" s="13" t="e">
        <f>IF(ISBLANK(input_wld_az1_host5_mgmt_ip),"Value Missing",input_wld_az1_host5_mgmt_ip)</f>
        <v>#REF!</v>
      </c>
      <c r="J203" s="7"/>
      <c r="K203" s="30" t="s">
        <v>7013</v>
      </c>
      <c r="L203" s="13" t="e">
        <f>IF(ISBLANK(input_wld_az1_rack2_host5_mgmt_ip),"Value Missing",input_wld_az1_rack2_host5_mgmt_ip)</f>
        <v>#REF!</v>
      </c>
      <c r="M203" s="7"/>
      <c r="N203" s="30" t="s">
        <v>7013</v>
      </c>
      <c r="O203" s="13" t="e">
        <f>IF(ISBLANK(input_wld_az1_rack3_host5_mgmt_ip),"Value Missing",input_wld_az1_rack3_host5_mgmt_ip)</f>
        <v>#REF!</v>
      </c>
      <c r="P203" s="7"/>
      <c r="Q203" s="30" t="s">
        <v>7013</v>
      </c>
      <c r="R203" s="13" t="e">
        <f>IF(ISBLANK(input_wld_az1_rack4_host5_mgmt_ip),"Value Missing",input_wld_az1_rack4_host5_mgmt_ip)</f>
        <v>#REF!</v>
      </c>
      <c r="S203" s="7"/>
      <c r="T203" s="30" t="s">
        <v>7013</v>
      </c>
      <c r="U203" s="13" t="e">
        <f>IF(ISBLANK(input_wld_az1_rack5_host5_mgmt_ip),"Value Missing",input_wld_az1_rack5_host5_mgmt_ip)</f>
        <v>#REF!</v>
      </c>
      <c r="V203" s="7"/>
      <c r="W203" s="30" t="s">
        <v>7013</v>
      </c>
      <c r="X203" s="13" t="e">
        <f>IF(ISBLANK(input_wld_az1_rack6_host5_mgmt_ip),"Value Missing",input_wld_az1_rack6_host5_mgmt_ip)</f>
        <v>#REF!</v>
      </c>
      <c r="Y203" s="7"/>
      <c r="Z203" s="30" t="s">
        <v>7013</v>
      </c>
      <c r="AA203" s="13" t="e">
        <f>IF(ISBLANK(input_wld_az1_rack7_host5_mgmt_ip),"Value Missing",input_wld_az1_rack7_host5_mgmt_ip)</f>
        <v>#REF!</v>
      </c>
      <c r="AB203" s="7"/>
      <c r="AC203" s="30" t="s">
        <v>7013</v>
      </c>
      <c r="AD203" s="13" t="e">
        <f>IF(ISBLANK(input_wld_az1_rack8_host5_mgmt_ip),"Value Missing",input_wld_az1_rack8_host5_mgmt_ip)</f>
        <v>#REF!</v>
      </c>
      <c r="AE203" s="27"/>
      <c r="AF203" s="27"/>
      <c r="AG203" s="27"/>
      <c r="AH203" s="27"/>
      <c r="AI203" s="27"/>
      <c r="AJ203" s="27"/>
      <c r="AK203" s="27"/>
    </row>
    <row r="204" spans="1:37" ht="19.5" customHeight="1">
      <c r="A204" s="7"/>
      <c r="B204" s="27"/>
      <c r="C204" s="27"/>
      <c r="D204" s="7"/>
      <c r="E204" s="30" t="s">
        <v>7014</v>
      </c>
      <c r="F204" s="13" t="e">
        <f>IF(ISBLANK(input_mgmt_az1_host6_mgmt_ip),"Value Missing",input_mgmt_az1_host6_mgmt_ip)</f>
        <v>#REF!</v>
      </c>
      <c r="G204" s="7"/>
      <c r="H204" s="30" t="s">
        <v>7014</v>
      </c>
      <c r="I204" s="13" t="e">
        <f>IF(ISBLANK(input_wld_az1_host6_mgmt_ip),"Value Missing",input_wld_az1_host6_mgmt_ip)</f>
        <v>#REF!</v>
      </c>
      <c r="J204" s="7"/>
      <c r="K204" s="30" t="s">
        <v>7014</v>
      </c>
      <c r="L204" s="13" t="e">
        <f>IF(ISBLANK(input_wld_az1_rack2_host6_mgmt_ip),"Value Missing",input_wld_az1_rack2_host6_mgmt_ip)</f>
        <v>#REF!</v>
      </c>
      <c r="M204" s="7"/>
      <c r="N204" s="30" t="s">
        <v>7014</v>
      </c>
      <c r="O204" s="13" t="e">
        <f>IF(ISBLANK(input_wld_az1_rack3_host6_mgmt_ip),"Value Missing",input_wld_az1_rack3_host6_mgmt_ip)</f>
        <v>#REF!</v>
      </c>
      <c r="P204" s="7"/>
      <c r="Q204" s="30" t="s">
        <v>7014</v>
      </c>
      <c r="R204" s="13" t="e">
        <f>IF(ISBLANK(input_wld_az1_rack4_host6_mgmt_ip),"Value Missing",input_wld_az1_rack4_host6_mgmt_ip)</f>
        <v>#REF!</v>
      </c>
      <c r="S204" s="7"/>
      <c r="T204" s="30" t="s">
        <v>7014</v>
      </c>
      <c r="U204" s="13" t="e">
        <f>IF(ISBLANK(input_wld_az1_rack5_host6_mgmt_ip),"Value Missing",input_wld_az1_rack5_host6_mgmt_ip)</f>
        <v>#REF!</v>
      </c>
      <c r="V204" s="7"/>
      <c r="W204" s="30" t="s">
        <v>7014</v>
      </c>
      <c r="X204" s="13" t="e">
        <f>IF(ISBLANK(input_wld_az1_rack6_host6_mgmt_ip),"Value Missing",input_wld_az1_rack6_host6_mgmt_ip)</f>
        <v>#REF!</v>
      </c>
      <c r="Y204" s="7"/>
      <c r="Z204" s="30" t="s">
        <v>7014</v>
      </c>
      <c r="AA204" s="13" t="e">
        <f>IF(ISBLANK(input_wld_az1_rack7_host6_mgmt_ip),"Value Missing",input_wld_az1_rack7_host6_mgmt_ip)</f>
        <v>#REF!</v>
      </c>
      <c r="AB204" s="7"/>
      <c r="AC204" s="30" t="s">
        <v>7014</v>
      </c>
      <c r="AD204" s="13" t="e">
        <f>IF(ISBLANK(input_wld_az1_rack8_host6_mgmt_ip),"Value Missing",input_wld_az1_rack8_host6_mgmt_ip)</f>
        <v>#REF!</v>
      </c>
      <c r="AE204" s="27"/>
      <c r="AF204" s="27"/>
      <c r="AG204" s="27"/>
      <c r="AH204" s="27"/>
      <c r="AI204" s="27"/>
      <c r="AJ204" s="27"/>
      <c r="AK204" s="27"/>
    </row>
    <row r="205" spans="1:37" ht="19.5" customHeight="1">
      <c r="A205" s="7"/>
      <c r="B205" s="27"/>
      <c r="C205" s="27"/>
      <c r="D205" s="7"/>
      <c r="E205" s="30" t="s">
        <v>7015</v>
      </c>
      <c r="F205" s="13" t="e">
        <f>IF(ISBLANK(input_mgmt_az1_host7_mgmt_ip),"Value Missing",input_mgmt_az1_host7_mgmt_ip)</f>
        <v>#REF!</v>
      </c>
      <c r="G205" s="7"/>
      <c r="H205" s="30" t="s">
        <v>7015</v>
      </c>
      <c r="I205" s="13" t="e">
        <f>IF(ISBLANK(input_wld_az1_host7_mgmt_ip),"Value Missing",input_wld_az1_host7_mgmt_ip)</f>
        <v>#REF!</v>
      </c>
      <c r="J205" s="7"/>
      <c r="K205" s="30" t="s">
        <v>7015</v>
      </c>
      <c r="L205" s="13" t="e">
        <f>IF(ISBLANK(input_wld_az1_rack2_host7_mgmt_ip),"Value Missing",input_wld_az1_rack2_host7_mgmt_ip)</f>
        <v>#REF!</v>
      </c>
      <c r="M205" s="7"/>
      <c r="N205" s="30" t="s">
        <v>7015</v>
      </c>
      <c r="O205" s="13" t="e">
        <f>IF(ISBLANK(input_wld_az1_rack3_host7_mgmt_ip),"Value Missing",input_wld_az1_rack3_host7_mgmt_ip)</f>
        <v>#REF!</v>
      </c>
      <c r="P205" s="7"/>
      <c r="Q205" s="30" t="s">
        <v>7015</v>
      </c>
      <c r="R205" s="13" t="e">
        <f>IF(ISBLANK(input_wld_az1_rack4_host7_mgmt_ip),"Value Missing",input_wld_az1_rack4_host7_mgmt_ip)</f>
        <v>#REF!</v>
      </c>
      <c r="S205" s="7"/>
      <c r="T205" s="30" t="s">
        <v>7015</v>
      </c>
      <c r="U205" s="13" t="e">
        <f>IF(ISBLANK(input_wld_az1_rack5_host7_mgmt_ip),"Value Missing",input_wld_az1_rack5_host7_mgmt_ip)</f>
        <v>#REF!</v>
      </c>
      <c r="V205" s="7"/>
      <c r="W205" s="30" t="s">
        <v>7015</v>
      </c>
      <c r="X205" s="13" t="e">
        <f>IF(ISBLANK(input_wld_az1_rack6_host7_mgmt_ip),"Value Missing",input_wld_az1_rack6_host7_mgmt_ip)</f>
        <v>#REF!</v>
      </c>
      <c r="Y205" s="7"/>
      <c r="Z205" s="30" t="s">
        <v>7015</v>
      </c>
      <c r="AA205" s="13" t="e">
        <f>IF(ISBLANK(input_wld_az1_rack7_host7_mgmt_ip),"Value Missing",input_wld_az1_rack7_host7_mgmt_ip)</f>
        <v>#REF!</v>
      </c>
      <c r="AB205" s="7"/>
      <c r="AC205" s="30" t="s">
        <v>7015</v>
      </c>
      <c r="AD205" s="13" t="e">
        <f>IF(ISBLANK(input_wld_az1_rack8_host7_mgmt_ip),"Value Missing",input_wld_az1_rack8_host7_mgmt_ip)</f>
        <v>#REF!</v>
      </c>
      <c r="AE205" s="27"/>
      <c r="AF205" s="27"/>
      <c r="AG205" s="27"/>
      <c r="AH205" s="27"/>
      <c r="AI205" s="27"/>
      <c r="AJ205" s="27"/>
      <c r="AK205" s="27"/>
    </row>
    <row r="206" spans="1:37" ht="19.5" customHeight="1">
      <c r="A206" s="7"/>
      <c r="B206" s="27"/>
      <c r="C206" s="27"/>
      <c r="D206" s="7"/>
      <c r="E206" s="30" t="s">
        <v>7016</v>
      </c>
      <c r="F206" s="13" t="e">
        <f>IF(ISBLANK(input_mgmt_az1_host8_mgmt_ip),"Value Missing",input_mgmt_az1_host8_mgmt_ip)</f>
        <v>#REF!</v>
      </c>
      <c r="G206" s="7"/>
      <c r="H206" s="30" t="s">
        <v>7016</v>
      </c>
      <c r="I206" s="13" t="e">
        <f>IF(ISBLANK(input_wld_az1_host8_mgmt_ip),"Value Missing",input_wld_az1_host8_mgmt_ip)</f>
        <v>#REF!</v>
      </c>
      <c r="J206" s="7"/>
      <c r="K206" s="30" t="s">
        <v>7016</v>
      </c>
      <c r="L206" s="13" t="e">
        <f>IF(ISBLANK(input_wld_az1_rack2_host8_mgmt_ip),"Value Missing",input_wld_az1_rack2_host8_mgmt_ip)</f>
        <v>#REF!</v>
      </c>
      <c r="M206" s="7"/>
      <c r="N206" s="30" t="s">
        <v>7016</v>
      </c>
      <c r="O206" s="13" t="e">
        <f>IF(ISBLANK(input_wld_az1_rack3_host8_mgmt_ip),"Value Missing",input_wld_az1_rack3_host8_mgmt_ip)</f>
        <v>#REF!</v>
      </c>
      <c r="P206" s="7"/>
      <c r="Q206" s="30" t="s">
        <v>7016</v>
      </c>
      <c r="R206" s="13" t="e">
        <f>IF(ISBLANK(input_wld_az1_rack4_host8_mgmt_ip),"Value Missing",input_wld_az1_rack4_host8_mgmt_ip)</f>
        <v>#REF!</v>
      </c>
      <c r="S206" s="7"/>
      <c r="T206" s="30" t="s">
        <v>7016</v>
      </c>
      <c r="U206" s="13" t="e">
        <f>IF(ISBLANK(input_wld_az1_rack5_host8_mgmt_ip),"Value Missing",input_wld_az1_rack5_host8_mgmt_ip)</f>
        <v>#REF!</v>
      </c>
      <c r="V206" s="7"/>
      <c r="W206" s="30" t="s">
        <v>7016</v>
      </c>
      <c r="X206" s="13" t="e">
        <f>IF(ISBLANK(input_wld_az1_rack6_host8_mgmt_ip),"Value Missing",input_wld_az1_rack6_host8_mgmt_ip)</f>
        <v>#REF!</v>
      </c>
      <c r="Y206" s="7"/>
      <c r="Z206" s="30" t="s">
        <v>7016</v>
      </c>
      <c r="AA206" s="13" t="e">
        <f>IF(ISBLANK(input_wld_az1_rack7_host8_mgmt_ip),"Value Missing",input_wld_az1_rack7_host8_mgmt_ip)</f>
        <v>#REF!</v>
      </c>
      <c r="AB206" s="7"/>
      <c r="AC206" s="30" t="s">
        <v>7016</v>
      </c>
      <c r="AD206" s="13" t="e">
        <f>IF(ISBLANK(input_wld_az1_rack8_host8_mgmt_ip),"Value Missing",input_wld_az1_rack8_host8_mgmt_ip)</f>
        <v>#REF!</v>
      </c>
      <c r="AE206" s="27"/>
      <c r="AF206" s="27"/>
      <c r="AG206" s="27"/>
      <c r="AH206" s="27"/>
      <c r="AI206" s="27"/>
      <c r="AJ206" s="27"/>
      <c r="AK206" s="27"/>
    </row>
    <row r="207" spans="1:37" ht="19.5" customHeight="1">
      <c r="A207" s="27"/>
      <c r="B207" s="27"/>
      <c r="C207" s="27"/>
      <c r="D207" s="27"/>
      <c r="E207" s="30" t="s">
        <v>7017</v>
      </c>
      <c r="F207" s="13" t="e">
        <f>IF(ISBLANK(input_mgmt_az1_host9_mgmt_ip),"Value Missing",input_mgmt_az1_host9_mgmt_ip)</f>
        <v>#REF!</v>
      </c>
      <c r="G207" s="7"/>
      <c r="H207" s="30" t="s">
        <v>7017</v>
      </c>
      <c r="I207" s="13" t="e">
        <f>IF(ISBLANK(input_wld_az1_host9_mgmt_ip),"Value Missing",input_wld_az1_host9_mgmt_ip)</f>
        <v>#REF!</v>
      </c>
      <c r="J207" s="7"/>
      <c r="K207" s="30" t="s">
        <v>7017</v>
      </c>
      <c r="L207" s="13" t="e">
        <f>IF(ISBLANK(input_wld_az1_rack2_host9_mgmt_ip),"Value Missing",input_wld_az1_rack2_host9_mgmt_ip)</f>
        <v>#REF!</v>
      </c>
      <c r="M207" s="7"/>
      <c r="N207" s="30" t="s">
        <v>7017</v>
      </c>
      <c r="O207" s="13" t="e">
        <f>IF(ISBLANK(input_wld_az1_rack3_host9_mgmt_ip),"Value Missing",input_wld_az1_rack3_host9_mgmt_ip)</f>
        <v>#REF!</v>
      </c>
      <c r="P207" s="7"/>
      <c r="Q207" s="30" t="s">
        <v>7017</v>
      </c>
      <c r="R207" s="13" t="e">
        <f>IF(ISBLANK(input_wld_az1_rack4_host9_mgmt_ip),"Value Missing",input_wld_az1_rack4_host9_mgmt_ip)</f>
        <v>#REF!</v>
      </c>
      <c r="S207" s="7"/>
      <c r="T207" s="30" t="s">
        <v>7017</v>
      </c>
      <c r="U207" s="13" t="e">
        <f>IF(ISBLANK(input_wld_az1_rack5_host9_mgmt_ip),"Value Missing",input_wld_az1_rack5_host9_mgmt_ip)</f>
        <v>#REF!</v>
      </c>
      <c r="V207" s="7"/>
      <c r="W207" s="30" t="s">
        <v>7017</v>
      </c>
      <c r="X207" s="13" t="e">
        <f>IF(ISBLANK(input_wld_az1_rack6_host9_mgmt_ip),"Value Missing",input_wld_az1_rack6_host9_mgmt_ip)</f>
        <v>#REF!</v>
      </c>
      <c r="Y207" s="7"/>
      <c r="Z207" s="30" t="s">
        <v>7017</v>
      </c>
      <c r="AA207" s="13" t="e">
        <f>IF(ISBLANK(input_wld_az1_rack7_host9_mgmt_ip),"Value Missing",input_wld_az1_rack7_host9_mgmt_ip)</f>
        <v>#REF!</v>
      </c>
      <c r="AB207" s="7"/>
      <c r="AC207" s="30" t="s">
        <v>7017</v>
      </c>
      <c r="AD207" s="13" t="e">
        <f>IF(ISBLANK(input_wld_az1_rack8_host9_mgmt_ip),"Value Missing",input_wld_az1_rack8_host9_mgmt_ip)</f>
        <v>#REF!</v>
      </c>
      <c r="AE207" s="27"/>
      <c r="AF207" s="27"/>
      <c r="AG207" s="27"/>
      <c r="AH207" s="27"/>
      <c r="AI207" s="27"/>
      <c r="AJ207" s="27"/>
      <c r="AK207" s="27"/>
    </row>
    <row r="208" spans="1:37" ht="19.5" customHeight="1">
      <c r="A208" s="27"/>
      <c r="B208" s="27"/>
      <c r="C208" s="27"/>
      <c r="D208" s="27"/>
      <c r="E208" s="30" t="s">
        <v>7018</v>
      </c>
      <c r="F208" s="13" t="e">
        <f>IF(ISBLANK(input_mgmt_az1_host10_mgmt_ip),"Value Missing",input_mgmt_az1_host10_mgmt_ip)</f>
        <v>#REF!</v>
      </c>
      <c r="G208" s="7"/>
      <c r="H208" s="30" t="s">
        <v>7018</v>
      </c>
      <c r="I208" s="13" t="e">
        <f>IF(ISBLANK(input_wld_az1_host10_mgmt_ip),"Value Missing",input_wld_az1_host10_mgmt_ip)</f>
        <v>#REF!</v>
      </c>
      <c r="J208" s="7"/>
      <c r="K208" s="30" t="s">
        <v>7018</v>
      </c>
      <c r="L208" s="13" t="e">
        <f>IF(ISBLANK(input_wld_az1_rack2_host10_mgmt_ip),"Value Missing",input_wld_az1_rack2_host10_mgmt_ip)</f>
        <v>#REF!</v>
      </c>
      <c r="M208" s="7"/>
      <c r="N208" s="30" t="s">
        <v>7018</v>
      </c>
      <c r="O208" s="13" t="e">
        <f>IF(ISBLANK(input_wld_az1_rack3_host10_mgmt_ip),"Value Missing",input_wld_az1_rack3_host10_mgmt_ip)</f>
        <v>#REF!</v>
      </c>
      <c r="P208" s="7"/>
      <c r="Q208" s="30" t="s">
        <v>7018</v>
      </c>
      <c r="R208" s="13" t="e">
        <f>IF(ISBLANK(input_wld_az1_rack4_host10_mgmt_ip),"Value Missing",input_wld_az1_rack4_host10_mgmt_ip)</f>
        <v>#REF!</v>
      </c>
      <c r="S208" s="7"/>
      <c r="T208" s="30" t="s">
        <v>7018</v>
      </c>
      <c r="U208" s="13" t="e">
        <f>IF(ISBLANK(input_wld_az1_rack5_host10_mgmt_ip),"Value Missing",input_wld_az1_rack5_host10_mgmt_ip)</f>
        <v>#REF!</v>
      </c>
      <c r="V208" s="7"/>
      <c r="W208" s="30" t="s">
        <v>7018</v>
      </c>
      <c r="X208" s="13" t="e">
        <f>IF(ISBLANK(input_wld_az1_rack6_host10_mgmt_ip),"Value Missing",input_wld_az1_rack6_host10_mgmt_ip)</f>
        <v>#REF!</v>
      </c>
      <c r="Y208" s="7"/>
      <c r="Z208" s="30" t="s">
        <v>7018</v>
      </c>
      <c r="AA208" s="13" t="e">
        <f>IF(ISBLANK(input_wld_az1_rack7_host10_mgmt_ip),"Value Missing",input_wld_az1_rack7_host10_mgmt_ip)</f>
        <v>#REF!</v>
      </c>
      <c r="AB208" s="7"/>
      <c r="AC208" s="30" t="s">
        <v>7018</v>
      </c>
      <c r="AD208" s="13" t="e">
        <f>IF(ISBLANK(input_wld_az1_rack8_host10_mgmt_ip),"Value Missing",input_wld_az1_rack8_host10_mgmt_ip)</f>
        <v>#REF!</v>
      </c>
      <c r="AE208" s="27"/>
      <c r="AF208" s="27"/>
      <c r="AG208" s="27"/>
      <c r="AH208" s="27"/>
      <c r="AI208" s="27"/>
      <c r="AJ208" s="27"/>
      <c r="AK208" s="27"/>
    </row>
    <row r="209" spans="1:37" ht="19.5" customHeight="1">
      <c r="A209" s="27"/>
      <c r="B209" s="27"/>
      <c r="C209" s="27"/>
      <c r="D209" s="27"/>
      <c r="E209" s="30" t="s">
        <v>7019</v>
      </c>
      <c r="F209" s="13" t="e">
        <f>IF(ISBLANK(input_mgmt_az1_host11_mgmt_ip),"Value Missing",input_mgmt_az1_host11_mgmt_ip)</f>
        <v>#REF!</v>
      </c>
      <c r="G209" s="53"/>
      <c r="H209" s="30" t="s">
        <v>7019</v>
      </c>
      <c r="I209" s="13" t="e">
        <f>IF(ISBLANK(input_wld_az1_host11_mgmt_ip),"Value Missing",input_wld_az1_host11_mgmt_ip)</f>
        <v>#REF!</v>
      </c>
      <c r="J209" s="53"/>
      <c r="K209" s="30" t="s">
        <v>7019</v>
      </c>
      <c r="L209" s="13" t="e">
        <f>IF(ISBLANK(input_wld_az1_rack2_host11_mgmt_ip),"Value Missing",input_wld_az1_rack2_host11_mgmt_ip)</f>
        <v>#REF!</v>
      </c>
      <c r="M209" s="7"/>
      <c r="N209" s="30" t="s">
        <v>7019</v>
      </c>
      <c r="O209" s="13" t="e">
        <f>IF(ISBLANK(input_wld_az1_rack3_host11_mgmt_ip),"Value Missing",input_wld_az1_rack3_host11_mgmt_ip)</f>
        <v>#REF!</v>
      </c>
      <c r="P209" s="7"/>
      <c r="Q209" s="30" t="s">
        <v>7019</v>
      </c>
      <c r="R209" s="13" t="e">
        <f>IF(ISBLANK(input_wld_az1_rack4_host11_mgmt_ip),"Value Missing",input_wld_az1_rack4_host11_mgmt_ip)</f>
        <v>#REF!</v>
      </c>
      <c r="S209" s="7"/>
      <c r="T209" s="30" t="s">
        <v>7019</v>
      </c>
      <c r="U209" s="13" t="e">
        <f>IF(ISBLANK(input_wld_az1_rack5_host11_mgmt_ip),"Value Missing",input_wld_az1_rack5_host11_mgmt_ip)</f>
        <v>#REF!</v>
      </c>
      <c r="V209" s="7"/>
      <c r="W209" s="30" t="s">
        <v>7019</v>
      </c>
      <c r="X209" s="13" t="e">
        <f>IF(ISBLANK(input_wld_az1_rack6_host11_mgmt_ip),"Value Missing",input_wld_az1_rack6_host11_mgmt_ip)</f>
        <v>#REF!</v>
      </c>
      <c r="Y209" s="7"/>
      <c r="Z209" s="30" t="s">
        <v>7019</v>
      </c>
      <c r="AA209" s="13" t="e">
        <f>IF(ISBLANK(input_wld_az1_rack7_host11_mgmt_ip),"Value Missing",input_wld_az1_rack7_host11_mgmt_ip)</f>
        <v>#REF!</v>
      </c>
      <c r="AB209" s="7"/>
      <c r="AC209" s="30" t="s">
        <v>7019</v>
      </c>
      <c r="AD209" s="13" t="e">
        <f>IF(ISBLANK(input_wld_az1_rack8_host11_mgmt_ip),"Value Missing",input_wld_az1_rack8_host11_mgmt_ip)</f>
        <v>#REF!</v>
      </c>
      <c r="AE209" s="27"/>
      <c r="AF209" s="27"/>
      <c r="AG209" s="27"/>
      <c r="AH209" s="27"/>
      <c r="AI209" s="27"/>
      <c r="AJ209" s="27"/>
      <c r="AK209" s="27"/>
    </row>
    <row r="210" spans="1:37" ht="19.5" customHeight="1">
      <c r="A210" s="27"/>
      <c r="B210" s="27"/>
      <c r="C210" s="27"/>
      <c r="D210" s="27"/>
      <c r="E210" s="30" t="s">
        <v>7020</v>
      </c>
      <c r="F210" s="13" t="e">
        <f>IF(ISBLANK(input_mgmt_az1_host12_mgmt_ip),"Value Missing",input_mgmt_az1_host12_mgmt_ip)</f>
        <v>#REF!</v>
      </c>
      <c r="G210" s="7"/>
      <c r="H210" s="30" t="s">
        <v>7020</v>
      </c>
      <c r="I210" s="13" t="e">
        <f>IF(ISBLANK(input_wld_az1_host12_mgmt_ip),"Value Missing",input_wld_az1_host12_mgmt_ip)</f>
        <v>#REF!</v>
      </c>
      <c r="J210" s="7"/>
      <c r="K210" s="30" t="s">
        <v>7020</v>
      </c>
      <c r="L210" s="13" t="e">
        <f>IF(ISBLANK(input_wld_az1_rack2_host12_mgmt_ip),"Value Missing",input_wld_az1_rack2_host12_mgmt_ip)</f>
        <v>#REF!</v>
      </c>
      <c r="M210" s="7"/>
      <c r="N210" s="30" t="s">
        <v>7020</v>
      </c>
      <c r="O210" s="13" t="e">
        <f>IF(ISBLANK(input_wld_az1_rack3_host12_mgmt_ip),"Value Missing",input_wld_az1_rack3_host12_mgmt_ip)</f>
        <v>#REF!</v>
      </c>
      <c r="P210" s="7"/>
      <c r="Q210" s="30" t="s">
        <v>7020</v>
      </c>
      <c r="R210" s="13" t="e">
        <f>IF(ISBLANK(input_wld_az1_rack4_host12_mgmt_ip),"Value Missing",input_wld_az1_rack4_host12_mgmt_ip)</f>
        <v>#REF!</v>
      </c>
      <c r="S210" s="7"/>
      <c r="T210" s="30" t="s">
        <v>7020</v>
      </c>
      <c r="U210" s="13" t="e">
        <f>IF(ISBLANK(input_wld_az1_rack5_host12_mgmt_ip),"Value Missing",input_wld_az1_rack5_host12_mgmt_ip)</f>
        <v>#REF!</v>
      </c>
      <c r="V210" s="7"/>
      <c r="W210" s="30" t="s">
        <v>7020</v>
      </c>
      <c r="X210" s="13" t="e">
        <f>IF(ISBLANK(input_wld_az1_rack6_host12_mgmt_ip),"Value Missing",input_wld_az1_rack6_host12_mgmt_ip)</f>
        <v>#REF!</v>
      </c>
      <c r="Y210" s="7"/>
      <c r="Z210" s="30" t="s">
        <v>7020</v>
      </c>
      <c r="AA210" s="13" t="e">
        <f>IF(ISBLANK(input_wld_az1_rack7_host12_mgmt_ip),"Value Missing",input_wld_az1_rack7_host12_mgmt_ip)</f>
        <v>#REF!</v>
      </c>
      <c r="AB210" s="7"/>
      <c r="AC210" s="30" t="s">
        <v>7020</v>
      </c>
      <c r="AD210" s="13" t="e">
        <f>IF(ISBLANK(input_wld_az1_rack8_host12_mgmt_ip),"Value Missing",input_wld_az1_rack8_host12_mgmt_ip)</f>
        <v>#REF!</v>
      </c>
      <c r="AE210" s="27"/>
      <c r="AF210" s="27"/>
      <c r="AG210" s="27"/>
      <c r="AH210" s="27"/>
      <c r="AI210" s="27"/>
      <c r="AJ210" s="27"/>
      <c r="AK210" s="27"/>
    </row>
    <row r="211" spans="1:37" ht="19.5" customHeight="1">
      <c r="A211" s="27"/>
      <c r="B211" s="27"/>
      <c r="C211" s="27"/>
      <c r="D211" s="27"/>
      <c r="E211" s="30" t="s">
        <v>7021</v>
      </c>
      <c r="F211" s="13" t="e">
        <f>IF(ISBLANK(input_mgmt_az1_host13_mgmt_ip),"Value Missing",input_mgmt_az1_host13_mgmt_ip)</f>
        <v>#REF!</v>
      </c>
      <c r="G211" s="7"/>
      <c r="H211" s="30" t="s">
        <v>7021</v>
      </c>
      <c r="I211" s="13" t="e">
        <f>IF(ISBLANK(input_wld_az1_host13_mgmt_ip),"Value Missing",input_wld_az1_host13_mgmt_ip)</f>
        <v>#REF!</v>
      </c>
      <c r="J211" s="7"/>
      <c r="K211" s="30" t="s">
        <v>7021</v>
      </c>
      <c r="L211" s="13" t="e">
        <f>IF(ISBLANK(input_wld_az1_rack2_host13_mgmt_ip),"Value Missing",input_wld_az1_rack2_host13_mgmt_ip)</f>
        <v>#REF!</v>
      </c>
      <c r="M211" s="7"/>
      <c r="N211" s="30" t="s">
        <v>7021</v>
      </c>
      <c r="O211" s="13" t="e">
        <f>IF(ISBLANK(input_wld_az1_rack3_host13_mgmt_ip),"Value Missing",input_wld_az1_rack3_host13_mgmt_ip)</f>
        <v>#REF!</v>
      </c>
      <c r="P211" s="7"/>
      <c r="Q211" s="30" t="s">
        <v>7021</v>
      </c>
      <c r="R211" s="13" t="e">
        <f>IF(ISBLANK(input_wld_az1_rack4_host13_mgmt_ip),"Value Missing",input_wld_az1_rack4_host13_mgmt_ip)</f>
        <v>#REF!</v>
      </c>
      <c r="S211" s="7"/>
      <c r="T211" s="30" t="s">
        <v>7021</v>
      </c>
      <c r="U211" s="13" t="e">
        <f>IF(ISBLANK(input_wld_az1_rack5_host13_mgmt_ip),"Value Missing",input_wld_az1_rack5_host13_mgmt_ip)</f>
        <v>#REF!</v>
      </c>
      <c r="V211" s="7"/>
      <c r="W211" s="30" t="s">
        <v>7021</v>
      </c>
      <c r="X211" s="13" t="e">
        <f>IF(ISBLANK(input_wld_az1_rack6_host13_mgmt_ip),"Value Missing",input_wld_az1_rack6_host13_mgmt_ip)</f>
        <v>#REF!</v>
      </c>
      <c r="Y211" s="7"/>
      <c r="Z211" s="30" t="s">
        <v>7021</v>
      </c>
      <c r="AA211" s="13" t="e">
        <f>IF(ISBLANK(input_wld_az1_rack7_host13_mgmt_ip),"Value Missing",input_wld_az1_rack7_host13_mgmt_ip)</f>
        <v>#REF!</v>
      </c>
      <c r="AB211" s="7"/>
      <c r="AC211" s="30" t="s">
        <v>7021</v>
      </c>
      <c r="AD211" s="13" t="e">
        <f>IF(ISBLANK(input_wld_az1_rack8_host13_mgmt_ip),"Value Missing",input_wld_az1_rack8_host13_mgmt_ip)</f>
        <v>#REF!</v>
      </c>
      <c r="AE211" s="27"/>
      <c r="AF211" s="27"/>
      <c r="AG211" s="27"/>
      <c r="AH211" s="27"/>
      <c r="AI211" s="27"/>
      <c r="AJ211" s="27"/>
      <c r="AK211" s="27"/>
    </row>
    <row r="212" spans="1:37" ht="19.5" customHeight="1">
      <c r="A212" s="27"/>
      <c r="B212" s="27"/>
      <c r="C212" s="27"/>
      <c r="D212" s="27"/>
      <c r="E212" s="30" t="s">
        <v>7022</v>
      </c>
      <c r="F212" s="13" t="e">
        <f>IF(ISBLANK(input_mgmt_az1_host14_mgmt_ip),"Value Missing",input_mgmt_az1_host14_mgmt_ip)</f>
        <v>#REF!</v>
      </c>
      <c r="G212" s="7"/>
      <c r="H212" s="30" t="s">
        <v>7022</v>
      </c>
      <c r="I212" s="13" t="e">
        <f>IF(ISBLANK(input_wld_az1_host14_mgmt_ip),"Value Missing",input_wld_az1_host14_mgmt_ip)</f>
        <v>#REF!</v>
      </c>
      <c r="J212" s="7"/>
      <c r="K212" s="30" t="s">
        <v>7022</v>
      </c>
      <c r="L212" s="13" t="e">
        <f>IF(ISBLANK(input_wld_az1_rack2_host14_mgmt_ip),"Value Missing",input_wld_az1_rack2_host14_mgmt_ip)</f>
        <v>#REF!</v>
      </c>
      <c r="M212" s="53"/>
      <c r="N212" s="30" t="s">
        <v>7022</v>
      </c>
      <c r="O212" s="13" t="e">
        <f>IF(ISBLANK(input_wld_az1_rack3_host14_mgmt_ip),"Value Missing",input_wld_az1_rack3_host14_mgmt_ip)</f>
        <v>#REF!</v>
      </c>
      <c r="P212" s="7"/>
      <c r="Q212" s="30" t="s">
        <v>7022</v>
      </c>
      <c r="R212" s="13" t="e">
        <f>IF(ISBLANK(input_wld_az1_rack4_host14_mgmt_ip),"Value Missing",input_wld_az1_rack4_host14_mgmt_ip)</f>
        <v>#REF!</v>
      </c>
      <c r="S212" s="7"/>
      <c r="T212" s="30" t="s">
        <v>7022</v>
      </c>
      <c r="U212" s="13" t="e">
        <f>IF(ISBLANK(input_wld_az1_rack5_host14_mgmt_ip),"Value Missing",input_wld_az1_rack5_host14_mgmt_ip)</f>
        <v>#REF!</v>
      </c>
      <c r="V212" s="7"/>
      <c r="W212" s="30" t="s">
        <v>7022</v>
      </c>
      <c r="X212" s="13" t="e">
        <f>IF(ISBLANK(input_wld_az1_rack6_host14_mgmt_ip),"Value Missing",input_wld_az1_rack6_host14_mgmt_ip)</f>
        <v>#REF!</v>
      </c>
      <c r="Y212" s="7"/>
      <c r="Z212" s="30" t="s">
        <v>7022</v>
      </c>
      <c r="AA212" s="13" t="e">
        <f>IF(ISBLANK(input_wld_az1_rack7_host14_mgmt_ip),"Value Missing",input_wld_az1_rack7_host14_mgmt_ip)</f>
        <v>#REF!</v>
      </c>
      <c r="AB212" s="7"/>
      <c r="AC212" s="30" t="s">
        <v>7022</v>
      </c>
      <c r="AD212" s="13" t="e">
        <f>IF(ISBLANK(input_wld_az1_rack8_host14_mgmt_ip),"Value Missing",input_wld_az1_rack8_host14_mgmt_ip)</f>
        <v>#REF!</v>
      </c>
      <c r="AE212" s="27"/>
      <c r="AF212" s="27"/>
      <c r="AG212" s="27"/>
      <c r="AH212" s="27"/>
      <c r="AI212" s="27"/>
      <c r="AJ212" s="27"/>
      <c r="AK212" s="27"/>
    </row>
    <row r="213" spans="1:37" ht="19.5" customHeight="1">
      <c r="A213" s="27"/>
      <c r="B213" s="27"/>
      <c r="C213" s="27"/>
      <c r="D213" s="27"/>
      <c r="E213" s="30" t="s">
        <v>7023</v>
      </c>
      <c r="F213" s="13" t="e">
        <f>IF(ISBLANK(input_mgmt_az1_host15_mgmt_ip),"Value Missing",input_mgmt_az1_host15_mgmt_ip)</f>
        <v>#REF!</v>
      </c>
      <c r="G213" s="7"/>
      <c r="H213" s="30" t="s">
        <v>7023</v>
      </c>
      <c r="I213" s="13" t="e">
        <f>IF(ISBLANK(input_wld_az1_host15_mgmt_ip),"Value Missing",input_wld_az1_host15_mgmt_ip)</f>
        <v>#REF!</v>
      </c>
      <c r="J213" s="7"/>
      <c r="K213" s="30" t="s">
        <v>7023</v>
      </c>
      <c r="L213" s="13" t="e">
        <f>IF(ISBLANK(input_wld_az1_rack2_host15_mgmt_ip),"Value Missing",input_wld_az1_rack2_host15_mgmt_ip)</f>
        <v>#REF!</v>
      </c>
      <c r="M213" s="7"/>
      <c r="N213" s="30" t="s">
        <v>7023</v>
      </c>
      <c r="O213" s="13" t="e">
        <f>IF(ISBLANK(input_wld_az1_rack3_host15_mgmt_ip),"Value Missing",input_wld_az1_rack3_host15_mgmt_ip)</f>
        <v>#REF!</v>
      </c>
      <c r="P213" s="7"/>
      <c r="Q213" s="30" t="s">
        <v>7023</v>
      </c>
      <c r="R213" s="13" t="e">
        <f>IF(ISBLANK(input_wld_az1_rack4_host15_mgmt_ip),"Value Missing",input_wld_az1_rack4_host15_mgmt_ip)</f>
        <v>#REF!</v>
      </c>
      <c r="S213" s="7"/>
      <c r="T213" s="30" t="s">
        <v>7023</v>
      </c>
      <c r="U213" s="13" t="e">
        <f>IF(ISBLANK(input_wld_az1_rack5_host15_mgmt_ip),"Value Missing",input_wld_az1_rack5_host15_mgmt_ip)</f>
        <v>#REF!</v>
      </c>
      <c r="V213" s="7"/>
      <c r="W213" s="30" t="s">
        <v>7023</v>
      </c>
      <c r="X213" s="13" t="e">
        <f>IF(ISBLANK(input_wld_az1_rack6_host15_mgmt_ip),"Value Missing",input_wld_az1_rack6_host15_mgmt_ip)</f>
        <v>#REF!</v>
      </c>
      <c r="Y213" s="7"/>
      <c r="Z213" s="30" t="s">
        <v>7023</v>
      </c>
      <c r="AA213" s="13" t="e">
        <f>IF(ISBLANK(input_wld_az1_rack7_host15_mgmt_ip),"Value Missing",input_wld_az1_rack7_host15_mgmt_ip)</f>
        <v>#REF!</v>
      </c>
      <c r="AB213" s="7"/>
      <c r="AC213" s="30" t="s">
        <v>7023</v>
      </c>
      <c r="AD213" s="13" t="e">
        <f>IF(ISBLANK(input_wld_az1_rack8_host15_mgmt_ip),"Value Missing",input_wld_az1_rack8_host15_mgmt_ip)</f>
        <v>#REF!</v>
      </c>
      <c r="AE213" s="27"/>
      <c r="AF213" s="27"/>
      <c r="AG213" s="27"/>
      <c r="AH213" s="27"/>
      <c r="AI213" s="27"/>
      <c r="AJ213" s="27"/>
      <c r="AK213" s="27"/>
    </row>
    <row r="214" spans="1:37" ht="19.5" customHeight="1">
      <c r="A214" s="27"/>
      <c r="B214" s="27"/>
      <c r="C214" s="27"/>
      <c r="D214" s="27"/>
      <c r="E214" s="30" t="s">
        <v>7024</v>
      </c>
      <c r="F214" s="13" t="e">
        <f>IF(ISBLANK(input_mgmt_az1_host16_mgmt_ip),"Value Missing",input_mgmt_az1_host16_mgmt_ip)</f>
        <v>#REF!</v>
      </c>
      <c r="G214" s="7"/>
      <c r="H214" s="30" t="s">
        <v>7024</v>
      </c>
      <c r="I214" s="13" t="e">
        <f>IF(ISBLANK(input_wld_az1_host16_mgmt_ip),"Value Missing",input_wld_az1_host16_mgmt_ip)</f>
        <v>#REF!</v>
      </c>
      <c r="J214" s="7"/>
      <c r="K214" s="30" t="s">
        <v>7024</v>
      </c>
      <c r="L214" s="13" t="e">
        <f>IF(ISBLANK(input_wld_az1_rack2_host16_mgmt_ip),"Value Missing",input_wld_az1_rack2_host16_mgmt_ip)</f>
        <v>#REF!</v>
      </c>
      <c r="M214" s="7"/>
      <c r="N214" s="30" t="s">
        <v>7024</v>
      </c>
      <c r="O214" s="13" t="e">
        <f>IF(ISBLANK(input_wld_az1_rack3_host16_mgmt_ip),"Value Missing",input_wld_az1_rack3_host16_mgmt_ip)</f>
        <v>#REF!</v>
      </c>
      <c r="P214" s="7"/>
      <c r="Q214" s="30" t="s">
        <v>7024</v>
      </c>
      <c r="R214" s="13" t="e">
        <f>IF(ISBLANK(input_wld_az1_rack4_host16_mgmt_ip),"Value Missing",input_wld_az1_rack4_host16_mgmt_ip)</f>
        <v>#REF!</v>
      </c>
      <c r="S214" s="7"/>
      <c r="T214" s="30" t="s">
        <v>7024</v>
      </c>
      <c r="U214" s="13" t="e">
        <f>IF(ISBLANK(input_wld_az1_rack5_host16_mgmt_ip),"Value Missing",input_wld_az1_rack5_host16_mgmt_ip)</f>
        <v>#REF!</v>
      </c>
      <c r="V214" s="7"/>
      <c r="W214" s="30" t="s">
        <v>7024</v>
      </c>
      <c r="X214" s="13" t="e">
        <f>IF(ISBLANK(input_wld_az1_rack6_host16_mgmt_ip),"Value Missing",input_wld_az1_rack6_host16_mgmt_ip)</f>
        <v>#REF!</v>
      </c>
      <c r="Y214" s="7"/>
      <c r="Z214" s="30" t="s">
        <v>7024</v>
      </c>
      <c r="AA214" s="13" t="e">
        <f>IF(ISBLANK(input_wld_az1_rack7_host16_mgmt_ip),"Value Missing",input_wld_az1_rack7_host16_mgmt_ip)</f>
        <v>#REF!</v>
      </c>
      <c r="AB214" s="7"/>
      <c r="AC214" s="30" t="s">
        <v>7024</v>
      </c>
      <c r="AD214" s="13" t="e">
        <f>IF(ISBLANK(input_wld_az1_rack8_host16_mgmt_ip),"Value Missing",input_wld_az1_rack8_host16_mgmt_ip)</f>
        <v>#REF!</v>
      </c>
      <c r="AE214" s="27"/>
      <c r="AF214" s="27"/>
      <c r="AG214" s="27"/>
      <c r="AH214" s="27"/>
      <c r="AI214" s="27"/>
      <c r="AJ214" s="27"/>
      <c r="AK214" s="27"/>
    </row>
    <row r="215" spans="1:37" ht="19.5" customHeight="1">
      <c r="A215" s="27"/>
      <c r="B215" s="27"/>
      <c r="C215" s="27"/>
      <c r="D215" s="27"/>
      <c r="E215" s="30" t="s">
        <v>7025</v>
      </c>
      <c r="F215" s="13" t="str">
        <f>IF(ISBLANK(input_mgmt_az1_host1_vrms_ip),"Value Missing",input_mgmt_az1_host1_vrms_ip)</f>
        <v>Value Missing</v>
      </c>
      <c r="G215" s="7"/>
      <c r="H215" s="30" t="s">
        <v>7025</v>
      </c>
      <c r="I215" s="13" t="str">
        <f>IF(ISBLANK(input_wld_az1_host1_vrms_ip),"Value Missing",input_wld_az1_host1_vrms_ip)</f>
        <v>Value Missing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27"/>
      <c r="AF215" s="27"/>
      <c r="AG215" s="27"/>
      <c r="AH215" s="27"/>
      <c r="AI215" s="27"/>
      <c r="AJ215" s="27"/>
      <c r="AK215" s="27"/>
    </row>
    <row r="216" spans="1:37" ht="19.5" customHeight="1">
      <c r="A216" s="27"/>
      <c r="B216" s="27"/>
      <c r="C216" s="27"/>
      <c r="D216" s="27"/>
      <c r="E216" s="30" t="s">
        <v>7026</v>
      </c>
      <c r="F216" s="13" t="str">
        <f>IF(ISBLANK(input_mgmt_az1_host2_vrms_ip),"Value Missing",input_mgmt_az1_host2_vrms_ip)</f>
        <v>Value Missing</v>
      </c>
      <c r="G216" s="7"/>
      <c r="H216" s="30" t="s">
        <v>7026</v>
      </c>
      <c r="I216" s="13" t="str">
        <f>IF(ISBLANK(input_wld_az1_host2_vrms_ip),"Value Missing",input_wld_az1_host2_vrms_ip)</f>
        <v>Value Missing</v>
      </c>
      <c r="J216" s="7"/>
      <c r="K216" s="206" t="s">
        <v>7027</v>
      </c>
      <c r="L216" s="200"/>
      <c r="M216" s="7"/>
      <c r="N216" s="206" t="s">
        <v>7028</v>
      </c>
      <c r="O216" s="200"/>
      <c r="P216" s="7"/>
      <c r="Q216" s="206" t="s">
        <v>7029</v>
      </c>
      <c r="R216" s="200"/>
      <c r="S216" s="7"/>
      <c r="T216" s="206" t="s">
        <v>7030</v>
      </c>
      <c r="U216" s="200"/>
      <c r="V216" s="7"/>
      <c r="W216" s="206" t="s">
        <v>7031</v>
      </c>
      <c r="X216" s="200"/>
      <c r="Y216" s="7"/>
      <c r="Z216" s="206" t="s">
        <v>7032</v>
      </c>
      <c r="AA216" s="200"/>
      <c r="AB216" s="7"/>
      <c r="AC216" s="206" t="s">
        <v>7033</v>
      </c>
      <c r="AD216" s="200"/>
      <c r="AE216" s="27"/>
      <c r="AF216" s="27"/>
      <c r="AG216" s="27"/>
      <c r="AH216" s="27"/>
      <c r="AI216" s="27"/>
      <c r="AJ216" s="27"/>
      <c r="AK216" s="27"/>
    </row>
    <row r="217" spans="1:37" ht="19.5" customHeight="1">
      <c r="A217" s="27"/>
      <c r="B217" s="27"/>
      <c r="C217" s="27"/>
      <c r="D217" s="27"/>
      <c r="E217" s="30" t="s">
        <v>7034</v>
      </c>
      <c r="F217" s="13" t="str">
        <f>IF(ISBLANK(input_mgmt_az1_host3_vrms_ip),"Value Missing",input_mgmt_az1_host3_vrms_ip)</f>
        <v>Value Missing</v>
      </c>
      <c r="G217" s="7"/>
      <c r="H217" s="30" t="s">
        <v>7034</v>
      </c>
      <c r="I217" s="13" t="str">
        <f>IF(ISBLANK(input_wld_az1_host3_vrms_ip),"Value Missing",input_wld_az1_host3_vrms_ip)</f>
        <v>Value Missing</v>
      </c>
      <c r="J217" s="7"/>
      <c r="K217" s="52" t="s">
        <v>6780</v>
      </c>
      <c r="L217" s="52" t="s">
        <v>6943</v>
      </c>
      <c r="M217" s="7"/>
      <c r="N217" s="52" t="s">
        <v>6780</v>
      </c>
      <c r="O217" s="52" t="s">
        <v>6943</v>
      </c>
      <c r="P217" s="53"/>
      <c r="Q217" s="52" t="s">
        <v>6780</v>
      </c>
      <c r="R217" s="52" t="s">
        <v>6943</v>
      </c>
      <c r="S217" s="53"/>
      <c r="T217" s="52" t="s">
        <v>6780</v>
      </c>
      <c r="U217" s="52" t="s">
        <v>6943</v>
      </c>
      <c r="V217" s="53"/>
      <c r="W217" s="52" t="s">
        <v>6780</v>
      </c>
      <c r="X217" s="52" t="s">
        <v>6943</v>
      </c>
      <c r="Y217" s="53"/>
      <c r="Z217" s="52" t="s">
        <v>6780</v>
      </c>
      <c r="AA217" s="52" t="s">
        <v>6943</v>
      </c>
      <c r="AB217" s="53"/>
      <c r="AC217" s="52" t="s">
        <v>6780</v>
      </c>
      <c r="AD217" s="52" t="s">
        <v>6943</v>
      </c>
      <c r="AE217" s="27"/>
      <c r="AF217" s="27"/>
      <c r="AG217" s="27"/>
      <c r="AH217" s="27"/>
      <c r="AI217" s="27"/>
      <c r="AJ217" s="27"/>
      <c r="AK217" s="27"/>
    </row>
    <row r="218" spans="1:37" ht="19.5" customHeight="1">
      <c r="A218" s="27"/>
      <c r="B218" s="27"/>
      <c r="C218" s="27"/>
      <c r="D218" s="27"/>
      <c r="E218" s="30" t="s">
        <v>7035</v>
      </c>
      <c r="F218" s="13" t="str">
        <f>IF(ISBLANK(input_mgmt_az1_host4_vrms_ip),"Value Missing",input_mgmt_az1_host4_vrms_ip)</f>
        <v>Value Missing</v>
      </c>
      <c r="G218" s="7"/>
      <c r="H218" s="30" t="s">
        <v>7035</v>
      </c>
      <c r="I218" s="13" t="str">
        <f>IF(ISBLANK(input_wld_az1_host4_vrms_ip),"Value Missing",input_wld_az1_host4_vrms_ip)</f>
        <v>Value Missing</v>
      </c>
      <c r="J218" s="7"/>
      <c r="K218" s="30" t="s">
        <v>7036</v>
      </c>
      <c r="L218" s="13" t="e">
        <f>IF(wld_az1_rack2_host1_fqdn="Value Missing",wld_az1_rack2_host1_fqdn,LEFT(wld_az1_rack2_host1_fqdn,FIND(".",wld_az1_rack2_host1_fqdn)-1))</f>
        <v>#REF!</v>
      </c>
      <c r="M218" s="7"/>
      <c r="N218" s="30" t="s">
        <v>7036</v>
      </c>
      <c r="O218" s="13" t="e">
        <f>IF(wld_az1_rack3_host1_fqdn="Value Missing",wld_az1_rack3_host1_fqdn,LEFT(wld_az1_rack3_host1_fqdn,FIND(".",wld_az1_rack3_host1_fqdn)-1))</f>
        <v>#REF!</v>
      </c>
      <c r="P218" s="7"/>
      <c r="Q218" s="30" t="s">
        <v>7036</v>
      </c>
      <c r="R218" s="13" t="e">
        <f>IF(wld_az1_rack4_host1_fqdn="Value Missing",wld_az1_rack4_host1_fqdn,LEFT(wld_az1_rack4_host1_fqdn,FIND(".",wld_az1_rack4_host1_fqdn)-1))</f>
        <v>#REF!</v>
      </c>
      <c r="S218" s="7"/>
      <c r="T218" s="30" t="s">
        <v>7036</v>
      </c>
      <c r="U218" s="13" t="e">
        <f>IF(wld_az1_rack5_host1_fqdn="Value Missing",wld_az1_rack5_host1_fqdn,LEFT(wld_az1_rack5_host1_fqdn,FIND(".",wld_az1_rack5_host1_fqdn)-1))</f>
        <v>#REF!</v>
      </c>
      <c r="V218" s="7"/>
      <c r="W218" s="30" t="s">
        <v>7036</v>
      </c>
      <c r="X218" s="13" t="e">
        <f>IF(wld_az1_rack6_host1_fqdn="Value Missing",wld_az1_rack6_host1_fqdn,LEFT(wld_az1_rack6_host1_fqdn,FIND(".",wld_az1_rack6_host1_fqdn)-1))</f>
        <v>#REF!</v>
      </c>
      <c r="Y218" s="7"/>
      <c r="Z218" s="30" t="s">
        <v>7036</v>
      </c>
      <c r="AA218" s="13" t="e">
        <f>IF(wld_az1_rack7_host1_fqdn="Value Missing",wld_az1_rack7_host1_fqdn,LEFT(wld_az1_rack7_host1_fqdn,FIND(".",wld_az1_rack7_host1_fqdn)-1))</f>
        <v>#REF!</v>
      </c>
      <c r="AB218" s="7"/>
      <c r="AC218" s="30" t="s">
        <v>7036</v>
      </c>
      <c r="AD218" s="13" t="e">
        <f>IF(wld_az1_rack8_host1_fqdn="Value Missing",wld_az1_rack8_host1_fqdn,LEFT(wld_az1_rack8_host1_fqdn,FIND(".",wld_az1_rack8_host1_fqdn)-1))</f>
        <v>#REF!</v>
      </c>
      <c r="AE218" s="27"/>
      <c r="AF218" s="27"/>
      <c r="AG218" s="27"/>
      <c r="AH218" s="27"/>
      <c r="AI218" s="27"/>
      <c r="AJ218" s="27"/>
      <c r="AK218" s="27"/>
    </row>
    <row r="219" spans="1:37" ht="19.5" customHeight="1">
      <c r="A219" s="27"/>
      <c r="B219" s="27"/>
      <c r="C219" s="27"/>
      <c r="D219" s="27"/>
      <c r="E219" s="30" t="s">
        <v>7037</v>
      </c>
      <c r="F219" s="13" t="str">
        <f>IF(ISBLANK(input_mgmt_az1_host5_vrms_ip),"Value Missing",input_mgmt_az1_host5_vrms_ip)</f>
        <v>Value Missing</v>
      </c>
      <c r="G219" s="7"/>
      <c r="H219" s="30" t="s">
        <v>7037</v>
      </c>
      <c r="I219" s="13" t="str">
        <f>IF(ISBLANK(input_wld_az1_host5_vrms_ip),"Value Missing",input_wld_az1_host5_vrms_ip)</f>
        <v>Value Missing</v>
      </c>
      <c r="J219" s="7"/>
      <c r="K219" s="30" t="s">
        <v>7038</v>
      </c>
      <c r="L219" s="13" t="e">
        <f>IF(wld_az1_rack2_host2_fqdn="Value Missing",wld_az1_rack2_host2_fqdn,LEFT(wld_az1_rack2_host2_fqdn,FIND(".",wld_az1_rack2_host2_fqdn)-1))</f>
        <v>#REF!</v>
      </c>
      <c r="M219" s="7"/>
      <c r="N219" s="30" t="s">
        <v>7038</v>
      </c>
      <c r="O219" s="13" t="e">
        <f>IF(wld_az1_rack3_host2_fqdn="Value Missing",wld_az1_rack3_host2_fqdn,LEFT(wld_az1_rack3_host2_fqdn,FIND(".",wld_az1_rack3_host2_fqdn)-1))</f>
        <v>#REF!</v>
      </c>
      <c r="P219" s="7"/>
      <c r="Q219" s="30" t="s">
        <v>7038</v>
      </c>
      <c r="R219" s="13" t="e">
        <f>IF(wld_az1_rack4_host2_fqdn="Value Missing",wld_az1_rack4_host2_fqdn,LEFT(wld_az1_rack4_host2_fqdn,FIND(".",wld_az1_rack4_host2_fqdn)-1))</f>
        <v>#REF!</v>
      </c>
      <c r="S219" s="7"/>
      <c r="T219" s="30" t="s">
        <v>7038</v>
      </c>
      <c r="U219" s="13" t="e">
        <f>IF(wld_az1_rack5_host2_fqdn="Value Missing",wld_az1_rack5_host2_fqdn,LEFT(wld_az1_rack5_host2_fqdn,FIND(".",wld_az1_rack5_host2_fqdn)-1))</f>
        <v>#REF!</v>
      </c>
      <c r="V219" s="7"/>
      <c r="W219" s="30" t="s">
        <v>7038</v>
      </c>
      <c r="X219" s="13" t="e">
        <f>IF(wld_az1_rack6_host2_fqdn="Value Missing",wld_az1_rack6_host2_fqdn,LEFT(wld_az1_rack6_host2_fqdn,FIND(".",wld_az1_rack6_host2_fqdn)-1))</f>
        <v>#REF!</v>
      </c>
      <c r="Y219" s="7"/>
      <c r="Z219" s="30" t="s">
        <v>7038</v>
      </c>
      <c r="AA219" s="13" t="e">
        <f>IF(wld_az1_rack7_host2_fqdn="Value Missing",wld_az1_rack7_host2_fqdn,LEFT(wld_az1_rack7_host2_fqdn,FIND(".",wld_az1_rack7_host2_fqdn)-1))</f>
        <v>#REF!</v>
      </c>
      <c r="AB219" s="7"/>
      <c r="AC219" s="30" t="s">
        <v>7038</v>
      </c>
      <c r="AD219" s="13" t="e">
        <f>IF(wld_az1_rack8_host2_fqdn="Value Missing",wld_az1_rack8_host2_fqdn,LEFT(wld_az1_rack8_host2_fqdn,FIND(".",wld_az1_rack8_host2_fqdn)-1))</f>
        <v>#REF!</v>
      </c>
      <c r="AE219" s="27"/>
      <c r="AF219" s="27"/>
      <c r="AG219" s="27"/>
      <c r="AH219" s="27"/>
      <c r="AI219" s="27"/>
      <c r="AJ219" s="27"/>
      <c r="AK219" s="27"/>
    </row>
    <row r="220" spans="1:37" ht="19.5" customHeight="1">
      <c r="A220" s="27"/>
      <c r="B220" s="27"/>
      <c r="C220" s="27"/>
      <c r="D220" s="27"/>
      <c r="E220" s="30" t="s">
        <v>7039</v>
      </c>
      <c r="F220" s="13" t="str">
        <f>IF(ISBLANK(input_mgmt_az1_host6_vrms_ip),"Value Missing",input_mgmt_az1_host6_vrms_ip)</f>
        <v>Value Missing</v>
      </c>
      <c r="G220" s="7"/>
      <c r="H220" s="30" t="s">
        <v>7039</v>
      </c>
      <c r="I220" s="13" t="str">
        <f>IF(ISBLANK(input_wld_az1_host6_vrms_ip),"Value Missing",input_wld_az1_host6_vrms_ip)</f>
        <v>Value Missing</v>
      </c>
      <c r="J220" s="7"/>
      <c r="K220" s="30" t="s">
        <v>7040</v>
      </c>
      <c r="L220" s="13" t="e">
        <f>IF(wld_az1_rack2_host3_fqdn="Value Missing",wld_az1_rack2_host3_fqdn,LEFT(wld_az1_rack2_host3_fqdn,FIND(".",wld_az1_rack2_host3_fqdn)-1))</f>
        <v>#REF!</v>
      </c>
      <c r="M220" s="7"/>
      <c r="N220" s="30" t="s">
        <v>7040</v>
      </c>
      <c r="O220" s="13" t="e">
        <f>IF(wld_az1_rack3_host3_fqdn="Value Missing",wld_az1_rack3_host3_fqdn,LEFT(wld_az1_rack3_host3_fqdn,FIND(".",wld_az1_rack3_host3_fqdn)-1))</f>
        <v>#REF!</v>
      </c>
      <c r="P220" s="7"/>
      <c r="Q220" s="30" t="s">
        <v>7040</v>
      </c>
      <c r="R220" s="13" t="e">
        <f>IF(wld_az1_rack4_host3_fqdn="Value Missing",wld_az1_rack4_host3_fqdn,LEFT(wld_az1_rack4_host3_fqdn,FIND(".",wld_az1_rack4_host3_fqdn)-1))</f>
        <v>#REF!</v>
      </c>
      <c r="S220" s="7"/>
      <c r="T220" s="30" t="s">
        <v>7040</v>
      </c>
      <c r="U220" s="13" t="e">
        <f>IF(wld_az1_rack5_host3_fqdn="Value Missing",wld_az1_rack5_host3_fqdn,LEFT(wld_az1_rack5_host3_fqdn,FIND(".",wld_az1_rack5_host3_fqdn)-1))</f>
        <v>#REF!</v>
      </c>
      <c r="V220" s="7"/>
      <c r="W220" s="30" t="s">
        <v>7040</v>
      </c>
      <c r="X220" s="13" t="e">
        <f>IF(wld_az1_rack6_host3_fqdn="Value Missing",wld_az1_rack6_host3_fqdn,LEFT(wld_az1_rack6_host3_fqdn,FIND(".",wld_az1_rack6_host3_fqdn)-1))</f>
        <v>#REF!</v>
      </c>
      <c r="Y220" s="7"/>
      <c r="Z220" s="30" t="s">
        <v>7040</v>
      </c>
      <c r="AA220" s="13" t="e">
        <f>IF(wld_az1_rack7_host3_fqdn="Value Missing",wld_az1_rack7_host3_fqdn,LEFT(wld_az1_rack7_host3_fqdn,FIND(".",wld_az1_rack7_host3_fqdn)-1))</f>
        <v>#REF!</v>
      </c>
      <c r="AB220" s="7"/>
      <c r="AC220" s="30" t="s">
        <v>7040</v>
      </c>
      <c r="AD220" s="13" t="e">
        <f>IF(wld_az1_rack8_host3_fqdn="Value Missing",wld_az1_rack8_host3_fqdn,LEFT(wld_az1_rack8_host3_fqdn,FIND(".",wld_az1_rack8_host3_fqdn)-1))</f>
        <v>#REF!</v>
      </c>
      <c r="AE220" s="27"/>
      <c r="AF220" s="27"/>
      <c r="AG220" s="27"/>
      <c r="AH220" s="27"/>
      <c r="AI220" s="27"/>
      <c r="AJ220" s="27"/>
      <c r="AK220" s="27"/>
    </row>
    <row r="221" spans="1:37" ht="19.5" customHeight="1">
      <c r="A221" s="27"/>
      <c r="B221" s="27"/>
      <c r="C221" s="27"/>
      <c r="D221" s="27"/>
      <c r="E221" s="30" t="s">
        <v>7041</v>
      </c>
      <c r="F221" s="13" t="str">
        <f>IF(ISBLANK(input_mgmt_az1_host7_vrms_ip),"Value Missing",input_mgmt_az1_host7_vrms_ip)</f>
        <v>Value Missing</v>
      </c>
      <c r="G221" s="7"/>
      <c r="H221" s="30" t="s">
        <v>7041</v>
      </c>
      <c r="I221" s="13" t="str">
        <f>IF(ISBLANK(input_wld_az1_host7_vrms_ip),"Value Missing",input_wld_az1_host7_vrms_ip)</f>
        <v>Value Missing</v>
      </c>
      <c r="J221" s="7"/>
      <c r="K221" s="30" t="s">
        <v>7042</v>
      </c>
      <c r="L221" s="13" t="e">
        <f>IF(wld_az1_rack2_host4_fqdn="Value Missing",wld_az1_rack2_host4_fqdn,LEFT(wld_az1_rack2_host4_fqdn,FIND(".",wld_az1_rack2_host4_fqdn)-1))</f>
        <v>#REF!</v>
      </c>
      <c r="M221" s="7"/>
      <c r="N221" s="30" t="s">
        <v>7042</v>
      </c>
      <c r="O221" s="13" t="e">
        <f>IF(wld_az1_rack3_host4_fqdn="Value Missing",wld_az1_rack3_host4_fqdn,LEFT(wld_az1_rack3_host4_fqdn,FIND(".",wld_az1_rack3_host4_fqdn)-1))</f>
        <v>#REF!</v>
      </c>
      <c r="P221" s="7"/>
      <c r="Q221" s="30" t="s">
        <v>7042</v>
      </c>
      <c r="R221" s="13" t="e">
        <f>IF(wld_az1_rack4_host4_fqdn="Value Missing",wld_az1_rack4_host4_fqdn,LEFT(wld_az1_rack4_host4_fqdn,FIND(".",wld_az1_rack4_host4_fqdn)-1))</f>
        <v>#REF!</v>
      </c>
      <c r="S221" s="7"/>
      <c r="T221" s="30" t="s">
        <v>7042</v>
      </c>
      <c r="U221" s="13" t="e">
        <f>IF(wld_az1_rack5_host4_fqdn="Value Missing",wld_az1_rack5_host4_fqdn,LEFT(wld_az1_rack5_host4_fqdn,FIND(".",wld_az1_rack5_host4_fqdn)-1))</f>
        <v>#REF!</v>
      </c>
      <c r="V221" s="7"/>
      <c r="W221" s="30" t="s">
        <v>7042</v>
      </c>
      <c r="X221" s="13" t="e">
        <f>IF(wld_az1_rack6_host4_fqdn="Value Missing",wld_az1_rack6_host4_fqdn,LEFT(wld_az1_rack6_host4_fqdn,FIND(".",wld_az1_rack6_host4_fqdn)-1))</f>
        <v>#REF!</v>
      </c>
      <c r="Y221" s="7"/>
      <c r="Z221" s="30" t="s">
        <v>7042</v>
      </c>
      <c r="AA221" s="13" t="e">
        <f>IF(wld_az1_rack7_host4_fqdn="Value Missing",wld_az1_rack7_host4_fqdn,LEFT(wld_az1_rack7_host4_fqdn,FIND(".",wld_az1_rack7_host4_fqdn)-1))</f>
        <v>#REF!</v>
      </c>
      <c r="AB221" s="7"/>
      <c r="AC221" s="30" t="s">
        <v>7042</v>
      </c>
      <c r="AD221" s="13" t="e">
        <f>IF(wld_az1_rack8_host4_fqdn="Value Missing",wld_az1_rack8_host4_fqdn,LEFT(wld_az1_rack8_host4_fqdn,FIND(".",wld_az1_rack8_host4_fqdn)-1))</f>
        <v>#REF!</v>
      </c>
      <c r="AE221" s="27"/>
      <c r="AF221" s="27"/>
      <c r="AG221" s="27"/>
      <c r="AH221" s="27"/>
      <c r="AI221" s="27"/>
      <c r="AJ221" s="27"/>
      <c r="AK221" s="27"/>
    </row>
    <row r="222" spans="1:37" ht="19.5" customHeight="1">
      <c r="A222" s="27"/>
      <c r="B222" s="27"/>
      <c r="C222" s="27"/>
      <c r="D222" s="27"/>
      <c r="E222" s="30" t="s">
        <v>7043</v>
      </c>
      <c r="F222" s="13" t="str">
        <f>IF(ISBLANK(input_mgmt_az1_host8_vrms_ip),"Value Missing",input_mgmt_az1_host8_vrms_ip)</f>
        <v>Value Missing</v>
      </c>
      <c r="G222" s="7"/>
      <c r="H222" s="30" t="s">
        <v>7043</v>
      </c>
      <c r="I222" s="13" t="str">
        <f>IF(ISBLANK(input_wld_az1_host8_vrms_ip),"Value Missing",input_wld_az1_host8_vrms_ip)</f>
        <v>Value Missing</v>
      </c>
      <c r="J222" s="7"/>
      <c r="K222" s="30" t="s">
        <v>7044</v>
      </c>
      <c r="L222" s="13" t="e">
        <f>IF(wld_az1_rack2_host5_fqdn="Value Missing",wld_az1_rack2_host5_fqdn,LEFT(wld_az1_rack2_host5_fqdn,FIND(".",wld_az1_rack2_host5_fqdn)-1))</f>
        <v>#REF!</v>
      </c>
      <c r="M222" s="7"/>
      <c r="N222" s="30" t="s">
        <v>7044</v>
      </c>
      <c r="O222" s="13" t="e">
        <f>IF(wld_az1_rack3_host5_fqdn="Value Missing",wld_az1_rack3_host5_fqdn,LEFT(wld_az1_rack3_host5_fqdn,FIND(".",wld_az1_rack3_host5_fqdn)-1))</f>
        <v>#REF!</v>
      </c>
      <c r="P222" s="7"/>
      <c r="Q222" s="30" t="s">
        <v>7044</v>
      </c>
      <c r="R222" s="13" t="e">
        <f>IF(wld_az1_rack4_host5_fqdn="Value Missing",wld_az1_rack4_host5_fqdn,LEFT(wld_az1_rack4_host5_fqdn,FIND(".",wld_az1_rack4_host5_fqdn)-1))</f>
        <v>#REF!</v>
      </c>
      <c r="S222" s="7"/>
      <c r="T222" s="30" t="s">
        <v>7044</v>
      </c>
      <c r="U222" s="13" t="e">
        <f>IF(wld_az1_rack5_host5_fqdn="Value Missing",wld_az1_rack5_host5_fqdn,LEFT(wld_az1_rack5_host5_fqdn,FIND(".",wld_az1_rack5_host5_fqdn)-1))</f>
        <v>#REF!</v>
      </c>
      <c r="V222" s="7"/>
      <c r="W222" s="30" t="s">
        <v>7044</v>
      </c>
      <c r="X222" s="13" t="e">
        <f>IF(wld_az1_rack6_host5_fqdn="Value Missing",wld_az1_rack6_host5_fqdn,LEFT(wld_az1_rack6_host5_fqdn,FIND(".",wld_az1_rack6_host5_fqdn)-1))</f>
        <v>#REF!</v>
      </c>
      <c r="Y222" s="7"/>
      <c r="Z222" s="30" t="s">
        <v>7044</v>
      </c>
      <c r="AA222" s="13" t="e">
        <f>IF(wld_az1_rack7_host5_fqdn="Value Missing",wld_az1_rack7_host5_fqdn,LEFT(wld_az1_rack7_host5_fqdn,FIND(".",wld_az1_rack7_host5_fqdn)-1))</f>
        <v>#REF!</v>
      </c>
      <c r="AB222" s="7"/>
      <c r="AC222" s="30" t="s">
        <v>7044</v>
      </c>
      <c r="AD222" s="13" t="e">
        <f>IF(wld_az1_rack8_host5_fqdn="Value Missing",wld_az1_rack8_host5_fqdn,LEFT(wld_az1_rack8_host5_fqdn,FIND(".",wld_az1_rack8_host5_fqdn)-1))</f>
        <v>#REF!</v>
      </c>
      <c r="AE222" s="27"/>
      <c r="AF222" s="27"/>
      <c r="AG222" s="27"/>
      <c r="AH222" s="27"/>
      <c r="AI222" s="27"/>
      <c r="AJ222" s="27"/>
      <c r="AK222" s="27"/>
    </row>
    <row r="223" spans="1:37" ht="19.5" customHeight="1">
      <c r="A223" s="27"/>
      <c r="B223" s="27"/>
      <c r="C223" s="27"/>
      <c r="D223" s="27"/>
      <c r="E223" s="30" t="s">
        <v>7045</v>
      </c>
      <c r="F223" s="13" t="str">
        <f>IF(ISBLANK(input_mgmt_az1_host9_vrms_ip),"Value Missing",input_mgmt_az1_host9_vrms_ip)</f>
        <v>Value Missing</v>
      </c>
      <c r="G223" s="7"/>
      <c r="H223" s="30" t="s">
        <v>7045</v>
      </c>
      <c r="I223" s="13" t="str">
        <f>IF(ISBLANK(input_wld_az1_host9_vrms_ip),"Value Missing",input_wld_az1_host9_vrms_ip)</f>
        <v>Value Missing</v>
      </c>
      <c r="J223" s="7"/>
      <c r="K223" s="30" t="s">
        <v>7046</v>
      </c>
      <c r="L223" s="13" t="e">
        <f>IF(wld_az1_rack2_host6_fqdn="Value Missing",wld_az1_rack2_host6_fqdn,LEFT(wld_az1_rack2_host6_fqdn,FIND(".",wld_az1_rack2_host6_fqdn)-1))</f>
        <v>#REF!</v>
      </c>
      <c r="M223" s="7"/>
      <c r="N223" s="30" t="s">
        <v>7046</v>
      </c>
      <c r="O223" s="13" t="e">
        <f>IF(wld_az1_rack3_host6_fqdn="Value Missing",wld_az1_rack3_host6_fqdn,LEFT(wld_az1_rack3_host6_fqdn,FIND(".",wld_az1_rack3_host6_fqdn)-1))</f>
        <v>#REF!</v>
      </c>
      <c r="P223" s="7"/>
      <c r="Q223" s="30" t="s">
        <v>7046</v>
      </c>
      <c r="R223" s="13" t="e">
        <f>IF(wld_az1_rack4_host6_fqdn="Value Missing",wld_az1_rack4_host6_fqdn,LEFT(wld_az1_rack4_host6_fqdn,FIND(".",wld_az1_rack4_host6_fqdn)-1))</f>
        <v>#REF!</v>
      </c>
      <c r="S223" s="7"/>
      <c r="T223" s="30" t="s">
        <v>7046</v>
      </c>
      <c r="U223" s="13" t="e">
        <f>IF(wld_az1_rack5_host6_fqdn="Value Missing",wld_az1_rack5_host6_fqdn,LEFT(wld_az1_rack5_host6_fqdn,FIND(".",wld_az1_rack5_host6_fqdn)-1))</f>
        <v>#REF!</v>
      </c>
      <c r="V223" s="7"/>
      <c r="W223" s="30" t="s">
        <v>7046</v>
      </c>
      <c r="X223" s="13" t="e">
        <f>IF(wld_az1_rack6_host6_fqdn="Value Missing",wld_az1_rack6_host6_fqdn,LEFT(wld_az1_rack6_host6_fqdn,FIND(".",wld_az1_rack6_host6_fqdn)-1))</f>
        <v>#REF!</v>
      </c>
      <c r="Y223" s="7"/>
      <c r="Z223" s="30" t="s">
        <v>7046</v>
      </c>
      <c r="AA223" s="13" t="e">
        <f>IF(wld_az1_rack7_host6_fqdn="Value Missing",wld_az1_rack7_host6_fqdn,LEFT(wld_az1_rack7_host6_fqdn,FIND(".",wld_az1_rack7_host6_fqdn)-1))</f>
        <v>#REF!</v>
      </c>
      <c r="AB223" s="7"/>
      <c r="AC223" s="30" t="s">
        <v>7046</v>
      </c>
      <c r="AD223" s="13" t="e">
        <f>IF(wld_az1_rack8_host6_fqdn="Value Missing",wld_az1_rack8_host6_fqdn,LEFT(wld_az1_rack8_host6_fqdn,FIND(".",wld_az1_rack8_host6_fqdn)-1))</f>
        <v>#REF!</v>
      </c>
      <c r="AE223" s="27"/>
      <c r="AF223" s="27"/>
      <c r="AG223" s="27"/>
      <c r="AH223" s="27"/>
      <c r="AI223" s="27"/>
      <c r="AJ223" s="27"/>
      <c r="AK223" s="27"/>
    </row>
    <row r="224" spans="1:37" ht="19.5" customHeight="1">
      <c r="A224" s="27"/>
      <c r="B224" s="27"/>
      <c r="C224" s="27"/>
      <c r="D224" s="27"/>
      <c r="E224" s="30" t="s">
        <v>7047</v>
      </c>
      <c r="F224" s="13" t="str">
        <f>IF(ISBLANK(input_mgmt_az1_host10_vrms_ip),"Value Missing",input_mgmt_az1_host10_vrms_ip)</f>
        <v>Value Missing</v>
      </c>
      <c r="G224" s="7"/>
      <c r="H224" s="30" t="s">
        <v>7047</v>
      </c>
      <c r="I224" s="13" t="str">
        <f>IF(ISBLANK(input_wld_az1_host10_vrms_ip),"Value Missing",input_wld_az1_host10_vrms_ip)</f>
        <v>Value Missing</v>
      </c>
      <c r="J224" s="7"/>
      <c r="K224" s="30" t="s">
        <v>7048</v>
      </c>
      <c r="L224" s="13" t="e">
        <f>IF(wld_az1_rack2_host7_fqdn="Value Missing",wld_az1_rack2_host7_fqdn,LEFT(wld_az1_rack2_host7_fqdn,FIND(".",wld_az1_rack2_host7_fqdn)-1))</f>
        <v>#REF!</v>
      </c>
      <c r="M224" s="7"/>
      <c r="N224" s="30" t="s">
        <v>7048</v>
      </c>
      <c r="O224" s="13" t="e">
        <f>IF(wld_az1_rack3_host7_fqdn="Value Missing",wld_az1_rack3_host7_fqdn,LEFT(wld_az1_rack3_host7_fqdn,FIND(".",wld_az1_rack3_host7_fqdn)-1))</f>
        <v>#REF!</v>
      </c>
      <c r="P224" s="7"/>
      <c r="Q224" s="30" t="s">
        <v>7048</v>
      </c>
      <c r="R224" s="13" t="e">
        <f>IF(wld_az1_rack4_host7_fqdn="Value Missing",wld_az1_rack4_host7_fqdn,LEFT(wld_az1_rack4_host7_fqdn,FIND(".",wld_az1_rack4_host7_fqdn)-1))</f>
        <v>#REF!</v>
      </c>
      <c r="S224" s="7"/>
      <c r="T224" s="30" t="s">
        <v>7048</v>
      </c>
      <c r="U224" s="13" t="e">
        <f>IF(wld_az1_rack5_host7_fqdn="Value Missing",wld_az1_rack5_host7_fqdn,LEFT(wld_az1_rack5_host7_fqdn,FIND(".",wld_az1_rack5_host7_fqdn)-1))</f>
        <v>#REF!</v>
      </c>
      <c r="V224" s="7"/>
      <c r="W224" s="30" t="s">
        <v>7048</v>
      </c>
      <c r="X224" s="13" t="e">
        <f>IF(wld_az1_rack6_host7_fqdn="Value Missing",wld_az1_rack6_host7_fqdn,LEFT(wld_az1_rack6_host7_fqdn,FIND(".",wld_az1_rack6_host7_fqdn)-1))</f>
        <v>#REF!</v>
      </c>
      <c r="Y224" s="7"/>
      <c r="Z224" s="30" t="s">
        <v>7048</v>
      </c>
      <c r="AA224" s="13" t="e">
        <f>IF(wld_az1_rack7_host7_fqdn="Value Missing",wld_az1_rack7_host7_fqdn,LEFT(wld_az1_rack7_host7_fqdn,FIND(".",wld_az1_rack7_host7_fqdn)-1))</f>
        <v>#REF!</v>
      </c>
      <c r="AB224" s="7"/>
      <c r="AC224" s="30" t="s">
        <v>7048</v>
      </c>
      <c r="AD224" s="13" t="e">
        <f>IF(wld_az1_rack8_host7_fqdn="Value Missing",wld_az1_rack8_host7_fqdn,LEFT(wld_az1_rack8_host7_fqdn,FIND(".",wld_az1_rack8_host7_fqdn)-1))</f>
        <v>#REF!</v>
      </c>
      <c r="AE224" s="27"/>
      <c r="AF224" s="27"/>
      <c r="AG224" s="27"/>
      <c r="AH224" s="27"/>
      <c r="AI224" s="27"/>
      <c r="AJ224" s="27"/>
      <c r="AK224" s="27"/>
    </row>
    <row r="225" spans="1:37" ht="19.5" customHeight="1">
      <c r="A225" s="27"/>
      <c r="B225" s="27"/>
      <c r="C225" s="27"/>
      <c r="D225" s="27"/>
      <c r="E225" s="30" t="s">
        <v>7049</v>
      </c>
      <c r="F225" s="13" t="str">
        <f>IF(ISBLANK(input_mgmt_az1_host11_vrms_ip),"Value Missing",input_mgmt_az1_host11_vrms_ip)</f>
        <v>Value Missing</v>
      </c>
      <c r="G225" s="7"/>
      <c r="H225" s="30" t="s">
        <v>7049</v>
      </c>
      <c r="I225" s="13" t="str">
        <f>IF(ISBLANK(input_wld_az1_host11_vrms_ip),"Value Missing",input_wld_az1_host11_vrms_ip)</f>
        <v>Value Missing</v>
      </c>
      <c r="J225" s="7"/>
      <c r="K225" s="30" t="s">
        <v>7050</v>
      </c>
      <c r="L225" s="13" t="e">
        <f>IF(wld_az1_rack2_host8_fqdn="Value Missing",wld_az1_rack2_host8_fqdn,LEFT(wld_az1_rack2_host8_fqdn,FIND(".",wld_az1_rack2_host8_fqdn)-1))</f>
        <v>#REF!</v>
      </c>
      <c r="M225" s="7"/>
      <c r="N225" s="30" t="s">
        <v>7050</v>
      </c>
      <c r="O225" s="13" t="e">
        <f>IF(wld_az1_rack3_host8_fqdn="Value Missing",wld_az1_rack3_host8_fqdn,LEFT(wld_az1_rack3_host8_fqdn,FIND(".",wld_az1_rack3_host8_fqdn)-1))</f>
        <v>#REF!</v>
      </c>
      <c r="P225" s="7"/>
      <c r="Q225" s="30" t="s">
        <v>7050</v>
      </c>
      <c r="R225" s="13" t="e">
        <f>IF(wld_az1_rack4_host8_fqdn="Value Missing",wld_az1_rack4_host8_fqdn,LEFT(wld_az1_rack4_host8_fqdn,FIND(".",wld_az1_rack4_host8_fqdn)-1))</f>
        <v>#REF!</v>
      </c>
      <c r="S225" s="7"/>
      <c r="T225" s="30" t="s">
        <v>7050</v>
      </c>
      <c r="U225" s="13" t="e">
        <f>IF(wld_az1_rack5_host8_fqdn="Value Missing",wld_az1_rack5_host8_fqdn,LEFT(wld_az1_rack5_host8_fqdn,FIND(".",wld_az1_rack5_host8_fqdn)-1))</f>
        <v>#REF!</v>
      </c>
      <c r="V225" s="7"/>
      <c r="W225" s="30" t="s">
        <v>7050</v>
      </c>
      <c r="X225" s="13" t="e">
        <f>IF(wld_az1_rack6_host8_fqdn="Value Missing",wld_az1_rack6_host8_fqdn,LEFT(wld_az1_rack6_host8_fqdn,FIND(".",wld_az1_rack6_host8_fqdn)-1))</f>
        <v>#REF!</v>
      </c>
      <c r="Y225" s="7"/>
      <c r="Z225" s="30" t="s">
        <v>7050</v>
      </c>
      <c r="AA225" s="13" t="e">
        <f>IF(wld_az1_rack7_host8_fqdn="Value Missing",wld_az1_rack7_host8_fqdn,LEFT(wld_az1_rack7_host8_fqdn,FIND(".",wld_az1_rack7_host8_fqdn)-1))</f>
        <v>#REF!</v>
      </c>
      <c r="AB225" s="7"/>
      <c r="AC225" s="30" t="s">
        <v>7050</v>
      </c>
      <c r="AD225" s="13" t="e">
        <f>IF(wld_az1_rack8_host8_fqdn="Value Missing",wld_az1_rack8_host8_fqdn,LEFT(wld_az1_rack8_host8_fqdn,FIND(".",wld_az1_rack8_host8_fqdn)-1))</f>
        <v>#REF!</v>
      </c>
      <c r="AE225" s="27"/>
      <c r="AF225" s="27"/>
      <c r="AG225" s="27"/>
      <c r="AH225" s="27"/>
      <c r="AI225" s="27"/>
      <c r="AJ225" s="27"/>
      <c r="AK225" s="27"/>
    </row>
    <row r="226" spans="1:37" ht="19.5" customHeight="1">
      <c r="A226" s="27"/>
      <c r="B226" s="27"/>
      <c r="C226" s="27"/>
      <c r="D226" s="27"/>
      <c r="E226" s="30" t="s">
        <v>7051</v>
      </c>
      <c r="F226" s="13" t="str">
        <f>IF(ISBLANK(input_mgmt_az1_host12_vrms_ip),"Value Missing",input_mgmt_az1_host12_vrms_ip)</f>
        <v>Value Missing</v>
      </c>
      <c r="G226" s="7"/>
      <c r="H226" s="30" t="s">
        <v>7051</v>
      </c>
      <c r="I226" s="13" t="str">
        <f>IF(ISBLANK(input_wld_az1_host12_vrms_ip),"Value Missing",input_wld_az1_host12_vrms_ip)</f>
        <v>Value Missing</v>
      </c>
      <c r="J226" s="7"/>
      <c r="K226" s="30" t="s">
        <v>7052</v>
      </c>
      <c r="L226" s="13" t="e">
        <f>IF(wld_az1_rack2_host9_fqdn="Value Missing",wld_az1_rack2_host9_fqdn,LEFT(wld_az1_rack2_host9_fqdn,FIND(".",wld_az1_rack2_host9_fqdn)-1))</f>
        <v>#REF!</v>
      </c>
      <c r="M226" s="7"/>
      <c r="N226" s="30" t="s">
        <v>7052</v>
      </c>
      <c r="O226" s="13" t="e">
        <f>IF(wld_az1_rack3_host9_fqdn="Value Missing",wld_az1_rack3_host9_fqdn,LEFT(wld_az1_rack3_host9_fqdn,FIND(".",wld_az1_rack3_host9_fqdn)-1))</f>
        <v>#REF!</v>
      </c>
      <c r="P226" s="7"/>
      <c r="Q226" s="30" t="s">
        <v>7052</v>
      </c>
      <c r="R226" s="13" t="e">
        <f>IF(wld_az1_rack4_host9_fqdn="Value Missing",wld_az1_rack4_host9_fqdn,LEFT(wld_az1_rack4_host9_fqdn,FIND(".",wld_az1_rack4_host9_fqdn)-1))</f>
        <v>#REF!</v>
      </c>
      <c r="S226" s="7"/>
      <c r="T226" s="30" t="s">
        <v>7052</v>
      </c>
      <c r="U226" s="13" t="e">
        <f>IF(wld_az1_rack5_host9_fqdn="Value Missing",wld_az1_rack5_host9_fqdn,LEFT(wld_az1_rack5_host9_fqdn,FIND(".",wld_az1_rack5_host9_fqdn)-1))</f>
        <v>#REF!</v>
      </c>
      <c r="V226" s="7"/>
      <c r="W226" s="30" t="s">
        <v>7052</v>
      </c>
      <c r="X226" s="13" t="e">
        <f>IF(wld_az1_rack6_host9_fqdn="Value Missing",wld_az1_rack6_host9_fqdn,LEFT(wld_az1_rack6_host9_fqdn,FIND(".",wld_az1_rack6_host9_fqdn)-1))</f>
        <v>#REF!</v>
      </c>
      <c r="Y226" s="7"/>
      <c r="Z226" s="30" t="s">
        <v>7052</v>
      </c>
      <c r="AA226" s="13" t="e">
        <f>IF(wld_az1_rack7_host9_fqdn="Value Missing",wld_az1_rack7_host9_fqdn,LEFT(wld_az1_rack7_host9_fqdn,FIND(".",wld_az1_rack7_host9_fqdn)-1))</f>
        <v>#REF!</v>
      </c>
      <c r="AB226" s="7"/>
      <c r="AC226" s="30" t="s">
        <v>7052</v>
      </c>
      <c r="AD226" s="13" t="e">
        <f>IF(wld_az1_rack8_host9_fqdn="Value Missing",wld_az1_rack8_host9_fqdn,LEFT(wld_az1_rack8_host9_fqdn,FIND(".",wld_az1_rack8_host9_fqdn)-1))</f>
        <v>#REF!</v>
      </c>
      <c r="AE226" s="27"/>
      <c r="AF226" s="27"/>
      <c r="AG226" s="27"/>
      <c r="AH226" s="27"/>
      <c r="AI226" s="27"/>
      <c r="AJ226" s="27"/>
      <c r="AK226" s="27"/>
    </row>
    <row r="227" spans="1:37" ht="19.5" customHeight="1">
      <c r="A227" s="27"/>
      <c r="B227" s="27"/>
      <c r="C227" s="27"/>
      <c r="D227" s="27"/>
      <c r="E227" s="30" t="s">
        <v>7053</v>
      </c>
      <c r="F227" s="13" t="str">
        <f>IF(ISBLANK(input_mgmt_az1_host13_vrms_ip),"Value Missing",input_mgmt_az1_host13_vrms_ip)</f>
        <v>Value Missing</v>
      </c>
      <c r="G227" s="7"/>
      <c r="H227" s="30" t="s">
        <v>7053</v>
      </c>
      <c r="I227" s="13" t="str">
        <f>IF(ISBLANK(input_wld_az1_host13_vrms_ip),"Value Missing",input_wld_az1_host13_vrms_ip)</f>
        <v>Value Missing</v>
      </c>
      <c r="J227" s="7"/>
      <c r="K227" s="30" t="s">
        <v>7054</v>
      </c>
      <c r="L227" s="13" t="e">
        <f>IF(wld_az1_rack2_host10_fqdn="Value Missing",wld_az1_rack2_host10_fqdn,LEFT(wld_az1_rack2_host10_fqdn,FIND(".",wld_az1_rack2_host10_fqdn)-1))</f>
        <v>#REF!</v>
      </c>
      <c r="M227" s="7"/>
      <c r="N227" s="30" t="s">
        <v>7054</v>
      </c>
      <c r="O227" s="13" t="e">
        <f>IF(wld_az1_rack3_host10_fqdn="Value Missing",wld_az1_rack3_host10_fqdn,LEFT(wld_az1_rack3_host10_fqdn,FIND(".",wld_az1_rack3_host10_fqdn)-1))</f>
        <v>#REF!</v>
      </c>
      <c r="P227" s="7"/>
      <c r="Q227" s="30" t="s">
        <v>7054</v>
      </c>
      <c r="R227" s="13" t="e">
        <f>IF(wld_az1_rack4_host10_fqdn="Value Missing",wld_az1_rack4_host10_fqdn,LEFT(wld_az1_rack4_host10_fqdn,FIND(".",wld_az1_rack4_host10_fqdn)-1))</f>
        <v>#REF!</v>
      </c>
      <c r="S227" s="7"/>
      <c r="T227" s="30" t="s">
        <v>7054</v>
      </c>
      <c r="U227" s="13" t="e">
        <f>IF(wld_az1_rack5_host10_fqdn="Value Missing",wld_az1_rack5_host10_fqdn,LEFT(wld_az1_rack5_host10_fqdn,FIND(".",wld_az1_rack5_host10_fqdn)-1))</f>
        <v>#REF!</v>
      </c>
      <c r="V227" s="7"/>
      <c r="W227" s="30" t="s">
        <v>7054</v>
      </c>
      <c r="X227" s="13" t="e">
        <f>IF(wld_az1_rack6_host10_fqdn="Value Missing",wld_az1_rack6_host10_fqdn,LEFT(wld_az1_rack6_host10_fqdn,FIND(".",wld_az1_rack6_host10_fqdn)-1))</f>
        <v>#REF!</v>
      </c>
      <c r="Y227" s="7"/>
      <c r="Z227" s="30" t="s">
        <v>7054</v>
      </c>
      <c r="AA227" s="13" t="e">
        <f>IF(wld_az1_rack7_host10_fqdn="Value Missing",wld_az1_rack7_host10_fqdn,LEFT(wld_az1_rack7_host10_fqdn,FIND(".",wld_az1_rack7_host10_fqdn)-1))</f>
        <v>#REF!</v>
      </c>
      <c r="AB227" s="7"/>
      <c r="AC227" s="30" t="s">
        <v>7054</v>
      </c>
      <c r="AD227" s="13" t="e">
        <f>IF(wld_az1_rack8_host10_fqdn="Value Missing",wld_az1_rack8_host10_fqdn,LEFT(wld_az1_rack8_host10_fqdn,FIND(".",wld_az1_rack8_host10_fqdn)-1))</f>
        <v>#REF!</v>
      </c>
      <c r="AE227" s="27"/>
      <c r="AF227" s="27"/>
      <c r="AG227" s="27"/>
      <c r="AH227" s="27"/>
      <c r="AI227" s="27"/>
      <c r="AJ227" s="27"/>
      <c r="AK227" s="27"/>
    </row>
    <row r="228" spans="1:37" ht="19.5" customHeight="1">
      <c r="A228" s="27"/>
      <c r="B228" s="27"/>
      <c r="C228" s="27"/>
      <c r="D228" s="27"/>
      <c r="E228" s="30" t="s">
        <v>7055</v>
      </c>
      <c r="F228" s="13" t="str">
        <f>IF(ISBLANK(input_mgmt_az1_host14_vrms_ip),"Value Missing",input_mgmt_az1_host14_vrms_ip)</f>
        <v>Value Missing</v>
      </c>
      <c r="G228" s="53"/>
      <c r="H228" s="30" t="s">
        <v>7055</v>
      </c>
      <c r="I228" s="13" t="str">
        <f>IF(ISBLANK(input_wld_az1_host14_vrms_ip),"Value Missing",input_wld_az1_host14_vrms_ip)</f>
        <v>Value Missing</v>
      </c>
      <c r="J228" s="53"/>
      <c r="K228" s="30" t="s">
        <v>7056</v>
      </c>
      <c r="L228" s="13" t="e">
        <f>IF(wld_az1_rack2_host11_fqdn="Value Missing",wld_az1_rack2_host11_fqdn,LEFT(wld_az1_rack2_host11_fqdn,FIND(".",wld_az1_rack2_host11_fqdn)-1))</f>
        <v>#REF!</v>
      </c>
      <c r="M228" s="7"/>
      <c r="N228" s="30" t="s">
        <v>7056</v>
      </c>
      <c r="O228" s="13" t="e">
        <f>IF(wld_az1_rack3_host11_fqdn="Value Missing",wld_az1_rack3_host11_fqdn,LEFT(wld_az1_rack3_host11_fqdn,FIND(".",wld_az1_rack3_host11_fqdn)-1))</f>
        <v>#REF!</v>
      </c>
      <c r="P228" s="7"/>
      <c r="Q228" s="30" t="s">
        <v>7056</v>
      </c>
      <c r="R228" s="13" t="e">
        <f>IF(wld_az1_rack4_host11_fqdn="Value Missing",wld_az1_rack4_host11_fqdn,LEFT(wld_az1_rack4_host11_fqdn,FIND(".",wld_az1_rack4_host11_fqdn)-1))</f>
        <v>#REF!</v>
      </c>
      <c r="S228" s="7"/>
      <c r="T228" s="30" t="s">
        <v>7056</v>
      </c>
      <c r="U228" s="13" t="e">
        <f>IF(wld_az1_rack5_host11_fqdn="Value Missing",wld_az1_rack5_host11_fqdn,LEFT(wld_az1_rack5_host11_fqdn,FIND(".",wld_az1_rack5_host11_fqdn)-1))</f>
        <v>#REF!</v>
      </c>
      <c r="V228" s="7"/>
      <c r="W228" s="30" t="s">
        <v>7056</v>
      </c>
      <c r="X228" s="13" t="e">
        <f>IF(wld_az1_rack6_host11_fqdn="Value Missing",wld_az1_rack6_host11_fqdn,LEFT(wld_az1_rack6_host11_fqdn,FIND(".",wld_az1_rack6_host11_fqdn)-1))</f>
        <v>#REF!</v>
      </c>
      <c r="Y228" s="7"/>
      <c r="Z228" s="30" t="s">
        <v>7056</v>
      </c>
      <c r="AA228" s="13" t="e">
        <f>IF(wld_az1_rack7_host11_fqdn="Value Missing",wld_az1_rack7_host11_fqdn,LEFT(wld_az1_rack7_host11_fqdn,FIND(".",wld_az1_rack7_host11_fqdn)-1))</f>
        <v>#REF!</v>
      </c>
      <c r="AB228" s="7"/>
      <c r="AC228" s="30" t="s">
        <v>7056</v>
      </c>
      <c r="AD228" s="13" t="e">
        <f>IF(wld_az1_rack8_host11_fqdn="Value Missing",wld_az1_rack8_host11_fqdn,LEFT(wld_az1_rack8_host11_fqdn,FIND(".",wld_az1_rack8_host11_fqdn)-1))</f>
        <v>#REF!</v>
      </c>
      <c r="AE228" s="27"/>
      <c r="AF228" s="27"/>
      <c r="AG228" s="27"/>
      <c r="AH228" s="27"/>
      <c r="AI228" s="27"/>
      <c r="AJ228" s="27"/>
      <c r="AK228" s="27"/>
    </row>
    <row r="229" spans="1:37" ht="19.5" customHeight="1">
      <c r="A229" s="27"/>
      <c r="B229" s="27"/>
      <c r="C229" s="27"/>
      <c r="D229" s="27"/>
      <c r="E229" s="30" t="s">
        <v>7057</v>
      </c>
      <c r="F229" s="13" t="str">
        <f>IF(ISBLANK(input_mgmt_az1_host15_vrms_ip),"Value Missing",input_mgmt_az1_host15_vrms_ip)</f>
        <v>Value Missing</v>
      </c>
      <c r="G229" s="7"/>
      <c r="H229" s="30" t="s">
        <v>7057</v>
      </c>
      <c r="I229" s="13" t="str">
        <f>IF(ISBLANK(input_wld_az1_host15_vrms_ip),"Value Missing",input_wld_az1_host15_vrms_ip)</f>
        <v>Value Missing</v>
      </c>
      <c r="J229" s="7"/>
      <c r="K229" s="30" t="s">
        <v>7058</v>
      </c>
      <c r="L229" s="13" t="e">
        <f>IF(wld_az1_rack2_host12_fqdn="Value Missing",wld_az1_rack2_host12_fqdn,LEFT(wld_az1_rack2_host12_fqdn,FIND(".",wld_az1_rack2_host12_fqdn)-1))</f>
        <v>#REF!</v>
      </c>
      <c r="M229" s="7"/>
      <c r="N229" s="30" t="s">
        <v>7058</v>
      </c>
      <c r="O229" s="13" t="e">
        <f>IF(wld_az1_rack3_host12_fqdn="Value Missing",wld_az1_rack3_host12_fqdn,LEFT(wld_az1_rack3_host12_fqdn,FIND(".",wld_az1_rack3_host12_fqdn)-1))</f>
        <v>#REF!</v>
      </c>
      <c r="P229" s="7"/>
      <c r="Q229" s="30" t="s">
        <v>7058</v>
      </c>
      <c r="R229" s="13" t="e">
        <f>IF(wld_az1_rack4_host12_fqdn="Value Missing",wld_az1_rack4_host12_fqdn,LEFT(wld_az1_rack4_host12_fqdn,FIND(".",wld_az1_rack4_host12_fqdn)-1))</f>
        <v>#REF!</v>
      </c>
      <c r="S229" s="7"/>
      <c r="T229" s="30" t="s">
        <v>7058</v>
      </c>
      <c r="U229" s="13" t="e">
        <f>IF(wld_az1_rack5_host12_fqdn="Value Missing",wld_az1_rack5_host12_fqdn,LEFT(wld_az1_rack5_host12_fqdn,FIND(".",wld_az1_rack5_host12_fqdn)-1))</f>
        <v>#REF!</v>
      </c>
      <c r="V229" s="7"/>
      <c r="W229" s="30" t="s">
        <v>7058</v>
      </c>
      <c r="X229" s="13" t="e">
        <f>IF(wld_az1_rack6_host12_fqdn="Value Missing",wld_az1_rack6_host12_fqdn,LEFT(wld_az1_rack6_host12_fqdn,FIND(".",wld_az1_rack6_host12_fqdn)-1))</f>
        <v>#REF!</v>
      </c>
      <c r="Y229" s="7"/>
      <c r="Z229" s="30" t="s">
        <v>7058</v>
      </c>
      <c r="AA229" s="13" t="e">
        <f>IF(wld_az1_rack7_host12_fqdn="Value Missing",wld_az1_rack7_host12_fqdn,LEFT(wld_az1_rack7_host12_fqdn,FIND(".",wld_az1_rack7_host12_fqdn)-1))</f>
        <v>#REF!</v>
      </c>
      <c r="AB229" s="7"/>
      <c r="AC229" s="30" t="s">
        <v>7058</v>
      </c>
      <c r="AD229" s="13" t="e">
        <f>IF(wld_az1_rack8_host12_fqdn="Value Missing",wld_az1_rack8_host12_fqdn,LEFT(wld_az1_rack8_host12_fqdn,FIND(".",wld_az1_rack8_host12_fqdn)-1))</f>
        <v>#REF!</v>
      </c>
      <c r="AE229" s="27"/>
      <c r="AF229" s="27"/>
      <c r="AG229" s="27"/>
      <c r="AH229" s="27"/>
      <c r="AI229" s="27"/>
      <c r="AJ229" s="27"/>
      <c r="AK229" s="27"/>
    </row>
    <row r="230" spans="1:37" ht="19.5" customHeight="1">
      <c r="A230" s="27"/>
      <c r="B230" s="27"/>
      <c r="C230" s="27"/>
      <c r="D230" s="27"/>
      <c r="E230" s="30" t="s">
        <v>7059</v>
      </c>
      <c r="F230" s="13" t="str">
        <f>IF(ISBLANK(input_mgmt_az1_host16_vrms_ip),"Value Missing",input_mgmt_az1_host16_vrms_ip)</f>
        <v>Value Missing</v>
      </c>
      <c r="G230" s="7"/>
      <c r="H230" s="30" t="s">
        <v>7059</v>
      </c>
      <c r="I230" s="13" t="str">
        <f>IF(ISBLANK(input_wld_az1_host16_vrms_ip),"Value Missing",input_wld_az1_host16_vrms_ip)</f>
        <v>Value Missing</v>
      </c>
      <c r="J230" s="7"/>
      <c r="K230" s="30" t="s">
        <v>7060</v>
      </c>
      <c r="L230" s="13" t="e">
        <f>IF(wld_az1_rack2_host13_fqdn="Value Missing",wld_az1_rack2_host13_fqdn,LEFT(wld_az1_rack2_host13_fqdn,FIND(".",wld_az1_rack2_host13_fqdn)-1))</f>
        <v>#REF!</v>
      </c>
      <c r="M230" s="7"/>
      <c r="N230" s="30" t="s">
        <v>7060</v>
      </c>
      <c r="O230" s="13" t="e">
        <f>IF(wld_az1_rack3_host13_fqdn="Value Missing",wld_az1_rack3_host13_fqdn,LEFT(wld_az1_rack3_host13_fqdn,FIND(".",wld_az1_rack3_host13_fqdn)-1))</f>
        <v>#REF!</v>
      </c>
      <c r="P230" s="7"/>
      <c r="Q230" s="30" t="s">
        <v>7060</v>
      </c>
      <c r="R230" s="13" t="e">
        <f>IF(wld_az1_rack4_host13_fqdn="Value Missing",wld_az1_rack4_host13_fqdn,LEFT(wld_az1_rack4_host13_fqdn,FIND(".",wld_az1_rack4_host13_fqdn)-1))</f>
        <v>#REF!</v>
      </c>
      <c r="S230" s="7"/>
      <c r="T230" s="30" t="s">
        <v>7060</v>
      </c>
      <c r="U230" s="13" t="e">
        <f>IF(wld_az1_rack5_host13_fqdn="Value Missing",wld_az1_rack5_host13_fqdn,LEFT(wld_az1_rack5_host13_fqdn,FIND(".",wld_az1_rack5_host13_fqdn)-1))</f>
        <v>#REF!</v>
      </c>
      <c r="V230" s="7"/>
      <c r="W230" s="30" t="s">
        <v>7060</v>
      </c>
      <c r="X230" s="13" t="e">
        <f>IF(wld_az1_rack6_host13_fqdn="Value Missing",wld_az1_rack6_host13_fqdn,LEFT(wld_az1_rack6_host13_fqdn,FIND(".",wld_az1_rack6_host13_fqdn)-1))</f>
        <v>#REF!</v>
      </c>
      <c r="Y230" s="7"/>
      <c r="Z230" s="30" t="s">
        <v>7060</v>
      </c>
      <c r="AA230" s="13" t="e">
        <f>IF(wld_az1_rack7_host13_fqdn="Value Missing",wld_az1_rack7_host13_fqdn,LEFT(wld_az1_rack7_host13_fqdn,FIND(".",wld_az1_rack7_host13_fqdn)-1))</f>
        <v>#REF!</v>
      </c>
      <c r="AB230" s="7"/>
      <c r="AC230" s="30" t="s">
        <v>7060</v>
      </c>
      <c r="AD230" s="13" t="e">
        <f>IF(wld_az1_rack8_host13_fqdn="Value Missing",wld_az1_rack8_host13_fqdn,LEFT(wld_az1_rack8_host13_fqdn,FIND(".",wld_az1_rack8_host13_fqdn)-1))</f>
        <v>#REF!</v>
      </c>
      <c r="AE230" s="27"/>
      <c r="AF230" s="27"/>
      <c r="AG230" s="27"/>
      <c r="AH230" s="27"/>
      <c r="AI230" s="27"/>
      <c r="AJ230" s="27"/>
      <c r="AK230" s="27"/>
    </row>
    <row r="231" spans="1:37" ht="19.5" customHeight="1">
      <c r="A231" s="27"/>
      <c r="B231" s="27"/>
      <c r="C231" s="27"/>
      <c r="D231" s="27"/>
      <c r="E231" s="7"/>
      <c r="F231" s="7"/>
      <c r="G231" s="7"/>
      <c r="H231" s="7"/>
      <c r="I231" s="7"/>
      <c r="J231" s="7"/>
      <c r="K231" s="30" t="s">
        <v>7061</v>
      </c>
      <c r="L231" s="13" t="e">
        <f>IF(wld_az1_rack2_host14_fqdn="Value Missing",wld_az1_rack2_host14_fqdn,LEFT(wld_az1_rack2_host14_fqdn,FIND(".",wld_az1_rack2_host14_fqdn)-1))</f>
        <v>#REF!</v>
      </c>
      <c r="M231" s="53"/>
      <c r="N231" s="30" t="s">
        <v>7061</v>
      </c>
      <c r="O231" s="13" t="e">
        <f>IF(wld_az1_rack3_host14_fqdn="Value Missing",wld_az1_rack3_host14_fqdn,LEFT(wld_az1_rack3_host14_fqdn,FIND(".",wld_az1_rack3_host14_fqdn)-1))</f>
        <v>#REF!</v>
      </c>
      <c r="P231" s="7"/>
      <c r="Q231" s="30" t="s">
        <v>7061</v>
      </c>
      <c r="R231" s="13" t="e">
        <f>IF(wld_az1_rack4_host14_fqdn="Value Missing",wld_az1_rack4_host14_fqdn,LEFT(wld_az1_rack4_host14_fqdn,FIND(".",wld_az1_rack4_host14_fqdn)-1))</f>
        <v>#REF!</v>
      </c>
      <c r="S231" s="7"/>
      <c r="T231" s="30" t="s">
        <v>7061</v>
      </c>
      <c r="U231" s="13" t="e">
        <f>IF(wld_az1_rack5_host14_fqdn="Value Missing",wld_az1_rack5_host14_fqdn,LEFT(wld_az1_rack5_host14_fqdn,FIND(".",wld_az1_rack5_host14_fqdn)-1))</f>
        <v>#REF!</v>
      </c>
      <c r="V231" s="7"/>
      <c r="W231" s="30" t="s">
        <v>7061</v>
      </c>
      <c r="X231" s="13" t="e">
        <f>IF(wld_az1_rack6_host14_fqdn="Value Missing",wld_az1_rack6_host14_fqdn,LEFT(wld_az1_rack6_host14_fqdn,FIND(".",wld_az1_rack6_host14_fqdn)-1))</f>
        <v>#REF!</v>
      </c>
      <c r="Y231" s="7"/>
      <c r="Z231" s="30" t="s">
        <v>7061</v>
      </c>
      <c r="AA231" s="13" t="e">
        <f>IF(wld_az1_rack7_host14_fqdn="Value Missing",wld_az1_rack7_host14_fqdn,LEFT(wld_az1_rack7_host14_fqdn,FIND(".",wld_az1_rack7_host14_fqdn)-1))</f>
        <v>#REF!</v>
      </c>
      <c r="AB231" s="7"/>
      <c r="AC231" s="30" t="s">
        <v>7061</v>
      </c>
      <c r="AD231" s="13" t="e">
        <f>IF(wld_az1_rack8_host14_fqdn="Value Missing",wld_az1_rack8_host14_fqdn,LEFT(wld_az1_rack8_host14_fqdn,FIND(".",wld_az1_rack8_host14_fqdn)-1))</f>
        <v>#REF!</v>
      </c>
      <c r="AE231" s="27"/>
      <c r="AF231" s="27"/>
      <c r="AG231" s="27"/>
      <c r="AH231" s="27"/>
      <c r="AI231" s="27"/>
      <c r="AJ231" s="27"/>
      <c r="AK231" s="27"/>
    </row>
    <row r="232" spans="1:37" ht="19.5" customHeight="1">
      <c r="A232" s="27"/>
      <c r="B232" s="27"/>
      <c r="C232" s="27"/>
      <c r="D232" s="27"/>
      <c r="E232" s="206" t="s">
        <v>7062</v>
      </c>
      <c r="F232" s="200"/>
      <c r="G232" s="7"/>
      <c r="H232" s="206" t="s">
        <v>7063</v>
      </c>
      <c r="I232" s="200"/>
      <c r="J232" s="7"/>
      <c r="K232" s="30" t="s">
        <v>7064</v>
      </c>
      <c r="L232" s="13" t="e">
        <f>IF(wld_az1_rack2_host15_fqdn="Value Missing",wld_az1_rack2_host15_fqdn,LEFT(wld_az1_rack2_host15_fqdn,FIND(".",wld_az1_rack2_host15_fqdn)-1))</f>
        <v>#REF!</v>
      </c>
      <c r="M232" s="7"/>
      <c r="N232" s="30" t="s">
        <v>7064</v>
      </c>
      <c r="O232" s="13" t="e">
        <f>IF(wld_az1_rack3_host15_fqdn="Value Missing",wld_az1_rack3_host15_fqdn,LEFT(wld_az1_rack3_host15_fqdn,FIND(".",wld_az1_rack3_host15_fqdn)-1))</f>
        <v>#REF!</v>
      </c>
      <c r="P232" s="7"/>
      <c r="Q232" s="30" t="s">
        <v>7064</v>
      </c>
      <c r="R232" s="13" t="e">
        <f>IF(wld_az1_rack4_host15_fqdn="Value Missing",wld_az1_rack4_host15_fqdn,LEFT(wld_az1_rack4_host15_fqdn,FIND(".",wld_az1_rack4_host15_fqdn)-1))</f>
        <v>#REF!</v>
      </c>
      <c r="S232" s="7"/>
      <c r="T232" s="30" t="s">
        <v>7064</v>
      </c>
      <c r="U232" s="13" t="e">
        <f>IF(wld_az1_rack5_host15_fqdn="Value Missing",wld_az1_rack5_host15_fqdn,LEFT(wld_az1_rack5_host15_fqdn,FIND(".",wld_az1_rack5_host15_fqdn)-1))</f>
        <v>#REF!</v>
      </c>
      <c r="V232" s="7"/>
      <c r="W232" s="30" t="s">
        <v>7064</v>
      </c>
      <c r="X232" s="13" t="e">
        <f>IF(wld_az1_rack6_host15_fqdn="Value Missing",wld_az1_rack6_host15_fqdn,LEFT(wld_az1_rack6_host15_fqdn,FIND(".",wld_az1_rack6_host15_fqdn)-1))</f>
        <v>#REF!</v>
      </c>
      <c r="Y232" s="7"/>
      <c r="Z232" s="30" t="s">
        <v>7064</v>
      </c>
      <c r="AA232" s="13" t="e">
        <f>IF(wld_az1_rack7_host15_fqdn="Value Missing",wld_az1_rack7_host15_fqdn,LEFT(wld_az1_rack7_host15_fqdn,FIND(".",wld_az1_rack7_host15_fqdn)-1))</f>
        <v>#REF!</v>
      </c>
      <c r="AB232" s="7"/>
      <c r="AC232" s="30" t="s">
        <v>7064</v>
      </c>
      <c r="AD232" s="13" t="e">
        <f>IF(wld_az1_rack8_host15_fqdn="Value Missing",wld_az1_rack8_host15_fqdn,LEFT(wld_az1_rack8_host15_fqdn,FIND(".",wld_az1_rack8_host15_fqdn)-1))</f>
        <v>#REF!</v>
      </c>
      <c r="AE232" s="27"/>
      <c r="AF232" s="27"/>
      <c r="AG232" s="27"/>
      <c r="AH232" s="27"/>
      <c r="AI232" s="27"/>
      <c r="AJ232" s="27"/>
      <c r="AK232" s="27"/>
    </row>
    <row r="233" spans="1:37" ht="19.5" customHeight="1">
      <c r="A233" s="27"/>
      <c r="B233" s="27"/>
      <c r="C233" s="27"/>
      <c r="D233" s="27"/>
      <c r="E233" s="52" t="s">
        <v>6780</v>
      </c>
      <c r="F233" s="52" t="s">
        <v>6781</v>
      </c>
      <c r="G233" s="7"/>
      <c r="H233" s="52" t="s">
        <v>6780</v>
      </c>
      <c r="I233" s="52" t="s">
        <v>6943</v>
      </c>
      <c r="J233" s="7"/>
      <c r="K233" s="30" t="s">
        <v>7065</v>
      </c>
      <c r="L233" s="13" t="e">
        <f>IF(wld_az1_rack2_host16_fqdn="Value Missing",wld_az1_rack2_host16_fqdn,LEFT(wld_az1_rack2_host16_fqdn,FIND(".",wld_az1_rack2_host16_fqdn)-1))</f>
        <v>#REF!</v>
      </c>
      <c r="M233" s="7"/>
      <c r="N233" s="30" t="s">
        <v>7065</v>
      </c>
      <c r="O233" s="13" t="e">
        <f>IF(wld_az1_rack3_host16_fqdn="Value Missing",wld_az1_rack3_host16_fqdn,LEFT(wld_az1_rack3_host16_fqdn,FIND(".",wld_az1_rack3_host16_fqdn)-1))</f>
        <v>#REF!</v>
      </c>
      <c r="P233" s="7"/>
      <c r="Q233" s="30" t="s">
        <v>7065</v>
      </c>
      <c r="R233" s="13" t="e">
        <f>IF(wld_az1_rack4_host16_fqdn="Value Missing",wld_az1_rack4_host16_fqdn,LEFT(wld_az1_rack4_host16_fqdn,FIND(".",wld_az1_rack4_host16_fqdn)-1))</f>
        <v>#REF!</v>
      </c>
      <c r="S233" s="7"/>
      <c r="T233" s="30" t="s">
        <v>7065</v>
      </c>
      <c r="U233" s="13" t="e">
        <f>IF(wld_az1_rack5_host16_fqdn="Value Missing",wld_az1_rack5_host16_fqdn,LEFT(wld_az1_rack5_host16_fqdn,FIND(".",wld_az1_rack5_host16_fqdn)-1))</f>
        <v>#REF!</v>
      </c>
      <c r="V233" s="7"/>
      <c r="W233" s="30" t="s">
        <v>7065</v>
      </c>
      <c r="X233" s="13" t="e">
        <f>IF(wld_az1_rack6_host16_fqdn="Value Missing",wld_az1_rack6_host16_fqdn,LEFT(wld_az1_rack6_host16_fqdn,FIND(".",wld_az1_rack6_host16_fqdn)-1))</f>
        <v>#REF!</v>
      </c>
      <c r="Y233" s="7"/>
      <c r="Z233" s="30" t="s">
        <v>7065</v>
      </c>
      <c r="AA233" s="13" t="e">
        <f>IF(wld_az1_rack7_host16_fqdn="Value Missing",wld_az1_rack7_host16_fqdn,LEFT(wld_az1_rack7_host16_fqdn,FIND(".",wld_az1_rack7_host16_fqdn)-1))</f>
        <v>#REF!</v>
      </c>
      <c r="AB233" s="7"/>
      <c r="AC233" s="30" t="s">
        <v>7065</v>
      </c>
      <c r="AD233" s="13" t="e">
        <f>IF(wld_az1_rack8_host16_fqdn="Value Missing",wld_az1_rack8_host16_fqdn,LEFT(wld_az1_rack8_host16_fqdn,FIND(".",wld_az1_rack8_host16_fqdn)-1))</f>
        <v>#REF!</v>
      </c>
      <c r="AE233" s="27"/>
      <c r="AF233" s="27"/>
      <c r="AG233" s="27"/>
      <c r="AH233" s="27"/>
      <c r="AI233" s="27"/>
      <c r="AJ233" s="27"/>
      <c r="AK233" s="27"/>
    </row>
    <row r="234" spans="1:37" ht="19.5" customHeight="1">
      <c r="A234" s="27"/>
      <c r="B234" s="27"/>
      <c r="C234" s="27"/>
      <c r="D234" s="27"/>
      <c r="E234" s="30" t="s">
        <v>7036</v>
      </c>
      <c r="F234" s="13" t="e">
        <f>IF(mgmt_az1_host1_fqdn="Value Missing",mgmt_az1_host1_fqdn,LEFT(mgmt_az1_host1_fqdn,FIND(".",mgmt_az1_host1_fqdn)-1))</f>
        <v>#REF!</v>
      </c>
      <c r="G234" s="7"/>
      <c r="H234" s="30" t="s">
        <v>7036</v>
      </c>
      <c r="I234" s="13" t="e">
        <f>IF(wld_az1_host1_fqdn="Value Missing",wld_az1_host1_fqdn,LEFT(wld_az1_host1_fqdn,FIND(".",wld_az1_host1_fqdn)-1))</f>
        <v>#REF!</v>
      </c>
      <c r="J234" s="7"/>
      <c r="K234" s="7"/>
      <c r="L234" s="7"/>
      <c r="M234" s="7"/>
      <c r="N234" s="51"/>
      <c r="O234" s="51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27"/>
      <c r="AF234" s="27"/>
      <c r="AG234" s="27"/>
      <c r="AH234" s="27"/>
      <c r="AI234" s="27"/>
      <c r="AJ234" s="27"/>
      <c r="AK234" s="27"/>
    </row>
    <row r="235" spans="1:37" ht="19.5" customHeight="1">
      <c r="A235" s="27"/>
      <c r="B235" s="27"/>
      <c r="C235" s="27"/>
      <c r="D235" s="27"/>
      <c r="E235" s="30" t="s">
        <v>7038</v>
      </c>
      <c r="F235" s="13" t="e">
        <f>IF(mgmt_az1_host2_fqdn="Value Missing",mgmt_az1_host2_fqdn,LEFT(mgmt_az1_host2_fqdn,FIND(".",mgmt_az1_host2_fqdn)-1))</f>
        <v>#REF!</v>
      </c>
      <c r="G235" s="7"/>
      <c r="H235" s="30" t="s">
        <v>7038</v>
      </c>
      <c r="I235" s="13" t="e">
        <f>IF(wld_az1_host2_fqdn="Value Missing",wld_az1_host2_fqdn,LEFT(wld_az1_host2_fqdn,FIND(".",wld_az1_host2_fqdn)-1))</f>
        <v>#REF!</v>
      </c>
      <c r="J235" s="7"/>
      <c r="K235" s="49" t="s">
        <v>7066</v>
      </c>
      <c r="L235" s="111"/>
      <c r="M235" s="7"/>
      <c r="N235" s="49" t="s">
        <v>7067</v>
      </c>
      <c r="O235" s="111"/>
      <c r="P235" s="7"/>
      <c r="Q235" s="49" t="s">
        <v>7068</v>
      </c>
      <c r="R235" s="111"/>
      <c r="S235" s="7"/>
      <c r="T235" s="49" t="s">
        <v>7069</v>
      </c>
      <c r="U235" s="111"/>
      <c r="V235" s="7"/>
      <c r="W235" s="49" t="s">
        <v>7070</v>
      </c>
      <c r="X235" s="111"/>
      <c r="Y235" s="7"/>
      <c r="Z235" s="49" t="s">
        <v>7071</v>
      </c>
      <c r="AA235" s="111"/>
      <c r="AB235" s="7"/>
      <c r="AC235" s="49" t="s">
        <v>7072</v>
      </c>
      <c r="AD235" s="111"/>
      <c r="AE235" s="27"/>
      <c r="AF235" s="27"/>
      <c r="AG235" s="27"/>
      <c r="AH235" s="27"/>
      <c r="AI235" s="27"/>
      <c r="AJ235" s="27"/>
      <c r="AK235" s="27"/>
    </row>
    <row r="236" spans="1:37" ht="19.5" customHeight="1">
      <c r="A236" s="27"/>
      <c r="B236" s="27"/>
      <c r="C236" s="27"/>
      <c r="D236" s="27"/>
      <c r="E236" s="30" t="s">
        <v>7040</v>
      </c>
      <c r="F236" s="13" t="e">
        <f>IF(mgmt_az1_host3_fqdn="Value Missing",mgmt_az1_host3_fqdn,LEFT(mgmt_az1_host3_fqdn,FIND(".",mgmt_az1_host3_fqdn)-1))</f>
        <v>#REF!</v>
      </c>
      <c r="G236" s="7"/>
      <c r="H236" s="30" t="s">
        <v>7040</v>
      </c>
      <c r="I236" s="13" t="e">
        <f>IF(wld_az1_host3_fqdn="Value Missing",wld_az1_host3_fqdn,LEFT(wld_az1_host3_fqdn,FIND(".",wld_az1_host3_fqdn)-1))</f>
        <v>#REF!</v>
      </c>
      <c r="J236" s="7"/>
      <c r="K236" s="52" t="s">
        <v>6780</v>
      </c>
      <c r="L236" s="52" t="s">
        <v>6943</v>
      </c>
      <c r="M236" s="7"/>
      <c r="N236" s="52" t="s">
        <v>6780</v>
      </c>
      <c r="O236" s="52" t="s">
        <v>6943</v>
      </c>
      <c r="P236" s="53"/>
      <c r="Q236" s="52" t="s">
        <v>6780</v>
      </c>
      <c r="R236" s="52" t="s">
        <v>6943</v>
      </c>
      <c r="S236" s="53"/>
      <c r="T236" s="52" t="s">
        <v>6780</v>
      </c>
      <c r="U236" s="52" t="s">
        <v>6943</v>
      </c>
      <c r="V236" s="53"/>
      <c r="W236" s="52" t="s">
        <v>6780</v>
      </c>
      <c r="X236" s="52" t="s">
        <v>6943</v>
      </c>
      <c r="Y236" s="53"/>
      <c r="Z236" s="52" t="s">
        <v>6780</v>
      </c>
      <c r="AA236" s="52" t="s">
        <v>6943</v>
      </c>
      <c r="AB236" s="53"/>
      <c r="AC236" s="52" t="s">
        <v>6780</v>
      </c>
      <c r="AD236" s="52" t="s">
        <v>6943</v>
      </c>
      <c r="AE236" s="27"/>
      <c r="AF236" s="27"/>
      <c r="AG236" s="27"/>
      <c r="AH236" s="27"/>
      <c r="AI236" s="27"/>
      <c r="AJ236" s="27"/>
      <c r="AK236" s="27"/>
    </row>
    <row r="237" spans="1:37" ht="19.5" customHeight="1">
      <c r="A237" s="27"/>
      <c r="B237" s="27"/>
      <c r="C237" s="27"/>
      <c r="D237" s="27"/>
      <c r="E237" s="30" t="s">
        <v>7042</v>
      </c>
      <c r="F237" s="13" t="e">
        <f>IF(mgmt_az1_host4_fqdn="Value Missing",mgmt_az1_host4_fqdn,LEFT(mgmt_az1_host4_fqdn,FIND(".",mgmt_az1_host4_fqdn)-1))</f>
        <v>#REF!</v>
      </c>
      <c r="G237" s="27"/>
      <c r="H237" s="30" t="s">
        <v>7042</v>
      </c>
      <c r="I237" s="13" t="e">
        <f>IF(wld_az1_host4_fqdn="Value Missing",wld_az1_host4_fqdn,LEFT(wld_az1_host4_fqdn,FIND(".",wld_az1_host4_fqdn)-1))</f>
        <v>#REF!</v>
      </c>
      <c r="J237" s="27"/>
      <c r="K237" s="30" t="s">
        <v>7036</v>
      </c>
      <c r="L237" s="13" t="e">
        <f>IF(ISBLANK(input_wld_az1_rack2_host1_fqdn),"Value Missing",input_wld_az1_rack2_host1_fqdn)</f>
        <v>#REF!</v>
      </c>
      <c r="M237" s="7"/>
      <c r="N237" s="30" t="s">
        <v>7036</v>
      </c>
      <c r="O237" s="13" t="e">
        <f>IF(ISBLANK(input_wld_az1_rack3_host1_fqdn),"Value Missing",input_wld_az1_rack3_host1_fqdn)</f>
        <v>#REF!</v>
      </c>
      <c r="P237" s="7"/>
      <c r="Q237" s="30" t="s">
        <v>7036</v>
      </c>
      <c r="R237" s="13" t="e">
        <f>IF(ISBLANK(input_wld_az1_rack4_host1_fqdn),"Value Missing",input_wld_az1_rack4_host1_fqdn)</f>
        <v>#REF!</v>
      </c>
      <c r="S237" s="7"/>
      <c r="T237" s="30" t="s">
        <v>7036</v>
      </c>
      <c r="U237" s="13" t="e">
        <f>IF(ISBLANK(input_wld_az1_rack5_host1_fqdn),"Value Missing",input_wld_az1_rack5_host1_fqdn)</f>
        <v>#REF!</v>
      </c>
      <c r="V237" s="7"/>
      <c r="W237" s="30" t="s">
        <v>7036</v>
      </c>
      <c r="X237" s="13" t="e">
        <f>IF(ISBLANK(input_wld_az1_rack6_host1_fqdn),"Value Missing",input_wld_az1_rack6_host1_fqdn)</f>
        <v>#REF!</v>
      </c>
      <c r="Y237" s="7"/>
      <c r="Z237" s="30" t="s">
        <v>7036</v>
      </c>
      <c r="AA237" s="13" t="e">
        <f>IF(ISBLANK(input_wld_az1_rack7_host1_fqdn),"Value Missing",input_wld_az1_rack7_host1_fqdn)</f>
        <v>#REF!</v>
      </c>
      <c r="AB237" s="7"/>
      <c r="AC237" s="30" t="s">
        <v>7036</v>
      </c>
      <c r="AD237" s="13" t="e">
        <f>IF(ISBLANK(input_wld_az1_rack8_host1_fqdn),"Value Missing",input_wld_az1_rack8_host1_fqdn)</f>
        <v>#REF!</v>
      </c>
      <c r="AE237" s="27"/>
      <c r="AF237" s="27"/>
      <c r="AG237" s="27"/>
      <c r="AH237" s="27"/>
      <c r="AI237" s="27"/>
      <c r="AJ237" s="27"/>
      <c r="AK237" s="27"/>
    </row>
    <row r="238" spans="1:37" ht="19.5" customHeight="1">
      <c r="A238" s="27"/>
      <c r="B238" s="27"/>
      <c r="C238" s="27"/>
      <c r="D238" s="27"/>
      <c r="E238" s="30" t="s">
        <v>7044</v>
      </c>
      <c r="F238" s="13" t="e">
        <f>IF(mgmt_az1_host5_fqdn="Value Missing",mgmt_az1_host5_fqdn,LEFT(mgmt_az1_host5_fqdn,FIND(".",mgmt_az1_host5_fqdn)-1))</f>
        <v>#REF!</v>
      </c>
      <c r="G238" s="27"/>
      <c r="H238" s="30" t="s">
        <v>7044</v>
      </c>
      <c r="I238" s="13" t="e">
        <f>IF(wld_az1_host5_fqdn="Value Missing",wld_az1_host5_fqdn,LEFT(wld_az1_host5_fqdn,FIND(".",wld_az1_host5_fqdn)-1))</f>
        <v>#REF!</v>
      </c>
      <c r="J238" s="27"/>
      <c r="K238" s="30" t="s">
        <v>7038</v>
      </c>
      <c r="L238" s="13" t="e">
        <f>IF(ISBLANK(input_wld_az1_rack2_host2_fqdn),"Value Missing",input_wld_az1_rack2_host2_fqdn)</f>
        <v>#REF!</v>
      </c>
      <c r="M238" s="7"/>
      <c r="N238" s="30" t="s">
        <v>7038</v>
      </c>
      <c r="O238" s="13" t="e">
        <f>IF(ISBLANK(input_wld_az1_rack3_host2_fqdn),"Value Missing",input_wld_az1_rack3_host2_fqdn)</f>
        <v>#REF!</v>
      </c>
      <c r="P238" s="7"/>
      <c r="Q238" s="30" t="s">
        <v>7038</v>
      </c>
      <c r="R238" s="13" t="e">
        <f>IF(ISBLANK(input_wld_az1_rack4_host2_fqdn),"Value Missing",input_wld_az1_rack4_host2_fqdn)</f>
        <v>#REF!</v>
      </c>
      <c r="S238" s="7"/>
      <c r="T238" s="30" t="s">
        <v>7038</v>
      </c>
      <c r="U238" s="13" t="e">
        <f>IF(ISBLANK(input_wld_az1_rack5_host2_fqdn),"Value Missing",input_wld_az1_rack5_host2_fqdn)</f>
        <v>#REF!</v>
      </c>
      <c r="V238" s="7"/>
      <c r="W238" s="30" t="s">
        <v>7038</v>
      </c>
      <c r="X238" s="13" t="e">
        <f>IF(ISBLANK(input_wld_az1_rack6_host2_fqdn),"Value Missing",input_wld_az1_rack6_host2_fqdn)</f>
        <v>#REF!</v>
      </c>
      <c r="Y238" s="7"/>
      <c r="Z238" s="30" t="s">
        <v>7038</v>
      </c>
      <c r="AA238" s="13" t="e">
        <f>IF(ISBLANK(input_wld_az1_rack7_host2_fqdn),"Value Missing",input_wld_az1_rack7_host2_fqdn)</f>
        <v>#REF!</v>
      </c>
      <c r="AB238" s="7"/>
      <c r="AC238" s="30" t="s">
        <v>7038</v>
      </c>
      <c r="AD238" s="13" t="e">
        <f>IF(ISBLANK(input_wld_az1_rack8_host2_fqdn),"Value Missing",input_wld_az1_rack8_host2_fqdn)</f>
        <v>#REF!</v>
      </c>
      <c r="AE238" s="27"/>
      <c r="AF238" s="27"/>
      <c r="AG238" s="27"/>
      <c r="AH238" s="27"/>
      <c r="AI238" s="27"/>
      <c r="AJ238" s="27"/>
      <c r="AK238" s="27"/>
    </row>
    <row r="239" spans="1:37" ht="19.5" customHeight="1">
      <c r="A239" s="27"/>
      <c r="B239" s="27"/>
      <c r="C239" s="27"/>
      <c r="D239" s="27"/>
      <c r="E239" s="30" t="s">
        <v>7046</v>
      </c>
      <c r="F239" s="13" t="e">
        <f>IF(mgmt_az1_host6_fqdn="Value Missing",mgmt_az1_host6_fqdn,LEFT(mgmt_az1_host6_fqdn,FIND(".",mgmt_az1_host6_fqdn)-1))</f>
        <v>#REF!</v>
      </c>
      <c r="G239" s="27"/>
      <c r="H239" s="30" t="s">
        <v>7046</v>
      </c>
      <c r="I239" s="13" t="e">
        <f>IF(wld_az1_host6_fqdn="Value Missing",wld_az1_host6_fqdn,LEFT(wld_az1_host6_fqdn,FIND(".",wld_az1_host6_fqdn)-1))</f>
        <v>#REF!</v>
      </c>
      <c r="J239" s="27"/>
      <c r="K239" s="30" t="s">
        <v>7040</v>
      </c>
      <c r="L239" s="13" t="e">
        <f>IF(ISBLANK(input_wld_az1_rack2_host3_fqdn),"Value Missing",input_wld_az1_rack2_host3_fqdn)</f>
        <v>#REF!</v>
      </c>
      <c r="M239" s="7"/>
      <c r="N239" s="30" t="s">
        <v>7040</v>
      </c>
      <c r="O239" s="13" t="e">
        <f>IF(ISBLANK(input_wld_az1_rack3_host3_fqdn),"Value Missing",input_wld_az1_rack3_host3_fqdn)</f>
        <v>#REF!</v>
      </c>
      <c r="P239" s="7"/>
      <c r="Q239" s="30" t="s">
        <v>7040</v>
      </c>
      <c r="R239" s="13" t="e">
        <f>IF(ISBLANK(input_wld_az1_rack4_host3_fqdn),"Value Missing",input_wld_az1_rack4_host3_fqdn)</f>
        <v>#REF!</v>
      </c>
      <c r="S239" s="7"/>
      <c r="T239" s="30" t="s">
        <v>7040</v>
      </c>
      <c r="U239" s="13" t="e">
        <f>IF(ISBLANK(input_wld_az1_rack5_host3_fqdn),"Value Missing",input_wld_az1_rack5_host3_fqdn)</f>
        <v>#REF!</v>
      </c>
      <c r="V239" s="7"/>
      <c r="W239" s="30" t="s">
        <v>7040</v>
      </c>
      <c r="X239" s="13" t="e">
        <f>IF(ISBLANK(input_wld_az1_rack6_host3_fqdn),"Value Missing",input_wld_az1_rack6_host3_fqdn)</f>
        <v>#REF!</v>
      </c>
      <c r="Y239" s="7"/>
      <c r="Z239" s="30" t="s">
        <v>7040</v>
      </c>
      <c r="AA239" s="13" t="e">
        <f>IF(ISBLANK(input_wld_az1_rack7_host3_fqdn),"Value Missing",input_wld_az1_rack7_host3_fqdn)</f>
        <v>#REF!</v>
      </c>
      <c r="AB239" s="7"/>
      <c r="AC239" s="30" t="s">
        <v>7040</v>
      </c>
      <c r="AD239" s="13" t="e">
        <f>IF(ISBLANK(input_wld_az1_rack8_host3_fqdn),"Value Missing",input_wld_az1_rack8_host3_fqdn)</f>
        <v>#REF!</v>
      </c>
      <c r="AE239" s="27"/>
      <c r="AF239" s="27"/>
      <c r="AG239" s="27"/>
      <c r="AH239" s="27"/>
      <c r="AI239" s="27"/>
      <c r="AJ239" s="27"/>
      <c r="AK239" s="27"/>
    </row>
    <row r="240" spans="1:37" ht="19.5" customHeight="1">
      <c r="A240" s="27"/>
      <c r="B240" s="27"/>
      <c r="C240" s="27"/>
      <c r="D240" s="27"/>
      <c r="E240" s="30" t="s">
        <v>7048</v>
      </c>
      <c r="F240" s="13" t="e">
        <f>IF(mgmt_az1_host7_fqdn="Value Missing",mgmt_az1_host7_fqdn,LEFT(mgmt_az1_host7_fqdn,FIND(".",mgmt_az1_host7_fqdn)-1))</f>
        <v>#REF!</v>
      </c>
      <c r="G240" s="27"/>
      <c r="H240" s="30" t="s">
        <v>7048</v>
      </c>
      <c r="I240" s="13" t="e">
        <f>IF(wld_az1_host7_fqdn="Value Missing",wld_az1_host7_fqdn,LEFT(wld_az1_host7_fqdn,FIND(".",wld_az1_host7_fqdn)-1))</f>
        <v>#REF!</v>
      </c>
      <c r="J240" s="27"/>
      <c r="K240" s="30" t="s">
        <v>7042</v>
      </c>
      <c r="L240" s="13" t="e">
        <f>IF(ISBLANK(input_wld_az1_rack2_host4_fqdn),"Value Missing",input_wld_az1_rack2_host4_fqdn)</f>
        <v>#REF!</v>
      </c>
      <c r="M240" s="27"/>
      <c r="N240" s="30" t="s">
        <v>7042</v>
      </c>
      <c r="O240" s="13" t="e">
        <f>IF(ISBLANK(input_wld_az1_rack3_host4_fqdn),"Value Missing",input_wld_az1_rack3_host4_fqdn)</f>
        <v>#REF!</v>
      </c>
      <c r="P240" s="7"/>
      <c r="Q240" s="30" t="s">
        <v>7042</v>
      </c>
      <c r="R240" s="13" t="e">
        <f>IF(ISBLANK(input_wld_az1_rack4_host4_fqdn),"Value Missing",input_wld_az1_rack4_host4_fqdn)</f>
        <v>#REF!</v>
      </c>
      <c r="S240" s="7"/>
      <c r="T240" s="30" t="s">
        <v>7042</v>
      </c>
      <c r="U240" s="13" t="e">
        <f>IF(ISBLANK(input_wld_az1_rack5_host4_fqdn),"Value Missing",input_wld_az1_rack5_host4_fqdn)</f>
        <v>#REF!</v>
      </c>
      <c r="V240" s="7"/>
      <c r="W240" s="30" t="s">
        <v>7042</v>
      </c>
      <c r="X240" s="13" t="e">
        <f>IF(ISBLANK(input_wld_az1_rack6_host4_fqdn),"Value Missing",input_wld_az1_rack6_host4_fqdn)</f>
        <v>#REF!</v>
      </c>
      <c r="Y240" s="7"/>
      <c r="Z240" s="30" t="s">
        <v>7042</v>
      </c>
      <c r="AA240" s="13" t="e">
        <f>IF(ISBLANK(input_wld_az1_rack7_host4_fqdn),"Value Missing",input_wld_az1_rack7_host4_fqdn)</f>
        <v>#REF!</v>
      </c>
      <c r="AB240" s="7"/>
      <c r="AC240" s="30" t="s">
        <v>7042</v>
      </c>
      <c r="AD240" s="13" t="e">
        <f>IF(ISBLANK(input_wld_az1_rack8_host4_fqdn),"Value Missing",input_wld_az1_rack8_host4_fqdn)</f>
        <v>#REF!</v>
      </c>
      <c r="AE240" s="27"/>
      <c r="AF240" s="27"/>
      <c r="AG240" s="27"/>
      <c r="AH240" s="27"/>
      <c r="AI240" s="27"/>
      <c r="AJ240" s="27"/>
      <c r="AK240" s="27"/>
    </row>
    <row r="241" spans="1:37" ht="19.5" customHeight="1">
      <c r="A241" s="27"/>
      <c r="B241" s="27"/>
      <c r="C241" s="27"/>
      <c r="D241" s="27"/>
      <c r="E241" s="30" t="s">
        <v>7050</v>
      </c>
      <c r="F241" s="13" t="e">
        <f>IF(mgmt_az1_host8_fqdn="Value Missing",mgmt_az1_host8_fqdn,LEFT(mgmt_az1_host8_fqdn,FIND(".",mgmt_az1_host8_fqdn)-1))</f>
        <v>#REF!</v>
      </c>
      <c r="G241" s="27"/>
      <c r="H241" s="30" t="s">
        <v>7050</v>
      </c>
      <c r="I241" s="13" t="e">
        <f>IF(wld_az1_host8_fqdn="Value Missing",wld_az1_host8_fqdn,LEFT(wld_az1_host8_fqdn,FIND(".",wld_az1_host8_fqdn)-1))</f>
        <v>#REF!</v>
      </c>
      <c r="J241" s="27"/>
      <c r="K241" s="30" t="s">
        <v>7044</v>
      </c>
      <c r="L241" s="13" t="e">
        <f>IF(ISBLANK(input_wld_az1_rack2_host5_fqdn),"Value Missing",input_wld_az1_rack2_host5_fqdn)</f>
        <v>#REF!</v>
      </c>
      <c r="M241" s="27"/>
      <c r="N241" s="30" t="s">
        <v>7044</v>
      </c>
      <c r="O241" s="13" t="e">
        <f>IF(ISBLANK(input_wld_az1_rack3_host5_fqdn),"Value Missing",input_wld_az1_rack3_host5_fqdn)</f>
        <v>#REF!</v>
      </c>
      <c r="P241" s="7"/>
      <c r="Q241" s="30" t="s">
        <v>7044</v>
      </c>
      <c r="R241" s="13" t="e">
        <f>IF(ISBLANK(input_wld_az1_rack4_host5_fqdn),"Value Missing",input_wld_az1_rack4_host5_fqdn)</f>
        <v>#REF!</v>
      </c>
      <c r="S241" s="7"/>
      <c r="T241" s="30" t="s">
        <v>7044</v>
      </c>
      <c r="U241" s="13" t="e">
        <f>IF(ISBLANK(input_wld_az1_rack5_host5_fqdn),"Value Missing",input_wld_az1_rack5_host5_fqdn)</f>
        <v>#REF!</v>
      </c>
      <c r="V241" s="7"/>
      <c r="W241" s="30" t="s">
        <v>7044</v>
      </c>
      <c r="X241" s="13" t="e">
        <f>IF(ISBLANK(input_wld_az1_rack6_host5_fqdn),"Value Missing",input_wld_az1_rack6_host5_fqdn)</f>
        <v>#REF!</v>
      </c>
      <c r="Y241" s="7"/>
      <c r="Z241" s="30" t="s">
        <v>7044</v>
      </c>
      <c r="AA241" s="13" t="e">
        <f>IF(ISBLANK(input_wld_az1_rack7_host5_fqdn),"Value Missing",input_wld_az1_rack7_host5_fqdn)</f>
        <v>#REF!</v>
      </c>
      <c r="AB241" s="7"/>
      <c r="AC241" s="30" t="s">
        <v>7044</v>
      </c>
      <c r="AD241" s="13" t="e">
        <f>IF(ISBLANK(input_wld_az1_rack8_host5_fqdn),"Value Missing",input_wld_az1_rack8_host5_fqdn)</f>
        <v>#REF!</v>
      </c>
      <c r="AE241" s="27"/>
      <c r="AF241" s="27"/>
      <c r="AG241" s="27"/>
      <c r="AH241" s="27"/>
      <c r="AI241" s="27"/>
      <c r="AJ241" s="27"/>
      <c r="AK241" s="27"/>
    </row>
    <row r="242" spans="1:37" ht="19.5" customHeight="1">
      <c r="A242" s="27"/>
      <c r="B242" s="27"/>
      <c r="C242" s="27"/>
      <c r="D242" s="27"/>
      <c r="E242" s="30" t="s">
        <v>7052</v>
      </c>
      <c r="F242" s="13" t="e">
        <f>IF(mgmt_az1_host9_fqdn="Value Missing",mgmt_az1_host9_fqdn,LEFT(mgmt_az1_host9_fqdn,FIND(".",mgmt_az1_host9_fqdn)-1))</f>
        <v>#REF!</v>
      </c>
      <c r="G242" s="27"/>
      <c r="H242" s="30" t="s">
        <v>7052</v>
      </c>
      <c r="I242" s="13" t="e">
        <f>IF(wld_az1_host9_fqdn="Value Missing",wld_az1_host9_fqdn,LEFT(wld_az1_host9_fqdn,FIND(".",wld_az1_host9_fqdn)-1))</f>
        <v>#REF!</v>
      </c>
      <c r="J242" s="27"/>
      <c r="K242" s="30" t="s">
        <v>7046</v>
      </c>
      <c r="L242" s="13" t="e">
        <f>IF(ISBLANK(input_wld_az1_rack2_host6_fqdn),"Value Missing",input_wld_az1_rack2_host6_fqdn)</f>
        <v>#REF!</v>
      </c>
      <c r="M242" s="27"/>
      <c r="N242" s="30" t="s">
        <v>7046</v>
      </c>
      <c r="O242" s="13" t="e">
        <f>IF(ISBLANK(input_wld_az1_rack3_host6_fqdn),"Value Missing",input_wld_az1_rack3_host6_fqdn)</f>
        <v>#REF!</v>
      </c>
      <c r="P242" s="7"/>
      <c r="Q242" s="30" t="s">
        <v>7046</v>
      </c>
      <c r="R242" s="13" t="e">
        <f>IF(ISBLANK(input_wld_az1_rack4_host6_fqdn),"Value Missing",input_wld_az1_rack4_host6_fqdn)</f>
        <v>#REF!</v>
      </c>
      <c r="S242" s="7"/>
      <c r="T242" s="30" t="s">
        <v>7046</v>
      </c>
      <c r="U242" s="13" t="e">
        <f>IF(ISBLANK(input_wld_az1_rack5_host6_fqdn),"Value Missing",input_wld_az1_rack5_host6_fqdn)</f>
        <v>#REF!</v>
      </c>
      <c r="V242" s="7"/>
      <c r="W242" s="30" t="s">
        <v>7046</v>
      </c>
      <c r="X242" s="13" t="e">
        <f>IF(ISBLANK(input_wld_az1_rack6_host6_fqdn),"Value Missing",input_wld_az1_rack6_host6_fqdn)</f>
        <v>#REF!</v>
      </c>
      <c r="Y242" s="7"/>
      <c r="Z242" s="30" t="s">
        <v>7046</v>
      </c>
      <c r="AA242" s="13" t="e">
        <f>IF(ISBLANK(input_wld_az1_rack7_host6_fqdn),"Value Missing",input_wld_az1_rack7_host6_fqdn)</f>
        <v>#REF!</v>
      </c>
      <c r="AB242" s="7"/>
      <c r="AC242" s="30" t="s">
        <v>7046</v>
      </c>
      <c r="AD242" s="13" t="e">
        <f>IF(ISBLANK(input_wld_az1_rack8_host6_fqdn),"Value Missing",input_wld_az1_rack8_host6_fqdn)</f>
        <v>#REF!</v>
      </c>
      <c r="AE242" s="27"/>
      <c r="AF242" s="27"/>
      <c r="AG242" s="27"/>
      <c r="AH242" s="27"/>
      <c r="AI242" s="27"/>
      <c r="AJ242" s="27"/>
      <c r="AK242" s="27"/>
    </row>
    <row r="243" spans="1:37" ht="19.5" customHeight="1">
      <c r="A243" s="27"/>
      <c r="B243" s="27"/>
      <c r="C243" s="27"/>
      <c r="D243" s="27"/>
      <c r="E243" s="30" t="s">
        <v>7054</v>
      </c>
      <c r="F243" s="13" t="e">
        <f>IF(mgmt_az1_host10_fqdn="Value Missing",mgmt_az1_host10_fqdn,LEFT(mgmt_az1_host10_fqdn,FIND(".",mgmt_az1_host10_fqdn)-1))</f>
        <v>#REF!</v>
      </c>
      <c r="G243" s="27"/>
      <c r="H243" s="30" t="s">
        <v>7054</v>
      </c>
      <c r="I243" s="13" t="e">
        <f>IF(wld_az1_host10_fqdn="Value Missing",wld_az1_host10_fqdn,LEFT(wld_az1_host10_fqdn,FIND(".",wld_az1_host10_fqdn)-1))</f>
        <v>#REF!</v>
      </c>
      <c r="J243" s="27"/>
      <c r="K243" s="30" t="s">
        <v>7048</v>
      </c>
      <c r="L243" s="13" t="e">
        <f>IF(ISBLANK(input_wld_az1_rack2_host7_fqdn),"Value Missing",input_wld_az1_rack2_host7_fqdn)</f>
        <v>#REF!</v>
      </c>
      <c r="M243" s="27"/>
      <c r="N243" s="30" t="s">
        <v>7048</v>
      </c>
      <c r="O243" s="13" t="e">
        <f>IF(ISBLANK(input_wld_az1_rack3_host7_fqdn),"Value Missing",input_wld_az1_rack3_host7_fqdn)</f>
        <v>#REF!</v>
      </c>
      <c r="P243" s="7"/>
      <c r="Q243" s="30" t="s">
        <v>7048</v>
      </c>
      <c r="R243" s="13" t="e">
        <f>IF(ISBLANK(input_wld_az1_rack4_host7_fqdn),"Value Missing",input_wld_az1_rack4_host7_fqdn)</f>
        <v>#REF!</v>
      </c>
      <c r="S243" s="7"/>
      <c r="T243" s="30" t="s">
        <v>7048</v>
      </c>
      <c r="U243" s="13" t="e">
        <f>IF(ISBLANK(input_wld_az1_rack5_host7_fqdn),"Value Missing",input_wld_az1_rack5_host7_fqdn)</f>
        <v>#REF!</v>
      </c>
      <c r="V243" s="7"/>
      <c r="W243" s="30" t="s">
        <v>7048</v>
      </c>
      <c r="X243" s="13" t="e">
        <f>IF(ISBLANK(input_wld_az1_rack6_host7_fqdn),"Value Missing",input_wld_az1_rack6_host7_fqdn)</f>
        <v>#REF!</v>
      </c>
      <c r="Y243" s="7"/>
      <c r="Z243" s="30" t="s">
        <v>7048</v>
      </c>
      <c r="AA243" s="13" t="e">
        <f>IF(ISBLANK(input_wld_az1_rack7_host7_fqdn),"Value Missing",input_wld_az1_rack7_host7_fqdn)</f>
        <v>#REF!</v>
      </c>
      <c r="AB243" s="7"/>
      <c r="AC243" s="30" t="s">
        <v>7048</v>
      </c>
      <c r="AD243" s="13" t="e">
        <f>IF(ISBLANK(input_wld_az1_rack8_host7_fqdn),"Value Missing",input_wld_az1_rack8_host7_fqdn)</f>
        <v>#REF!</v>
      </c>
      <c r="AE243" s="27"/>
      <c r="AF243" s="27"/>
      <c r="AG243" s="27"/>
      <c r="AH243" s="27"/>
      <c r="AI243" s="27"/>
      <c r="AJ243" s="27"/>
      <c r="AK243" s="27"/>
    </row>
    <row r="244" spans="1:37" ht="19.5" customHeight="1">
      <c r="A244" s="27"/>
      <c r="B244" s="27"/>
      <c r="C244" s="27"/>
      <c r="D244" s="27"/>
      <c r="E244" s="30" t="s">
        <v>7056</v>
      </c>
      <c r="F244" s="13" t="e">
        <f>IF(mgmt_az1_host11_fqdn="Value Missing",mgmt_az1_host11_fqdn,LEFT(mgmt_az1_host11_fqdn,FIND(".",mgmt_az1_host11_fqdn)-1))</f>
        <v>#REF!</v>
      </c>
      <c r="G244" s="27"/>
      <c r="H244" s="30" t="s">
        <v>7056</v>
      </c>
      <c r="I244" s="13" t="e">
        <f>IF(wld_az1_host11_fqdn="Value Missing",wld_az1_host11_fqdn,LEFT(wld_az1_host11_fqdn,FIND(".",wld_az1_host11_fqdn)-1))</f>
        <v>#REF!</v>
      </c>
      <c r="J244" s="27"/>
      <c r="K244" s="30" t="s">
        <v>7050</v>
      </c>
      <c r="L244" s="13" t="e">
        <f>IF(ISBLANK(input_wld_az1_rack2_host8_fqdn),"Value Missing",input_wld_az1_rack2_host8_fqdn)</f>
        <v>#REF!</v>
      </c>
      <c r="M244" s="27"/>
      <c r="N244" s="30" t="s">
        <v>7050</v>
      </c>
      <c r="O244" s="13" t="e">
        <f>IF(ISBLANK(input_wld_az1_rack3_host8_fqdn),"Value Missing",input_wld_az1_rack3_host8_fqdn)</f>
        <v>#REF!</v>
      </c>
      <c r="P244" s="7"/>
      <c r="Q244" s="30" t="s">
        <v>7050</v>
      </c>
      <c r="R244" s="13" t="e">
        <f>IF(ISBLANK(input_wld_az1_rack4_host8_fqdn),"Value Missing",input_wld_az1_rack4_host8_fqdn)</f>
        <v>#REF!</v>
      </c>
      <c r="S244" s="7"/>
      <c r="T244" s="30" t="s">
        <v>7050</v>
      </c>
      <c r="U244" s="13" t="e">
        <f>IF(ISBLANK(input_wld_az1_rack5_host8_fqdn),"Value Missing",input_wld_az1_rack5_host8_fqdn)</f>
        <v>#REF!</v>
      </c>
      <c r="V244" s="7"/>
      <c r="W244" s="30" t="s">
        <v>7050</v>
      </c>
      <c r="X244" s="13" t="e">
        <f>IF(ISBLANK(input_wld_az1_rack6_host8_fqdn),"Value Missing",input_wld_az1_rack6_host8_fqdn)</f>
        <v>#REF!</v>
      </c>
      <c r="Y244" s="7"/>
      <c r="Z244" s="30" t="s">
        <v>7050</v>
      </c>
      <c r="AA244" s="13" t="e">
        <f>IF(ISBLANK(input_wld_az1_rack7_host8_fqdn),"Value Missing",input_wld_az1_rack7_host8_fqdn)</f>
        <v>#REF!</v>
      </c>
      <c r="AB244" s="7"/>
      <c r="AC244" s="30" t="s">
        <v>7050</v>
      </c>
      <c r="AD244" s="13" t="e">
        <f>IF(ISBLANK(input_wld_az1_rack8_host8_fqdn),"Value Missing",input_wld_az1_rack8_host8_fqdn)</f>
        <v>#REF!</v>
      </c>
      <c r="AE244" s="27"/>
      <c r="AF244" s="27"/>
      <c r="AG244" s="27"/>
      <c r="AH244" s="27"/>
      <c r="AI244" s="27"/>
      <c r="AJ244" s="27"/>
      <c r="AK244" s="27"/>
    </row>
    <row r="245" spans="1:37" ht="19.5" customHeight="1">
      <c r="A245" s="27"/>
      <c r="B245" s="27"/>
      <c r="C245" s="27"/>
      <c r="D245" s="27"/>
      <c r="E245" s="30" t="s">
        <v>7058</v>
      </c>
      <c r="F245" s="13" t="e">
        <f>IF(mgmt_az1_host12_fqdn="Value Missing",mgmt_az1_host12_fqdn,LEFT(mgmt_az1_host12_fqdn,FIND(".",mgmt_az1_host12_fqdn)-1))</f>
        <v>#REF!</v>
      </c>
      <c r="G245" s="27"/>
      <c r="H245" s="30" t="s">
        <v>7058</v>
      </c>
      <c r="I245" s="13" t="e">
        <f>IF(wld_az1_host12_fqdn="Value Missing",wld_az1_host12_fqdn,LEFT(wld_az1_host12_fqdn,FIND(".",wld_az1_host12_fqdn)-1))</f>
        <v>#REF!</v>
      </c>
      <c r="J245" s="27"/>
      <c r="K245" s="30" t="s">
        <v>7052</v>
      </c>
      <c r="L245" s="13" t="e">
        <f>IF(ISBLANK(input_wld_az1_rack2_host9_fqdn),"Value Missing",input_wld_az1_rack2_host9_fqdn)</f>
        <v>#REF!</v>
      </c>
      <c r="M245" s="27"/>
      <c r="N245" s="30" t="s">
        <v>7052</v>
      </c>
      <c r="O245" s="13" t="e">
        <f>IF(ISBLANK(input_wld_az1_rack3_host9_fqdn),"Value Missing",input_wld_az1_rack3_host9_fqdn)</f>
        <v>#REF!</v>
      </c>
      <c r="P245" s="27"/>
      <c r="Q245" s="30" t="s">
        <v>7052</v>
      </c>
      <c r="R245" s="13" t="e">
        <f>IF(ISBLANK(input_wld_az1_rack4_host9_fqdn),"Value Missing",input_wld_az1_rack4_host9_fqdn)</f>
        <v>#REF!</v>
      </c>
      <c r="S245" s="27"/>
      <c r="T245" s="30" t="s">
        <v>7052</v>
      </c>
      <c r="U245" s="13" t="e">
        <f>IF(ISBLANK(input_wld_az1_rack5_host9_fqdn),"Value Missing",input_wld_az1_rack5_host9_fqdn)</f>
        <v>#REF!</v>
      </c>
      <c r="V245" s="27"/>
      <c r="W245" s="30" t="s">
        <v>7052</v>
      </c>
      <c r="X245" s="13" t="e">
        <f>IF(ISBLANK(input_wld_az1_rack6_host9_fqdn),"Value Missing",input_wld_az1_rack6_host9_fqdn)</f>
        <v>#REF!</v>
      </c>
      <c r="Y245" s="27"/>
      <c r="Z245" s="30" t="s">
        <v>7052</v>
      </c>
      <c r="AA245" s="13" t="e">
        <f>IF(ISBLANK(input_wld_az1_rack7_host9_fqdn),"Value Missing",input_wld_az1_rack7_host9_fqdn)</f>
        <v>#REF!</v>
      </c>
      <c r="AB245" s="27"/>
      <c r="AC245" s="30" t="s">
        <v>7052</v>
      </c>
      <c r="AD245" s="13" t="e">
        <f>IF(ISBLANK(input_wld_az1_rack8_host9_fqdn),"Value Missing",input_wld_az1_rack8_host9_fqdn)</f>
        <v>#REF!</v>
      </c>
      <c r="AE245" s="27"/>
      <c r="AF245" s="27"/>
      <c r="AG245" s="27"/>
      <c r="AH245" s="27"/>
      <c r="AI245" s="27"/>
      <c r="AJ245" s="27"/>
      <c r="AK245" s="27"/>
    </row>
    <row r="246" spans="1:37" ht="19.5" customHeight="1">
      <c r="A246" s="27"/>
      <c r="B246" s="27"/>
      <c r="C246" s="27"/>
      <c r="D246" s="27"/>
      <c r="E246" s="30" t="s">
        <v>7060</v>
      </c>
      <c r="F246" s="13" t="e">
        <f>IF(mgmt_az1_host13_fqdn="Value Missing",mgmt_az1_host13_fqdn,LEFT(mgmt_az1_host13_fqdn,FIND(".",mgmt_az1_host13_fqdn)-1))</f>
        <v>#REF!</v>
      </c>
      <c r="G246" s="27"/>
      <c r="H246" s="30" t="s">
        <v>7060</v>
      </c>
      <c r="I246" s="13" t="e">
        <f>IF(wld_az1_host13_fqdn="Value Missing",wld_az1_host13_fqdn,LEFT(wld_az1_host13_fqdn,FIND(".",wld_az1_host13_fqdn)-1))</f>
        <v>#REF!</v>
      </c>
      <c r="J246" s="27"/>
      <c r="K246" s="30" t="s">
        <v>7054</v>
      </c>
      <c r="L246" s="13" t="e">
        <f>IF(ISBLANK(input_wld_az1_rack2_host10_fqdn),"Value Missing",input_wld_az1_rack2_host10_fqdn)</f>
        <v>#REF!</v>
      </c>
      <c r="M246" s="27"/>
      <c r="N246" s="30" t="s">
        <v>7054</v>
      </c>
      <c r="O246" s="13" t="e">
        <f>IF(ISBLANK(input_wld_az1_rack3_host10_fqdn),"Value Missing",input_wld_az1_rack3_host10_fqdn)</f>
        <v>#REF!</v>
      </c>
      <c r="P246" s="27"/>
      <c r="Q246" s="30" t="s">
        <v>7054</v>
      </c>
      <c r="R246" s="13" t="e">
        <f>IF(ISBLANK(input_wld_az1_rack4_host10_fqdn),"Value Missing",input_wld_az1_rack4_host10_fqdn)</f>
        <v>#REF!</v>
      </c>
      <c r="S246" s="27"/>
      <c r="T246" s="30" t="s">
        <v>7054</v>
      </c>
      <c r="U246" s="13" t="e">
        <f>IF(ISBLANK(input_wld_az1_rack5_host10_fqdn),"Value Missing",input_wld_az1_rack5_host10_fqdn)</f>
        <v>#REF!</v>
      </c>
      <c r="V246" s="27"/>
      <c r="W246" s="30" t="s">
        <v>7054</v>
      </c>
      <c r="X246" s="13" t="e">
        <f>IF(ISBLANK(input_wld_az1_rack6_host10_fqdn),"Value Missing",input_wld_az1_rack6_host10_fqdn)</f>
        <v>#REF!</v>
      </c>
      <c r="Y246" s="27"/>
      <c r="Z246" s="30" t="s">
        <v>7054</v>
      </c>
      <c r="AA246" s="13" t="e">
        <f>IF(ISBLANK(input_wld_az1_rack7_host10_fqdn),"Value Missing",input_wld_az1_rack7_host10_fqdn)</f>
        <v>#REF!</v>
      </c>
      <c r="AB246" s="27"/>
      <c r="AC246" s="30" t="s">
        <v>7054</v>
      </c>
      <c r="AD246" s="13" t="e">
        <f>IF(ISBLANK(input_wld_az1_rack8_host10_fqdn),"Value Missing",input_wld_az1_rack8_host10_fqdn)</f>
        <v>#REF!</v>
      </c>
      <c r="AE246" s="27"/>
      <c r="AF246" s="27"/>
      <c r="AG246" s="27"/>
      <c r="AH246" s="27"/>
      <c r="AI246" s="27"/>
      <c r="AJ246" s="27"/>
      <c r="AK246" s="27"/>
    </row>
    <row r="247" spans="1:37" ht="19.5" customHeight="1">
      <c r="A247" s="27"/>
      <c r="B247" s="27"/>
      <c r="C247" s="27"/>
      <c r="D247" s="27"/>
      <c r="E247" s="30" t="s">
        <v>7061</v>
      </c>
      <c r="F247" s="13" t="e">
        <f>IF(mgmt_az1_host14_fqdn="Value Missing",mgmt_az1_host14_fqdn,LEFT(mgmt_az1_host14_fqdn,FIND(".",mgmt_az1_host14_fqdn)-1))</f>
        <v>#REF!</v>
      </c>
      <c r="G247" s="27"/>
      <c r="H247" s="30" t="s">
        <v>7061</v>
      </c>
      <c r="I247" s="13" t="e">
        <f>IF(wld_az1_host14_fqdn="Value Missing",wld_az1_host14_fqdn,LEFT(wld_az1_host14_fqdn,FIND(".",wld_az1_host14_fqdn)-1))</f>
        <v>#REF!</v>
      </c>
      <c r="J247" s="27"/>
      <c r="K247" s="30" t="s">
        <v>7056</v>
      </c>
      <c r="L247" s="13" t="e">
        <f>IF(ISBLANK(input_wld_az1_rack2_host11_fqdn),"Value Missing",input_wld_az1_rack2_host11_fqdn)</f>
        <v>#REF!</v>
      </c>
      <c r="M247" s="27"/>
      <c r="N247" s="30" t="s">
        <v>7056</v>
      </c>
      <c r="O247" s="13" t="e">
        <f>IF(ISBLANK(input_wld_az1_rack3_host11_fqdn),"Value Missing",input_wld_az1_rack3_host11_fqdn)</f>
        <v>#REF!</v>
      </c>
      <c r="P247" s="27"/>
      <c r="Q247" s="30" t="s">
        <v>7056</v>
      </c>
      <c r="R247" s="13" t="e">
        <f>IF(ISBLANK(input_wld_az1_rack4_host11_fqdn),"Value Missing",input_wld_az1_rack4_host11_fqdn)</f>
        <v>#REF!</v>
      </c>
      <c r="S247" s="27"/>
      <c r="T247" s="30" t="s">
        <v>7056</v>
      </c>
      <c r="U247" s="13" t="e">
        <f>IF(ISBLANK(input_wld_az1_rack5_host11_fqdn),"Value Missing",input_wld_az1_rack5_host11_fqdn)</f>
        <v>#REF!</v>
      </c>
      <c r="V247" s="27"/>
      <c r="W247" s="30" t="s">
        <v>7056</v>
      </c>
      <c r="X247" s="13" t="e">
        <f>IF(ISBLANK(input_wld_az1_rack6_host11_fqdn),"Value Missing",input_wld_az1_rack6_host11_fqdn)</f>
        <v>#REF!</v>
      </c>
      <c r="Y247" s="27"/>
      <c r="Z247" s="30" t="s">
        <v>7056</v>
      </c>
      <c r="AA247" s="13" t="e">
        <f>IF(ISBLANK(input_wld_az1_rack7_host11_fqdn),"Value Missing",input_wld_az1_rack7_host11_fqdn)</f>
        <v>#REF!</v>
      </c>
      <c r="AB247" s="27"/>
      <c r="AC247" s="30" t="s">
        <v>7056</v>
      </c>
      <c r="AD247" s="13" t="e">
        <f>IF(ISBLANK(input_wld_az1_rack8_host11_fqdn),"Value Missing",input_wld_az1_rack8_host11_fqdn)</f>
        <v>#REF!</v>
      </c>
      <c r="AE247" s="27"/>
      <c r="AF247" s="27"/>
      <c r="AG247" s="27"/>
      <c r="AH247" s="27"/>
      <c r="AI247" s="27"/>
      <c r="AJ247" s="27"/>
      <c r="AK247" s="27"/>
    </row>
    <row r="248" spans="1:37" ht="19.5" customHeight="1">
      <c r="A248" s="27"/>
      <c r="B248" s="27"/>
      <c r="C248" s="27"/>
      <c r="D248" s="27"/>
      <c r="E248" s="30" t="s">
        <v>7064</v>
      </c>
      <c r="F248" s="13" t="e">
        <f>IF(mgmt_az1_host15_fqdn="Value Missing",mgmt_az1_host15_fqdn,LEFT(mgmt_az1_host15_fqdn,FIND(".",mgmt_az1_host15_fqdn)-1))</f>
        <v>#REF!</v>
      </c>
      <c r="G248" s="27"/>
      <c r="H248" s="30" t="s">
        <v>7064</v>
      </c>
      <c r="I248" s="13" t="e">
        <f>IF(wld_az1_host15_fqdn="Value Missing",wld_az1_host15_fqdn,LEFT(wld_az1_host15_fqdn,FIND(".",wld_az1_host15_fqdn)-1))</f>
        <v>#REF!</v>
      </c>
      <c r="J248" s="27"/>
      <c r="K248" s="30" t="s">
        <v>7058</v>
      </c>
      <c r="L248" s="13" t="e">
        <f>IF(ISBLANK(input_wld_az1_rack2_host12_fqdn),"Value Missing",input_wld_az1_rack2_host12_fqdn)</f>
        <v>#REF!</v>
      </c>
      <c r="M248" s="27"/>
      <c r="N248" s="30" t="s">
        <v>7058</v>
      </c>
      <c r="O248" s="13" t="e">
        <f>IF(ISBLANK(input_wld_az1_rack3_host12_fqdn),"Value Missing",input_wld_az1_rack3_host12_fqdn)</f>
        <v>#REF!</v>
      </c>
      <c r="P248" s="27"/>
      <c r="Q248" s="30" t="s">
        <v>7058</v>
      </c>
      <c r="R248" s="13" t="e">
        <f>IF(ISBLANK(input_wld_az1_rack4_host12_fqdn),"Value Missing",input_wld_az1_rack4_host12_fqdn)</f>
        <v>#REF!</v>
      </c>
      <c r="S248" s="27"/>
      <c r="T248" s="30" t="s">
        <v>7058</v>
      </c>
      <c r="U248" s="13" t="e">
        <f>IF(ISBLANK(input_wld_az1_rack5_host12_fqdn),"Value Missing",input_wld_az1_rack5_host12_fqdn)</f>
        <v>#REF!</v>
      </c>
      <c r="V248" s="27"/>
      <c r="W248" s="30" t="s">
        <v>7058</v>
      </c>
      <c r="X248" s="13" t="e">
        <f>IF(ISBLANK(input_wld_az1_rack6_host12_fqdn),"Value Missing",input_wld_az1_rack6_host12_fqdn)</f>
        <v>#REF!</v>
      </c>
      <c r="Y248" s="27"/>
      <c r="Z248" s="30" t="s">
        <v>7058</v>
      </c>
      <c r="AA248" s="13" t="e">
        <f>IF(ISBLANK(input_wld_az1_rack7_host12_fqdn),"Value Missing",input_wld_az1_rack7_host12_fqdn)</f>
        <v>#REF!</v>
      </c>
      <c r="AB248" s="27"/>
      <c r="AC248" s="30" t="s">
        <v>7058</v>
      </c>
      <c r="AD248" s="13" t="e">
        <f>IF(ISBLANK(input_wld_az1_rack8_host12_fqdn),"Value Missing",input_wld_az1_rack8_host12_fqdn)</f>
        <v>#REF!</v>
      </c>
      <c r="AE248" s="27"/>
      <c r="AF248" s="27"/>
      <c r="AG248" s="27"/>
      <c r="AH248" s="27"/>
      <c r="AI248" s="27"/>
      <c r="AJ248" s="27"/>
      <c r="AK248" s="27"/>
    </row>
    <row r="249" spans="1:37" ht="19.5" customHeight="1">
      <c r="A249" s="27"/>
      <c r="B249" s="27"/>
      <c r="C249" s="27"/>
      <c r="D249" s="27"/>
      <c r="E249" s="30" t="s">
        <v>7065</v>
      </c>
      <c r="F249" s="13" t="e">
        <f>IF(mgmt_az1_host16_fqdn="Value Missing",mgmt_az1_host16_fqdn,LEFT(mgmt_az1_host16_fqdn,FIND(".",mgmt_az1_host16_fqdn)-1))</f>
        <v>#REF!</v>
      </c>
      <c r="G249" s="27"/>
      <c r="H249" s="30" t="s">
        <v>7065</v>
      </c>
      <c r="I249" s="13" t="e">
        <f>IF(wld_az1_host16_fqdn="Value Missing",wld_az1_host16_fqdn,LEFT(wld_az1_host16_fqdn,FIND(".",wld_az1_host16_fqdn)-1))</f>
        <v>#REF!</v>
      </c>
      <c r="J249" s="27"/>
      <c r="K249" s="30" t="s">
        <v>7060</v>
      </c>
      <c r="L249" s="13" t="e">
        <f>IF(ISBLANK(input_wld_az1_rack2_host13_fqdn),"Value Missing",input_wld_az1_rack2_host13_fqdn)</f>
        <v>#REF!</v>
      </c>
      <c r="M249" s="27"/>
      <c r="N249" s="30" t="s">
        <v>7060</v>
      </c>
      <c r="O249" s="13" t="e">
        <f>IF(ISBLANK(input_wld_az1_rack3_host13_fqdn),"Value Missing",input_wld_az1_rack3_host13_fqdn)</f>
        <v>#REF!</v>
      </c>
      <c r="P249" s="27"/>
      <c r="Q249" s="30" t="s">
        <v>7060</v>
      </c>
      <c r="R249" s="13" t="e">
        <f>IF(ISBLANK(input_wld_az1_rack4_host13_fqdn),"Value Missing",input_wld_az1_rack4_host13_fqdn)</f>
        <v>#REF!</v>
      </c>
      <c r="S249" s="27"/>
      <c r="T249" s="30" t="s">
        <v>7060</v>
      </c>
      <c r="U249" s="13" t="e">
        <f>IF(ISBLANK(input_wld_az1_rack5_host13_fqdn),"Value Missing",input_wld_az1_rack5_host13_fqdn)</f>
        <v>#REF!</v>
      </c>
      <c r="V249" s="27"/>
      <c r="W249" s="30" t="s">
        <v>7060</v>
      </c>
      <c r="X249" s="13" t="e">
        <f>IF(ISBLANK(input_wld_az1_rack6_host13_fqdn),"Value Missing",input_wld_az1_rack6_host13_fqdn)</f>
        <v>#REF!</v>
      </c>
      <c r="Y249" s="27"/>
      <c r="Z249" s="30" t="s">
        <v>7060</v>
      </c>
      <c r="AA249" s="13" t="e">
        <f>IF(ISBLANK(input_wld_az1_rack7_host13_fqdn),"Value Missing",input_wld_az1_rack7_host13_fqdn)</f>
        <v>#REF!</v>
      </c>
      <c r="AB249" s="27"/>
      <c r="AC249" s="30" t="s">
        <v>7060</v>
      </c>
      <c r="AD249" s="13" t="e">
        <f>IF(ISBLANK(input_wld_az1_rack8_host13_fqdn),"Value Missing",input_wld_az1_rack8_host13_fqdn)</f>
        <v>#REF!</v>
      </c>
      <c r="AE249" s="27"/>
      <c r="AF249" s="27"/>
      <c r="AG249" s="27"/>
      <c r="AH249" s="27"/>
      <c r="AI249" s="27"/>
      <c r="AJ249" s="27"/>
      <c r="AK249" s="27"/>
    </row>
    <row r="250" spans="1:37" ht="19.5" customHeight="1">
      <c r="A250" s="27"/>
      <c r="B250" s="27"/>
      <c r="C250" s="27"/>
      <c r="D250" s="27"/>
      <c r="E250" s="7"/>
      <c r="F250" s="7"/>
      <c r="G250" s="27"/>
      <c r="H250" s="7"/>
      <c r="I250" s="7"/>
      <c r="J250" s="27"/>
      <c r="K250" s="30" t="s">
        <v>7061</v>
      </c>
      <c r="L250" s="13" t="e">
        <f>IF(ISBLANK(input_wld_az1_rack2_host14_fqdn),"Value Missing",input_wld_az1_rack2_host14_fqdn)</f>
        <v>#REF!</v>
      </c>
      <c r="M250" s="27"/>
      <c r="N250" s="30" t="s">
        <v>7061</v>
      </c>
      <c r="O250" s="13" t="e">
        <f>IF(ISBLANK(input_wld_az1_rack3_host14_fqdn),"Value Missing",input_wld_az1_rack3_host14_fqdn)</f>
        <v>#REF!</v>
      </c>
      <c r="P250" s="27"/>
      <c r="Q250" s="30" t="s">
        <v>7061</v>
      </c>
      <c r="R250" s="13" t="e">
        <f>IF(ISBLANK(input_wld_az1_rack4_host14_fqdn),"Value Missing",input_wld_az1_rack4_host14_fqdn)</f>
        <v>#REF!</v>
      </c>
      <c r="S250" s="27"/>
      <c r="T250" s="30" t="s">
        <v>7061</v>
      </c>
      <c r="U250" s="13" t="e">
        <f>IF(ISBLANK(input_wld_az1_rack5_host14_fqdn),"Value Missing",input_wld_az1_rack5_host14_fqdn)</f>
        <v>#REF!</v>
      </c>
      <c r="V250" s="27"/>
      <c r="W250" s="30" t="s">
        <v>7061</v>
      </c>
      <c r="X250" s="13" t="e">
        <f>IF(ISBLANK(input_wld_az1_rack6_host14_fqdn),"Value Missing",input_wld_az1_rack6_host14_fqdn)</f>
        <v>#REF!</v>
      </c>
      <c r="Y250" s="27"/>
      <c r="Z250" s="30" t="s">
        <v>7061</v>
      </c>
      <c r="AA250" s="13" t="e">
        <f>IF(ISBLANK(input_wld_az1_rack7_host14_fqdn),"Value Missing",input_wld_az1_rack7_host14_fqdn)</f>
        <v>#REF!</v>
      </c>
      <c r="AB250" s="27"/>
      <c r="AC250" s="30" t="s">
        <v>7061</v>
      </c>
      <c r="AD250" s="13" t="e">
        <f>IF(ISBLANK(input_wld_az1_rack8_host14_fqdn),"Value Missing",input_wld_az1_rack8_host14_fqdn)</f>
        <v>#REF!</v>
      </c>
      <c r="AE250" s="27"/>
      <c r="AF250" s="27"/>
      <c r="AG250" s="27"/>
      <c r="AH250" s="27"/>
      <c r="AI250" s="27"/>
      <c r="AJ250" s="27"/>
      <c r="AK250" s="27"/>
    </row>
    <row r="251" spans="1:37" ht="19.5" customHeight="1">
      <c r="A251" s="27"/>
      <c r="B251" s="27"/>
      <c r="C251" s="27"/>
      <c r="D251" s="27"/>
      <c r="E251" s="49" t="s">
        <v>7073</v>
      </c>
      <c r="F251" s="111"/>
      <c r="G251" s="27"/>
      <c r="H251" s="49" t="s">
        <v>7074</v>
      </c>
      <c r="I251" s="111"/>
      <c r="J251" s="27"/>
      <c r="K251" s="30" t="s">
        <v>7064</v>
      </c>
      <c r="L251" s="13" t="e">
        <f>IF(ISBLANK(input_wld_az1_rack2_host15_fqdn),"Value Missing",input_wld_az1_rack2_host15_fqdn)</f>
        <v>#REF!</v>
      </c>
      <c r="M251" s="27"/>
      <c r="N251" s="30" t="s">
        <v>7064</v>
      </c>
      <c r="O251" s="13" t="e">
        <f>IF(ISBLANK(input_wld_az1_rack3_host15_fqdn),"Value Missing",input_wld_az1_rack3_host15_fqdn)</f>
        <v>#REF!</v>
      </c>
      <c r="P251" s="27"/>
      <c r="Q251" s="30" t="s">
        <v>7064</v>
      </c>
      <c r="R251" s="13" t="e">
        <f>IF(ISBLANK(input_wld_az1_rack4_host15_fqdn),"Value Missing",input_wld_az1_rack4_host15_fqdn)</f>
        <v>#REF!</v>
      </c>
      <c r="S251" s="27"/>
      <c r="T251" s="30" t="s">
        <v>7064</v>
      </c>
      <c r="U251" s="13" t="e">
        <f>IF(ISBLANK(input_wld_az1_rack5_host15_fqdn),"Value Missing",input_wld_az1_rack5_host15_fqdn)</f>
        <v>#REF!</v>
      </c>
      <c r="V251" s="27"/>
      <c r="W251" s="30" t="s">
        <v>7064</v>
      </c>
      <c r="X251" s="13" t="e">
        <f>IF(ISBLANK(input_wld_az1_rack6_host15_fqdn),"Value Missing",input_wld_az1_rack6_host15_fqdn)</f>
        <v>#REF!</v>
      </c>
      <c r="Y251" s="27"/>
      <c r="Z251" s="30" t="s">
        <v>7064</v>
      </c>
      <c r="AA251" s="13" t="e">
        <f>IF(ISBLANK(input_wld_az1_rack7_host15_fqdn),"Value Missing",input_wld_az1_rack7_host15_fqdn)</f>
        <v>#REF!</v>
      </c>
      <c r="AB251" s="27"/>
      <c r="AC251" s="30" t="s">
        <v>7064</v>
      </c>
      <c r="AD251" s="13" t="e">
        <f>IF(ISBLANK(input_wld_az1_rack8_host15_fqdn),"Value Missing",input_wld_az1_rack8_host15_fqdn)</f>
        <v>#REF!</v>
      </c>
      <c r="AE251" s="27"/>
      <c r="AF251" s="27"/>
      <c r="AG251" s="27"/>
      <c r="AH251" s="27"/>
      <c r="AI251" s="27"/>
      <c r="AJ251" s="27"/>
      <c r="AK251" s="27"/>
    </row>
    <row r="252" spans="1:37" ht="19.5" customHeight="1">
      <c r="A252" s="27"/>
      <c r="B252" s="27"/>
      <c r="C252" s="27"/>
      <c r="D252" s="27"/>
      <c r="E252" s="52" t="s">
        <v>6780</v>
      </c>
      <c r="F252" s="52" t="s">
        <v>6781</v>
      </c>
      <c r="G252" s="27"/>
      <c r="H252" s="52" t="s">
        <v>6780</v>
      </c>
      <c r="I252" s="52" t="s">
        <v>6943</v>
      </c>
      <c r="J252" s="27"/>
      <c r="K252" s="30" t="s">
        <v>7065</v>
      </c>
      <c r="L252" s="13" t="e">
        <f>IF(ISBLANK(input_wld_az1_rack2_host16_fqdn),"Value Missing",input_wld_az1_rack2_host16_fqdn)</f>
        <v>#REF!</v>
      </c>
      <c r="M252" s="27"/>
      <c r="N252" s="30" t="s">
        <v>7065</v>
      </c>
      <c r="O252" s="13" t="e">
        <f>IF(ISBLANK(input_wld_az1_rack3_host16_fqdn),"Value Missing",input_wld_az1_rack3_host16_fqdn)</f>
        <v>#REF!</v>
      </c>
      <c r="P252" s="27"/>
      <c r="Q252" s="30" t="s">
        <v>7065</v>
      </c>
      <c r="R252" s="13" t="e">
        <f>IF(ISBLANK(input_wld_az1_rack4_host16_fqdn),"Value Missing",input_wld_az1_rack4_host16_fqdn)</f>
        <v>#REF!</v>
      </c>
      <c r="S252" s="27"/>
      <c r="T252" s="30" t="s">
        <v>7065</v>
      </c>
      <c r="U252" s="13" t="e">
        <f>IF(ISBLANK(input_wld_az1_rack5_host16_fqdn),"Value Missing",input_wld_az1_rack5_host16_fqdn)</f>
        <v>#REF!</v>
      </c>
      <c r="V252" s="27"/>
      <c r="W252" s="30" t="s">
        <v>7065</v>
      </c>
      <c r="X252" s="13" t="e">
        <f>IF(ISBLANK(input_wld_az1_rack6_host16_fqdn),"Value Missing",input_wld_az1_rack6_host16_fqdn)</f>
        <v>#REF!</v>
      </c>
      <c r="Y252" s="27"/>
      <c r="Z252" s="30" t="s">
        <v>7065</v>
      </c>
      <c r="AA252" s="13" t="e">
        <f>IF(ISBLANK(input_wld_az1_rack7_host16_fqdn),"Value Missing",input_wld_az1_rack7_host16_fqdn)</f>
        <v>#REF!</v>
      </c>
      <c r="AB252" s="27"/>
      <c r="AC252" s="30" t="s">
        <v>7065</v>
      </c>
      <c r="AD252" s="13" t="e">
        <f>IF(ISBLANK(input_wld_az1_rack8_host16_fqdn),"Value Missing",input_wld_az1_rack8_host16_fqdn)</f>
        <v>#REF!</v>
      </c>
      <c r="AE252" s="27"/>
      <c r="AF252" s="27"/>
      <c r="AG252" s="27"/>
      <c r="AH252" s="27"/>
      <c r="AI252" s="27"/>
      <c r="AJ252" s="27"/>
      <c r="AK252" s="27"/>
    </row>
    <row r="253" spans="1:37" ht="19.5" customHeight="1">
      <c r="A253" s="27"/>
      <c r="B253" s="27"/>
      <c r="C253" s="27"/>
      <c r="D253" s="27"/>
      <c r="E253" s="30" t="s">
        <v>7036</v>
      </c>
      <c r="F253" s="13" t="e">
        <f>IF(ISBLANK(input_mgmt_az1_host1_fqdn),"Value Missing",input_mgmt_az1_host1_fqdn)</f>
        <v>#REF!</v>
      </c>
      <c r="G253" s="27"/>
      <c r="H253" s="30" t="s">
        <v>7036</v>
      </c>
      <c r="I253" s="13" t="e">
        <f>IF(ISBLANK(input_wld_az1_host1_fqdn),"Value Missing",input_wld_az1_host1_fqdn)</f>
        <v>#REF!</v>
      </c>
      <c r="J253" s="27"/>
      <c r="K253" s="7"/>
      <c r="L253" s="7"/>
      <c r="M253" s="27"/>
      <c r="N253" s="7"/>
      <c r="O253" s="7"/>
      <c r="P253" s="27"/>
      <c r="Q253" s="7"/>
      <c r="R253" s="7"/>
      <c r="S253" s="27"/>
      <c r="T253" s="7"/>
      <c r="U253" s="7"/>
      <c r="V253" s="27"/>
      <c r="W253" s="7"/>
      <c r="X253" s="7"/>
      <c r="Y253" s="27"/>
      <c r="Z253" s="7"/>
      <c r="AA253" s="7"/>
      <c r="AB253" s="27"/>
      <c r="AC253" s="7"/>
      <c r="AD253" s="7"/>
      <c r="AE253" s="27"/>
      <c r="AF253" s="27"/>
      <c r="AG253" s="27"/>
      <c r="AH253" s="27"/>
      <c r="AI253" s="27"/>
      <c r="AJ253" s="27"/>
      <c r="AK253" s="27"/>
    </row>
    <row r="254" spans="1:37" ht="19.5" customHeight="1">
      <c r="A254" s="27"/>
      <c r="B254" s="27"/>
      <c r="C254" s="27"/>
      <c r="D254" s="27"/>
      <c r="E254" s="30" t="s">
        <v>7038</v>
      </c>
      <c r="F254" s="13" t="e">
        <f>IF(ISBLANK(input_mgmt_az1_host2_fqdn),"Value Missing",input_mgmt_az1_host2_fqdn)</f>
        <v>#REF!</v>
      </c>
      <c r="G254" s="27"/>
      <c r="H254" s="30" t="s">
        <v>7038</v>
      </c>
      <c r="I254" s="13" t="e">
        <f>IF(ISBLANK(input_wld_az1_host2_fqdn),"Value Missing",input_wld_az1_host2_fqdn)</f>
        <v>#REF!</v>
      </c>
      <c r="J254" s="27"/>
      <c r="K254" s="49" t="s">
        <v>7075</v>
      </c>
      <c r="L254" s="111"/>
      <c r="M254" s="27"/>
      <c r="N254" s="49" t="s">
        <v>7076</v>
      </c>
      <c r="O254" s="111"/>
      <c r="P254" s="27"/>
      <c r="Q254" s="49" t="s">
        <v>7077</v>
      </c>
      <c r="R254" s="111"/>
      <c r="S254" s="27"/>
      <c r="T254" s="49" t="s">
        <v>7078</v>
      </c>
      <c r="U254" s="111"/>
      <c r="V254" s="27"/>
      <c r="W254" s="49" t="s">
        <v>7079</v>
      </c>
      <c r="X254" s="111"/>
      <c r="Y254" s="27"/>
      <c r="Z254" s="49" t="s">
        <v>7080</v>
      </c>
      <c r="AA254" s="111"/>
      <c r="AB254" s="27"/>
      <c r="AC254" s="49" t="s">
        <v>7081</v>
      </c>
      <c r="AD254" s="111"/>
      <c r="AE254" s="27"/>
      <c r="AF254" s="27"/>
      <c r="AG254" s="27"/>
      <c r="AH254" s="27"/>
      <c r="AI254" s="27"/>
      <c r="AJ254" s="27"/>
      <c r="AK254" s="27"/>
    </row>
    <row r="255" spans="1:37" ht="19.5" customHeight="1">
      <c r="A255" s="27"/>
      <c r="B255" s="27"/>
      <c r="C255" s="27"/>
      <c r="D255" s="27"/>
      <c r="E255" s="30" t="s">
        <v>7040</v>
      </c>
      <c r="F255" s="13" t="e">
        <f>IF(ISBLANK(input_mgmt_az1_host3_fqdn),"Value Missing",input_mgmt_az1_host3_fqdn)</f>
        <v>#REF!</v>
      </c>
      <c r="G255" s="27"/>
      <c r="H255" s="30" t="s">
        <v>7040</v>
      </c>
      <c r="I255" s="13" t="e">
        <f>IF(ISBLANK(input_wld_az1_host3_fqdn),"Value Missing",input_wld_az1_host3_fqdn)</f>
        <v>#REF!</v>
      </c>
      <c r="J255" s="27"/>
      <c r="K255" s="30" t="s">
        <v>7082</v>
      </c>
      <c r="L255" s="13"/>
      <c r="M255" s="27"/>
      <c r="N255" s="30" t="s">
        <v>7082</v>
      </c>
      <c r="O255" s="13"/>
      <c r="P255" s="27"/>
      <c r="Q255" s="30" t="s">
        <v>7082</v>
      </c>
      <c r="R255" s="13"/>
      <c r="S255" s="27"/>
      <c r="T255" s="30" t="s">
        <v>7082</v>
      </c>
      <c r="U255" s="13"/>
      <c r="V255" s="27"/>
      <c r="W255" s="30" t="s">
        <v>7082</v>
      </c>
      <c r="X255" s="13"/>
      <c r="Y255" s="27"/>
      <c r="Z255" s="30" t="s">
        <v>7082</v>
      </c>
      <c r="AA255" s="13"/>
      <c r="AB255" s="27"/>
      <c r="AC255" s="30" t="s">
        <v>7082</v>
      </c>
      <c r="AD255" s="13"/>
      <c r="AE255" s="27"/>
      <c r="AF255" s="27"/>
      <c r="AG255" s="27"/>
      <c r="AH255" s="27"/>
      <c r="AI255" s="27"/>
      <c r="AJ255" s="27"/>
      <c r="AK255" s="27"/>
    </row>
    <row r="256" spans="1:37" ht="19.5" customHeight="1">
      <c r="A256" s="27"/>
      <c r="B256" s="27"/>
      <c r="C256" s="27"/>
      <c r="D256" s="27"/>
      <c r="E256" s="30" t="s">
        <v>7042</v>
      </c>
      <c r="F256" s="13" t="e">
        <f>IF(ISBLANK(input_mgmt_az1_host4_fqdn),"Value Missing",input_mgmt_az1_host4_fqdn)</f>
        <v>#REF!</v>
      </c>
      <c r="G256" s="87"/>
      <c r="H256" s="30" t="s">
        <v>7042</v>
      </c>
      <c r="I256" s="13" t="e">
        <f>IF(ISBLANK(input_wld_az1_host4_fqdn),"Value Missing",input_wld_az1_host4_fqdn)</f>
        <v>#REF!</v>
      </c>
      <c r="J256" s="87"/>
      <c r="K256" s="30" t="s">
        <v>7083</v>
      </c>
      <c r="L256" s="13"/>
      <c r="M256" s="27"/>
      <c r="N256" s="30" t="s">
        <v>7083</v>
      </c>
      <c r="O256" s="13"/>
      <c r="P256" s="27"/>
      <c r="Q256" s="30" t="s">
        <v>7083</v>
      </c>
      <c r="R256" s="13"/>
      <c r="S256" s="27"/>
      <c r="T256" s="30" t="s">
        <v>7083</v>
      </c>
      <c r="U256" s="13"/>
      <c r="V256" s="27"/>
      <c r="W256" s="30" t="s">
        <v>7083</v>
      </c>
      <c r="X256" s="13"/>
      <c r="Y256" s="27"/>
      <c r="Z256" s="30" t="s">
        <v>7083</v>
      </c>
      <c r="AA256" s="13"/>
      <c r="AB256" s="27"/>
      <c r="AC256" s="30" t="s">
        <v>7083</v>
      </c>
      <c r="AD256" s="13"/>
      <c r="AE256" s="27"/>
      <c r="AF256" s="27"/>
      <c r="AG256" s="27"/>
      <c r="AH256" s="27"/>
      <c r="AI256" s="27"/>
      <c r="AJ256" s="27"/>
      <c r="AK256" s="27"/>
    </row>
    <row r="257" spans="1:37" ht="19.5" customHeight="1">
      <c r="A257" s="27"/>
      <c r="B257" s="27"/>
      <c r="C257" s="27"/>
      <c r="D257" s="27"/>
      <c r="E257" s="30" t="s">
        <v>7044</v>
      </c>
      <c r="F257" s="13" t="e">
        <f>IF(ISBLANK(input_mgmt_az1_host5_fqdn),"Value Missing",input_mgmt_az1_host5_fqdn)</f>
        <v>#REF!</v>
      </c>
      <c r="G257" s="27"/>
      <c r="H257" s="30" t="s">
        <v>7044</v>
      </c>
      <c r="I257" s="13" t="e">
        <f>IF(ISBLANK(input_wld_az1_host5_fqdn),"Value Missing",input_wld_az1_host5_fqdn)</f>
        <v>#REF!</v>
      </c>
      <c r="J257" s="27"/>
      <c r="K257" s="30" t="s">
        <v>7084</v>
      </c>
      <c r="L257" s="13"/>
      <c r="M257" s="27"/>
      <c r="N257" s="30" t="s">
        <v>7084</v>
      </c>
      <c r="O257" s="13"/>
      <c r="P257" s="27"/>
      <c r="Q257" s="30" t="s">
        <v>7084</v>
      </c>
      <c r="R257" s="13"/>
      <c r="S257" s="27"/>
      <c r="T257" s="30" t="s">
        <v>7084</v>
      </c>
      <c r="U257" s="13"/>
      <c r="V257" s="27"/>
      <c r="W257" s="30" t="s">
        <v>7084</v>
      </c>
      <c r="X257" s="13"/>
      <c r="Y257" s="27"/>
      <c r="Z257" s="30" t="s">
        <v>7084</v>
      </c>
      <c r="AA257" s="13"/>
      <c r="AB257" s="27"/>
      <c r="AC257" s="30" t="s">
        <v>7084</v>
      </c>
      <c r="AD257" s="13"/>
      <c r="AE257" s="27"/>
      <c r="AF257" s="27"/>
      <c r="AG257" s="27"/>
      <c r="AH257" s="27"/>
      <c r="AI257" s="27"/>
      <c r="AJ257" s="27"/>
      <c r="AK257" s="27"/>
    </row>
    <row r="258" spans="1:37" ht="19.5" customHeight="1">
      <c r="A258" s="27"/>
      <c r="B258" s="27"/>
      <c r="C258" s="27"/>
      <c r="D258" s="27"/>
      <c r="E258" s="30" t="s">
        <v>7046</v>
      </c>
      <c r="F258" s="13" t="e">
        <f>IF(ISBLANK(input_mgmt_az1_host6_fqdn),"Value Missing",input_mgmt_az1_host6_fqdn)</f>
        <v>#REF!</v>
      </c>
      <c r="G258" s="27"/>
      <c r="H258" s="30" t="s">
        <v>7046</v>
      </c>
      <c r="I258" s="13" t="e">
        <f>IF(ISBLANK(input_wld_az1_host6_fqdn),"Value Missing",input_wld_az1_host6_fqdn)</f>
        <v>#REF!</v>
      </c>
      <c r="J258" s="27"/>
      <c r="K258" s="30" t="s">
        <v>7085</v>
      </c>
      <c r="L258" s="13"/>
      <c r="M258" s="27"/>
      <c r="N258" s="30" t="s">
        <v>7085</v>
      </c>
      <c r="O258" s="13"/>
      <c r="P258" s="27"/>
      <c r="Q258" s="30" t="s">
        <v>7085</v>
      </c>
      <c r="R258" s="13"/>
      <c r="S258" s="27"/>
      <c r="T258" s="30" t="s">
        <v>7085</v>
      </c>
      <c r="U258" s="13"/>
      <c r="V258" s="27"/>
      <c r="W258" s="30" t="s">
        <v>7085</v>
      </c>
      <c r="X258" s="13"/>
      <c r="Y258" s="27"/>
      <c r="Z258" s="30" t="s">
        <v>7085</v>
      </c>
      <c r="AA258" s="13"/>
      <c r="AB258" s="27"/>
      <c r="AC258" s="30" t="s">
        <v>7085</v>
      </c>
      <c r="AD258" s="13"/>
      <c r="AE258" s="27"/>
      <c r="AF258" s="27"/>
      <c r="AG258" s="27"/>
      <c r="AH258" s="27"/>
      <c r="AI258" s="27"/>
      <c r="AJ258" s="27"/>
      <c r="AK258" s="27"/>
    </row>
    <row r="259" spans="1:37" ht="19.5" customHeight="1">
      <c r="A259" s="27"/>
      <c r="B259" s="27"/>
      <c r="C259" s="27"/>
      <c r="D259" s="27"/>
      <c r="E259" s="30" t="s">
        <v>7048</v>
      </c>
      <c r="F259" s="13" t="e">
        <f>IF(ISBLANK(input_mgmt_az1_host7_fqdn),"Value Missing",input_mgmt_az1_host7_fqdn)</f>
        <v>#REF!</v>
      </c>
      <c r="G259" s="27"/>
      <c r="H259" s="30" t="s">
        <v>7048</v>
      </c>
      <c r="I259" s="13" t="e">
        <f>IF(ISBLANK(input_wld_az1_host7_fqdn),"Value Missing",input_wld_az1_host7_fqdn)</f>
        <v>#REF!</v>
      </c>
      <c r="J259" s="27"/>
      <c r="K259" s="30" t="s">
        <v>7086</v>
      </c>
      <c r="L259" s="13"/>
      <c r="M259" s="87"/>
      <c r="N259" s="30" t="s">
        <v>7086</v>
      </c>
      <c r="O259" s="13"/>
      <c r="P259" s="27"/>
      <c r="Q259" s="30" t="s">
        <v>7086</v>
      </c>
      <c r="R259" s="13"/>
      <c r="S259" s="27"/>
      <c r="T259" s="30" t="s">
        <v>7086</v>
      </c>
      <c r="U259" s="13"/>
      <c r="V259" s="27"/>
      <c r="W259" s="30" t="s">
        <v>7086</v>
      </c>
      <c r="X259" s="13"/>
      <c r="Y259" s="27"/>
      <c r="Z259" s="30" t="s">
        <v>7086</v>
      </c>
      <c r="AA259" s="13"/>
      <c r="AB259" s="27"/>
      <c r="AC259" s="30" t="s">
        <v>7086</v>
      </c>
      <c r="AD259" s="13"/>
      <c r="AE259" s="27"/>
      <c r="AF259" s="27"/>
      <c r="AG259" s="27"/>
      <c r="AH259" s="27"/>
      <c r="AI259" s="27"/>
      <c r="AJ259" s="27"/>
      <c r="AK259" s="27"/>
    </row>
    <row r="260" spans="1:37" ht="19.5" customHeight="1">
      <c r="A260" s="27"/>
      <c r="B260" s="27"/>
      <c r="C260" s="27"/>
      <c r="D260" s="27"/>
      <c r="E260" s="30" t="s">
        <v>7050</v>
      </c>
      <c r="F260" s="13" t="e">
        <f>IF(ISBLANK(input_mgmt_az1_host8_fqdn),"Value Missing",input_mgmt_az1_host8_fqdn)</f>
        <v>#REF!</v>
      </c>
      <c r="G260" s="27"/>
      <c r="H260" s="30" t="s">
        <v>7050</v>
      </c>
      <c r="I260" s="13" t="e">
        <f>IF(ISBLANK(input_wld_az1_host8_fqdn),"Value Missing",input_wld_az1_host8_fqdn)</f>
        <v>#REF!</v>
      </c>
      <c r="J260" s="27"/>
      <c r="K260" s="30" t="s">
        <v>7087</v>
      </c>
      <c r="L260" s="13"/>
      <c r="M260" s="27"/>
      <c r="N260" s="30" t="s">
        <v>7087</v>
      </c>
      <c r="O260" s="13"/>
      <c r="P260" s="27"/>
      <c r="Q260" s="30" t="s">
        <v>7087</v>
      </c>
      <c r="R260" s="13"/>
      <c r="S260" s="27"/>
      <c r="T260" s="30" t="s">
        <v>7087</v>
      </c>
      <c r="U260" s="13"/>
      <c r="V260" s="27"/>
      <c r="W260" s="30" t="s">
        <v>7087</v>
      </c>
      <c r="X260" s="13"/>
      <c r="Y260" s="27"/>
      <c r="Z260" s="30" t="s">
        <v>7087</v>
      </c>
      <c r="AA260" s="13"/>
      <c r="AB260" s="27"/>
      <c r="AC260" s="30" t="s">
        <v>7087</v>
      </c>
      <c r="AD260" s="13"/>
      <c r="AE260" s="27"/>
      <c r="AF260" s="27"/>
      <c r="AG260" s="27"/>
      <c r="AH260" s="27"/>
      <c r="AI260" s="27"/>
      <c r="AJ260" s="27"/>
      <c r="AK260" s="27"/>
    </row>
    <row r="261" spans="1:37" ht="19.5" customHeight="1">
      <c r="A261" s="27"/>
      <c r="B261" s="27"/>
      <c r="C261" s="27"/>
      <c r="D261" s="27"/>
      <c r="E261" s="30" t="s">
        <v>7052</v>
      </c>
      <c r="F261" s="13" t="e">
        <f>IF(ISBLANK(input_mgmt_az1_host9_fqdn),"Value Missing",input_mgmt_az1_host9_fqdn)</f>
        <v>#REF!</v>
      </c>
      <c r="G261" s="27"/>
      <c r="H261" s="30" t="s">
        <v>7052</v>
      </c>
      <c r="I261" s="13" t="e">
        <f>IF(ISBLANK(input_wld_az1_host9_fqdn),"Value Missing",input_wld_az1_host9_fqdn)</f>
        <v>#REF!</v>
      </c>
      <c r="J261" s="27"/>
      <c r="K261" s="30" t="s">
        <v>7088</v>
      </c>
      <c r="L261" s="13"/>
      <c r="M261" s="27"/>
      <c r="N261" s="30" t="s">
        <v>7088</v>
      </c>
      <c r="O261" s="13"/>
      <c r="P261" s="27"/>
      <c r="Q261" s="30" t="s">
        <v>7088</v>
      </c>
      <c r="R261" s="13"/>
      <c r="S261" s="27"/>
      <c r="T261" s="30" t="s">
        <v>7088</v>
      </c>
      <c r="U261" s="13"/>
      <c r="V261" s="27"/>
      <c r="W261" s="30" t="s">
        <v>7088</v>
      </c>
      <c r="X261" s="13"/>
      <c r="Y261" s="27"/>
      <c r="Z261" s="30" t="s">
        <v>7088</v>
      </c>
      <c r="AA261" s="13"/>
      <c r="AB261" s="27"/>
      <c r="AC261" s="30" t="s">
        <v>7088</v>
      </c>
      <c r="AD261" s="13"/>
      <c r="AE261" s="27"/>
      <c r="AF261" s="27"/>
      <c r="AG261" s="27"/>
      <c r="AH261" s="27"/>
      <c r="AI261" s="27"/>
      <c r="AJ261" s="27"/>
      <c r="AK261" s="27"/>
    </row>
    <row r="262" spans="1:37" ht="19.5" customHeight="1">
      <c r="A262" s="27"/>
      <c r="B262" s="27"/>
      <c r="C262" s="27"/>
      <c r="D262" s="27"/>
      <c r="E262" s="30" t="s">
        <v>7054</v>
      </c>
      <c r="F262" s="13" t="e">
        <f>IF(ISBLANK(input_mgmt_az1_host10_fqdn),"Value Missing",input_mgmt_az1_host10_fqdn)</f>
        <v>#REF!</v>
      </c>
      <c r="G262" s="27"/>
      <c r="H262" s="30" t="s">
        <v>7054</v>
      </c>
      <c r="I262" s="13" t="e">
        <f>IF(ISBLANK(input_wld_az1_host10_fqdn),"Value Missing",input_wld_az1_host10_fqdn)</f>
        <v>#REF!</v>
      </c>
      <c r="J262" s="27"/>
      <c r="K262" s="60"/>
      <c r="L262" s="60"/>
      <c r="M262" s="27"/>
      <c r="N262" s="60"/>
      <c r="O262" s="60"/>
      <c r="P262" s="27"/>
      <c r="Q262" s="60"/>
      <c r="R262" s="60"/>
      <c r="S262" s="27"/>
      <c r="T262" s="60"/>
      <c r="U262" s="60"/>
      <c r="V262" s="27"/>
      <c r="W262" s="60"/>
      <c r="X262" s="60"/>
      <c r="Y262" s="27"/>
      <c r="Z262" s="60"/>
      <c r="AA262" s="60"/>
      <c r="AB262" s="27"/>
      <c r="AC262" s="60"/>
      <c r="AD262" s="60"/>
      <c r="AE262" s="27"/>
      <c r="AF262" s="27"/>
      <c r="AG262" s="27"/>
      <c r="AH262" s="27"/>
      <c r="AI262" s="27"/>
      <c r="AJ262" s="27"/>
      <c r="AK262" s="27"/>
    </row>
    <row r="263" spans="1:37" ht="19.5" customHeight="1">
      <c r="A263" s="27"/>
      <c r="B263" s="27"/>
      <c r="C263" s="27"/>
      <c r="D263" s="27"/>
      <c r="E263" s="30" t="s">
        <v>7056</v>
      </c>
      <c r="F263" s="13" t="e">
        <f>IF(ISBLANK(input_mgmt_az1_host11_fqdn),"Value Missing",input_mgmt_az1_host11_fqdn)</f>
        <v>#REF!</v>
      </c>
      <c r="G263" s="27"/>
      <c r="H263" s="30" t="s">
        <v>7056</v>
      </c>
      <c r="I263" s="13" t="e">
        <f>IF(ISBLANK(input_wld_az1_host11_fqdn),"Value Missing",input_wld_az1_host11_fqdn)</f>
        <v>#REF!</v>
      </c>
      <c r="J263" s="27"/>
      <c r="K263" s="60"/>
      <c r="L263" s="60"/>
      <c r="M263" s="27"/>
      <c r="N263" s="60"/>
      <c r="O263" s="60"/>
      <c r="P263" s="27"/>
      <c r="Q263" s="60"/>
      <c r="R263" s="60"/>
      <c r="S263" s="27"/>
      <c r="T263" s="60"/>
      <c r="U263" s="60"/>
      <c r="V263" s="27"/>
      <c r="W263" s="60"/>
      <c r="X263" s="60"/>
      <c r="Y263" s="27"/>
      <c r="Z263" s="60"/>
      <c r="AA263" s="60"/>
      <c r="AB263" s="27"/>
      <c r="AC263" s="121"/>
      <c r="AD263" s="121"/>
      <c r="AE263" s="27"/>
      <c r="AF263" s="27"/>
      <c r="AG263" s="27"/>
      <c r="AH263" s="27"/>
      <c r="AI263" s="27"/>
      <c r="AJ263" s="27"/>
      <c r="AK263" s="27"/>
    </row>
    <row r="264" spans="1:37" ht="19.5" customHeight="1">
      <c r="A264" s="27"/>
      <c r="B264" s="27"/>
      <c r="C264" s="27"/>
      <c r="D264" s="27"/>
      <c r="E264" s="30" t="s">
        <v>7058</v>
      </c>
      <c r="F264" s="13" t="e">
        <f>IF(ISBLANK(input_mgmt_az1_host12_fqdn),"Value Missing",input_mgmt_az1_host12_fqdn)</f>
        <v>#REF!</v>
      </c>
      <c r="G264" s="27"/>
      <c r="H264" s="30" t="s">
        <v>7058</v>
      </c>
      <c r="I264" s="13" t="e">
        <f>IF(ISBLANK(input_wld_az1_host12_fqdn),"Value Missing",input_wld_az1_host12_fqdn)</f>
        <v>#REF!</v>
      </c>
      <c r="J264" s="27"/>
      <c r="K264" s="49" t="s">
        <v>7075</v>
      </c>
      <c r="L264" s="111"/>
      <c r="M264" s="27"/>
      <c r="N264" s="49" t="s">
        <v>7076</v>
      </c>
      <c r="O264" s="111"/>
      <c r="P264" s="87"/>
      <c r="Q264" s="49" t="s">
        <v>7077</v>
      </c>
      <c r="R264" s="111"/>
      <c r="S264" s="87"/>
      <c r="T264" s="49" t="s">
        <v>7078</v>
      </c>
      <c r="U264" s="111"/>
      <c r="V264" s="87"/>
      <c r="W264" s="49" t="s">
        <v>7079</v>
      </c>
      <c r="X264" s="111"/>
      <c r="Y264" s="87"/>
      <c r="Z264" s="49" t="s">
        <v>7080</v>
      </c>
      <c r="AA264" s="111"/>
      <c r="AB264" s="87"/>
      <c r="AC264" s="49" t="s">
        <v>7081</v>
      </c>
      <c r="AD264" s="111"/>
      <c r="AE264" s="27"/>
      <c r="AF264" s="27"/>
      <c r="AG264" s="27"/>
      <c r="AH264" s="27"/>
      <c r="AI264" s="27"/>
      <c r="AJ264" s="27"/>
      <c r="AK264" s="27"/>
    </row>
    <row r="265" spans="1:37" ht="19.5" customHeight="1">
      <c r="A265" s="27"/>
      <c r="B265" s="27"/>
      <c r="C265" s="27"/>
      <c r="D265" s="27"/>
      <c r="E265" s="30" t="s">
        <v>7060</v>
      </c>
      <c r="F265" s="13" t="e">
        <f>IF(ISBLANK(input_mgmt_az1_host13_fqdn),"Value Missing",input_mgmt_az1_host13_fqdn)</f>
        <v>#REF!</v>
      </c>
      <c r="G265" s="27"/>
      <c r="H265" s="30" t="s">
        <v>7060</v>
      </c>
      <c r="I265" s="13" t="e">
        <f>IF(ISBLANK(input_wld_az1_host13_fqdn),"Value Missing",input_wld_az1_host13_fqdn)</f>
        <v>#REF!</v>
      </c>
      <c r="J265" s="60"/>
      <c r="K265" s="30" t="s">
        <v>7082</v>
      </c>
      <c r="L265" s="13"/>
      <c r="M265" s="27"/>
      <c r="N265" s="30" t="s">
        <v>7082</v>
      </c>
      <c r="O265" s="13"/>
      <c r="P265" s="27"/>
      <c r="Q265" s="30" t="s">
        <v>7082</v>
      </c>
      <c r="R265" s="13"/>
      <c r="S265" s="27"/>
      <c r="T265" s="30" t="s">
        <v>7082</v>
      </c>
      <c r="U265" s="13"/>
      <c r="V265" s="27"/>
      <c r="W265" s="30" t="s">
        <v>7082</v>
      </c>
      <c r="X265" s="13"/>
      <c r="Y265" s="27"/>
      <c r="Z265" s="30" t="s">
        <v>7082</v>
      </c>
      <c r="AA265" s="13"/>
      <c r="AB265" s="27"/>
      <c r="AC265" s="30" t="s">
        <v>7082</v>
      </c>
      <c r="AD265" s="13"/>
      <c r="AE265" s="27"/>
      <c r="AF265" s="27"/>
      <c r="AG265" s="27"/>
      <c r="AH265" s="27"/>
      <c r="AI265" s="27"/>
      <c r="AJ265" s="27"/>
      <c r="AK265" s="27"/>
    </row>
    <row r="266" spans="1:37" ht="19.5" customHeight="1">
      <c r="A266" s="27"/>
      <c r="B266" s="27"/>
      <c r="C266" s="27"/>
      <c r="D266" s="27"/>
      <c r="E266" s="30" t="s">
        <v>7061</v>
      </c>
      <c r="F266" s="13" t="e">
        <f>IF(ISBLANK(input_mgmt_az1_host14_fqdn),"Value Missing",input_mgmt_az1_host14_fqdn)</f>
        <v>#REF!</v>
      </c>
      <c r="G266" s="27"/>
      <c r="H266" s="30" t="s">
        <v>7061</v>
      </c>
      <c r="I266" s="13" t="e">
        <f>IF(ISBLANK(input_wld_az1_host14_fqdn),"Value Missing",input_wld_az1_host14_fqdn)</f>
        <v>#REF!</v>
      </c>
      <c r="J266" s="60"/>
      <c r="K266" s="30" t="s">
        <v>7083</v>
      </c>
      <c r="L266" s="13"/>
      <c r="M266" s="27"/>
      <c r="N266" s="30" t="s">
        <v>7083</v>
      </c>
      <c r="O266" s="13"/>
      <c r="P266" s="27"/>
      <c r="Q266" s="30" t="s">
        <v>7083</v>
      </c>
      <c r="R266" s="13"/>
      <c r="S266" s="27"/>
      <c r="T266" s="30" t="s">
        <v>7083</v>
      </c>
      <c r="U266" s="13"/>
      <c r="V266" s="27"/>
      <c r="W266" s="30" t="s">
        <v>7083</v>
      </c>
      <c r="X266" s="13"/>
      <c r="Y266" s="27"/>
      <c r="Z266" s="30" t="s">
        <v>7083</v>
      </c>
      <c r="AA266" s="13"/>
      <c r="AB266" s="27"/>
      <c r="AC266" s="30" t="s">
        <v>7083</v>
      </c>
      <c r="AD266" s="13"/>
      <c r="AE266" s="27"/>
      <c r="AF266" s="27"/>
      <c r="AG266" s="27"/>
      <c r="AH266" s="27"/>
      <c r="AI266" s="27"/>
      <c r="AJ266" s="27"/>
      <c r="AK266" s="27"/>
    </row>
    <row r="267" spans="1:37" ht="19.5" customHeight="1">
      <c r="A267" s="27"/>
      <c r="B267" s="27"/>
      <c r="C267" s="27"/>
      <c r="D267" s="27"/>
      <c r="E267" s="30" t="s">
        <v>7064</v>
      </c>
      <c r="F267" s="13" t="e">
        <f>IF(ISBLANK(input_mgmt_az1_host15_fqdn),"Value Missing",input_mgmt_az1_host15_fqdn)</f>
        <v>#REF!</v>
      </c>
      <c r="G267" s="27"/>
      <c r="H267" s="30" t="s">
        <v>7064</v>
      </c>
      <c r="I267" s="13" t="e">
        <f>IF(ISBLANK(input_wld_az1_host15_fqdn),"Value Missing",input_wld_az1_host15_fqdn)</f>
        <v>#REF!</v>
      </c>
      <c r="J267" s="27"/>
      <c r="K267" s="30" t="s">
        <v>7084</v>
      </c>
      <c r="L267" s="13"/>
      <c r="M267" s="27"/>
      <c r="N267" s="30" t="s">
        <v>7084</v>
      </c>
      <c r="O267" s="13"/>
      <c r="P267" s="27"/>
      <c r="Q267" s="30" t="s">
        <v>7084</v>
      </c>
      <c r="R267" s="13"/>
      <c r="S267" s="27"/>
      <c r="T267" s="30" t="s">
        <v>7084</v>
      </c>
      <c r="U267" s="13"/>
      <c r="V267" s="27"/>
      <c r="W267" s="30" t="s">
        <v>7084</v>
      </c>
      <c r="X267" s="13"/>
      <c r="Y267" s="27"/>
      <c r="Z267" s="30" t="s">
        <v>7084</v>
      </c>
      <c r="AA267" s="13"/>
      <c r="AB267" s="27"/>
      <c r="AC267" s="30" t="s">
        <v>7084</v>
      </c>
      <c r="AD267" s="13"/>
      <c r="AE267" s="27"/>
      <c r="AF267" s="27"/>
      <c r="AG267" s="27"/>
      <c r="AH267" s="27"/>
      <c r="AI267" s="27"/>
      <c r="AJ267" s="27"/>
      <c r="AK267" s="27"/>
    </row>
    <row r="268" spans="1:37" ht="19.5" customHeight="1">
      <c r="A268" s="27"/>
      <c r="B268" s="27"/>
      <c r="C268" s="27"/>
      <c r="D268" s="27"/>
      <c r="E268" s="30" t="s">
        <v>7065</v>
      </c>
      <c r="F268" s="13" t="e">
        <f>IF(ISBLANK(input_mgmt_az1_host16_fqdn),"Value Missing",input_mgmt_az1_host16_fqdn)</f>
        <v>#REF!</v>
      </c>
      <c r="G268" s="27"/>
      <c r="H268" s="30" t="s">
        <v>7065</v>
      </c>
      <c r="I268" s="13" t="e">
        <f>IF(ISBLANK(input_wld_az1_host16_fqdn),"Value Missing",input_wld_az1_host16_fqdn)</f>
        <v>#REF!</v>
      </c>
      <c r="J268" s="27"/>
      <c r="K268" s="30" t="s">
        <v>7085</v>
      </c>
      <c r="L268" s="13"/>
      <c r="M268" s="7"/>
      <c r="N268" s="30" t="s">
        <v>7085</v>
      </c>
      <c r="O268" s="13"/>
      <c r="P268" s="27"/>
      <c r="Q268" s="30" t="s">
        <v>7085</v>
      </c>
      <c r="R268" s="13"/>
      <c r="S268" s="27"/>
      <c r="T268" s="30" t="s">
        <v>7085</v>
      </c>
      <c r="U268" s="13"/>
      <c r="V268" s="27"/>
      <c r="W268" s="30" t="s">
        <v>7085</v>
      </c>
      <c r="X268" s="13"/>
      <c r="Y268" s="27"/>
      <c r="Z268" s="30" t="s">
        <v>7085</v>
      </c>
      <c r="AA268" s="13"/>
      <c r="AB268" s="27"/>
      <c r="AC268" s="30" t="s">
        <v>7085</v>
      </c>
      <c r="AD268" s="13"/>
      <c r="AE268" s="27"/>
      <c r="AF268" s="27"/>
      <c r="AG268" s="27"/>
      <c r="AH268" s="27"/>
      <c r="AI268" s="27"/>
      <c r="AJ268" s="27"/>
      <c r="AK268" s="27"/>
    </row>
    <row r="269" spans="1:37" ht="19.5" customHeight="1">
      <c r="A269" s="27"/>
      <c r="B269" s="27"/>
      <c r="C269" s="27"/>
      <c r="D269" s="27"/>
      <c r="E269" s="27"/>
      <c r="F269" s="27"/>
      <c r="G269" s="27"/>
      <c r="H269" s="7"/>
      <c r="I269" s="7"/>
      <c r="J269" s="27"/>
      <c r="K269" s="30" t="s">
        <v>7086</v>
      </c>
      <c r="L269" s="13"/>
      <c r="M269" s="7"/>
      <c r="N269" s="30" t="s">
        <v>7086</v>
      </c>
      <c r="O269" s="13"/>
      <c r="P269" s="27"/>
      <c r="Q269" s="30" t="s">
        <v>7086</v>
      </c>
      <c r="R269" s="13"/>
      <c r="S269" s="27"/>
      <c r="T269" s="30" t="s">
        <v>7086</v>
      </c>
      <c r="U269" s="13"/>
      <c r="V269" s="27"/>
      <c r="W269" s="30" t="s">
        <v>7086</v>
      </c>
      <c r="X269" s="13"/>
      <c r="Y269" s="27"/>
      <c r="Z269" s="30" t="s">
        <v>7086</v>
      </c>
      <c r="AA269" s="13"/>
      <c r="AB269" s="27"/>
      <c r="AC269" s="30" t="s">
        <v>7086</v>
      </c>
      <c r="AD269" s="13"/>
      <c r="AE269" s="27"/>
      <c r="AF269" s="27"/>
      <c r="AG269" s="27"/>
      <c r="AH269" s="27"/>
      <c r="AI269" s="27"/>
      <c r="AJ269" s="27"/>
      <c r="AK269" s="27"/>
    </row>
    <row r="270" spans="1:37" ht="19.5" customHeight="1">
      <c r="A270" s="27"/>
      <c r="B270" s="27"/>
      <c r="C270" s="27"/>
      <c r="D270" s="27"/>
      <c r="E270" s="49" t="s">
        <v>7089</v>
      </c>
      <c r="F270" s="111"/>
      <c r="G270" s="27"/>
      <c r="H270" s="49" t="s">
        <v>7090</v>
      </c>
      <c r="I270" s="111"/>
      <c r="J270" s="27"/>
      <c r="K270" s="30" t="s">
        <v>7087</v>
      </c>
      <c r="L270" s="13"/>
      <c r="M270" s="37" t="e">
        <f>IF(wld_dpg_separation_result="Included",(CONCATENATE(prefix_wld_az1_rack_cidr,".21.0/24")),(CONCATENATE(prefix_wld_az1_rack_cidr,".22.0/24")))</f>
        <v>#REF!</v>
      </c>
      <c r="N270" s="30" t="s">
        <v>7087</v>
      </c>
      <c r="O270" s="13"/>
      <c r="P270" s="27"/>
      <c r="Q270" s="30" t="s">
        <v>7087</v>
      </c>
      <c r="R270" s="13"/>
      <c r="S270" s="27"/>
      <c r="T270" s="30" t="s">
        <v>7087</v>
      </c>
      <c r="U270" s="13"/>
      <c r="V270" s="27"/>
      <c r="W270" s="30" t="s">
        <v>7087</v>
      </c>
      <c r="X270" s="13"/>
      <c r="Y270" s="27"/>
      <c r="Z270" s="30" t="s">
        <v>7087</v>
      </c>
      <c r="AA270" s="13"/>
      <c r="AB270" s="27"/>
      <c r="AC270" s="30" t="s">
        <v>7087</v>
      </c>
      <c r="AD270" s="13"/>
      <c r="AE270" s="27"/>
      <c r="AF270" s="27"/>
      <c r="AG270" s="27"/>
      <c r="AH270" s="27"/>
      <c r="AI270" s="27"/>
      <c r="AJ270" s="27"/>
      <c r="AK270" s="27"/>
    </row>
    <row r="271" spans="1:37" ht="19.5" customHeight="1">
      <c r="A271" s="27"/>
      <c r="B271" s="27"/>
      <c r="C271" s="27"/>
      <c r="D271" s="27"/>
      <c r="E271" s="30" t="s">
        <v>7082</v>
      </c>
      <c r="F271" s="13" t="e">
        <f>IF(mgmt_az1_en1_fqdn="Value Missing",mgmt_az1_en1_fqdn,LEFT(mgmt_az1_en1_fqdn,FIND(".",mgmt_az1_en1_fqdn)-1))</f>
        <v>#REF!</v>
      </c>
      <c r="G271" s="27"/>
      <c r="H271" s="30" t="s">
        <v>7082</v>
      </c>
      <c r="I271" s="13" t="e">
        <f>IF(wld_az1_en1_fqdn="Value Missing",wld_az1_en1_fqdn,LEFT(wld_az1_en1_fqdn,FIND(".",wld_az1_en1_fqdn)-1))</f>
        <v>#REF!</v>
      </c>
      <c r="J271" s="27"/>
      <c r="K271" s="30" t="s">
        <v>7088</v>
      </c>
      <c r="L271" s="13"/>
      <c r="M271" s="37" t="e">
        <f>IF(wld_dpg_separation_result="Included",(CONCATENATE(prefix_wld_az1_rack_cidr,".32.0/24")),(CONCATENATE(prefix_wld_az1_rack_cidr,".33.0/24")))</f>
        <v>#REF!</v>
      </c>
      <c r="N271" s="30" t="s">
        <v>7088</v>
      </c>
      <c r="O271" s="13"/>
      <c r="P271" s="27"/>
      <c r="Q271" s="30" t="s">
        <v>7088</v>
      </c>
      <c r="R271" s="13"/>
      <c r="S271" s="27"/>
      <c r="T271" s="30" t="s">
        <v>7088</v>
      </c>
      <c r="U271" s="13"/>
      <c r="V271" s="27"/>
      <c r="W271" s="30" t="s">
        <v>7088</v>
      </c>
      <c r="X271" s="13"/>
      <c r="Y271" s="27"/>
      <c r="Z271" s="30" t="s">
        <v>7088</v>
      </c>
      <c r="AA271" s="13"/>
      <c r="AB271" s="27"/>
      <c r="AC271" s="30" t="s">
        <v>7088</v>
      </c>
      <c r="AD271" s="13"/>
      <c r="AE271" s="27"/>
      <c r="AF271" s="27"/>
      <c r="AG271" s="27"/>
      <c r="AH271" s="27"/>
      <c r="AI271" s="27"/>
      <c r="AJ271" s="27"/>
      <c r="AK271" s="27"/>
    </row>
    <row r="272" spans="1:37" ht="19.5" customHeight="1">
      <c r="A272" s="27"/>
      <c r="B272" s="27"/>
      <c r="C272" s="27"/>
      <c r="D272" s="27"/>
      <c r="E272" s="30" t="s">
        <v>7083</v>
      </c>
      <c r="F272" s="13" t="e">
        <f>mgmt_az1_en1_fqdn</f>
        <v>#REF!</v>
      </c>
      <c r="G272" s="27"/>
      <c r="H272" s="30" t="s">
        <v>7083</v>
      </c>
      <c r="I272" s="13" t="e">
        <f>wld_az1_en1_fqdn</f>
        <v>#REF!</v>
      </c>
      <c r="J272" s="27"/>
      <c r="K272" s="60"/>
      <c r="L272" s="7"/>
      <c r="M272" s="37" t="e">
        <f>IF(wld_dpg_separation_result="Included",(CONCATENATE(prefix_wld_az1_rack_cidr,".43.0/24")),(CONCATENATE(prefix_wld_az1_rack_cidr,".44.0/24")))</f>
        <v>#REF!</v>
      </c>
      <c r="N272" s="60"/>
      <c r="O272" s="7"/>
      <c r="P272" s="27"/>
      <c r="Q272" s="60"/>
      <c r="R272" s="7"/>
      <c r="S272" s="27"/>
      <c r="T272" s="60"/>
      <c r="U272" s="7"/>
      <c r="V272" s="27"/>
      <c r="W272" s="60"/>
      <c r="X272" s="7"/>
      <c r="Y272" s="27"/>
      <c r="Z272" s="60"/>
      <c r="AA272" s="7"/>
      <c r="AB272" s="27"/>
      <c r="AC272" s="60"/>
      <c r="AD272" s="7"/>
      <c r="AE272" s="27"/>
      <c r="AF272" s="27"/>
      <c r="AG272" s="27"/>
      <c r="AH272" s="27"/>
      <c r="AI272" s="27"/>
      <c r="AJ272" s="27"/>
      <c r="AK272" s="27"/>
    </row>
    <row r="273" spans="1:37" ht="19.5" customHeight="1">
      <c r="A273" s="27"/>
      <c r="B273" s="27"/>
      <c r="C273" s="27"/>
      <c r="D273" s="27"/>
      <c r="E273" s="30" t="s">
        <v>7084</v>
      </c>
      <c r="F273" s="13" t="e">
        <f>IF(mgmt_az1_en1_mgmt_cidr="Value Missing","Value Missing",(_xludf.TEXTBEFORE(mgmt_az1_en1_mgmt_cidr,"/",1)))</f>
        <v>#REF!</v>
      </c>
      <c r="G273" s="27"/>
      <c r="H273" s="30"/>
      <c r="I273" s="13" t="e">
        <f>IF(wld_az1_en1_mgmt_cidr="Value Missing","Value Missing",(_xludf.TEXTBEFORE(wld_az1_en1_mgmt_cidr,"/",1)))</f>
        <v>#REF!</v>
      </c>
      <c r="J273" s="27"/>
      <c r="K273" s="27"/>
      <c r="L273" s="68"/>
      <c r="M273" s="37" t="e">
        <f>IF(wld_dpg_separation_result="Included",(CONCATENATE(prefix_wld_az1_rack_cidr,".54.0/24")),(CONCATENATE(prefix_wld_az1_rack_cidr,".55.0/24")))</f>
        <v>#REF!</v>
      </c>
      <c r="N273" s="27"/>
      <c r="O273" s="27"/>
      <c r="P273" s="7"/>
      <c r="Q273" s="27"/>
      <c r="R273" s="27"/>
      <c r="S273" s="7"/>
      <c r="T273" s="27"/>
      <c r="U273" s="27"/>
      <c r="V273" s="7"/>
      <c r="W273" s="7"/>
      <c r="X273" s="27"/>
      <c r="Y273" s="7"/>
      <c r="Z273" s="27"/>
      <c r="AA273" s="27"/>
      <c r="AB273" s="7"/>
      <c r="AC273" s="27"/>
      <c r="AD273" s="27"/>
      <c r="AE273" s="27"/>
      <c r="AF273" s="27"/>
      <c r="AG273" s="27"/>
      <c r="AH273" s="27"/>
      <c r="AI273" s="27"/>
      <c r="AJ273" s="27"/>
      <c r="AK273" s="27"/>
    </row>
    <row r="274" spans="1:37" ht="19.5" customHeight="1">
      <c r="A274" s="27"/>
      <c r="B274" s="27"/>
      <c r="C274" s="27"/>
      <c r="D274" s="27"/>
      <c r="E274" s="30" t="s">
        <v>7091</v>
      </c>
      <c r="F274" s="13" t="e">
        <v>#REF!</v>
      </c>
      <c r="G274" s="27"/>
      <c r="H274" s="30" t="s">
        <v>7084</v>
      </c>
      <c r="I274" s="13" t="e">
        <v>#REF!</v>
      </c>
      <c r="J274" s="27"/>
      <c r="K274" s="27"/>
      <c r="L274" s="68"/>
      <c r="M274" s="37" t="e">
        <f>IF(wld_dpg_separation_result="Included",(CONCATENATE(prefix_wld_az1_rack_cidr,".65.0/24")),(CONCATENATE(prefix_wld_az1_rack_cidr,".66.0/24")))</f>
        <v>#REF!</v>
      </c>
      <c r="N274" s="27"/>
      <c r="O274" s="27"/>
      <c r="P274" s="7"/>
      <c r="Q274" s="27"/>
      <c r="R274" s="27"/>
      <c r="S274" s="7"/>
      <c r="T274" s="27"/>
      <c r="U274" s="27"/>
      <c r="V274" s="7"/>
      <c r="W274" s="7"/>
      <c r="X274" s="27"/>
      <c r="Y274" s="7"/>
      <c r="Z274" s="27"/>
      <c r="AA274" s="27"/>
      <c r="AB274" s="7"/>
      <c r="AC274" s="27"/>
      <c r="AD274" s="27"/>
      <c r="AE274" s="27"/>
      <c r="AF274" s="27"/>
      <c r="AG274" s="27"/>
      <c r="AH274" s="27"/>
      <c r="AI274" s="27"/>
      <c r="AJ274" s="27"/>
      <c r="AK274" s="27"/>
    </row>
    <row r="275" spans="1:37" ht="19.5" customHeight="1">
      <c r="A275" s="27"/>
      <c r="B275" s="27"/>
      <c r="C275" s="27"/>
      <c r="D275" s="27"/>
      <c r="E275" s="30" t="s">
        <v>7085</v>
      </c>
      <c r="F275" s="13" t="e">
        <v>#REF!</v>
      </c>
      <c r="G275" s="27"/>
      <c r="H275" s="30" t="s">
        <v>7085</v>
      </c>
      <c r="I275" s="13" t="e">
        <v>#REF!</v>
      </c>
      <c r="J275" s="27"/>
      <c r="K275" s="124" t="e">
        <f t="array" ref="K275">IF(wld_dpg_separation_result="Included",CONCATENATE(prefix_wld_az1_rack_vlan,"21"),CONCATENATE(prefix_wld_az1_rack_vlan,"22"))</f>
        <v>#REF!</v>
      </c>
      <c r="L275" s="13"/>
      <c r="M275" s="37" t="e">
        <f>IF(wld_dpg_separation_result="Included",(CONCATENATE(prefix_wld_az1_rack_cidr,".76.0/24")),(CONCATENATE(prefix_wld_az1_rack_cidr,".77.0/24")))</f>
        <v>#REF!</v>
      </c>
      <c r="N275" s="13"/>
      <c r="O275" s="37" t="e">
        <f>IF(wld_dpg_separation_result="Included",CONCATENATE(prefix_wld_az1_rack_cidr,".21.1"),CONCATENATE(prefix_wld_az1_rack_cidr,".22.1"))</f>
        <v>#REF!</v>
      </c>
      <c r="P275" s="13"/>
      <c r="Q275" s="37">
        <v>1500</v>
      </c>
      <c r="R275" s="13"/>
      <c r="S275" s="7"/>
      <c r="T275" s="27"/>
      <c r="U275" s="27"/>
      <c r="V275" s="7"/>
      <c r="W275" s="7"/>
      <c r="X275" s="27"/>
      <c r="Y275" s="7"/>
      <c r="Z275" s="27"/>
      <c r="AA275" s="27"/>
      <c r="AB275" s="7"/>
      <c r="AC275" s="27"/>
      <c r="AD275" s="27"/>
      <c r="AE275" s="27"/>
      <c r="AF275" s="27"/>
      <c r="AG275" s="27"/>
      <c r="AH275" s="27"/>
      <c r="AI275" s="27"/>
      <c r="AJ275" s="27"/>
      <c r="AK275" s="27"/>
    </row>
    <row r="276" spans="1:37" ht="19.5" customHeight="1">
      <c r="A276" s="27"/>
      <c r="B276" s="27"/>
      <c r="C276" s="27"/>
      <c r="D276" s="27"/>
      <c r="E276" s="30" t="s">
        <v>7086</v>
      </c>
      <c r="F276" s="13" t="e">
        <v>#REF!</v>
      </c>
      <c r="G276" s="27"/>
      <c r="H276" s="30" t="s">
        <v>7086</v>
      </c>
      <c r="I276" s="13" t="e">
        <v>#REF!</v>
      </c>
      <c r="J276" s="27"/>
      <c r="K276" s="124" t="e">
        <f>IF(wld_dpg_separation_result="Included",CONCATENATE(prefix_wld_az1_rack_vlan,"32"),CONCATENATE(prefix_wld_az1_rack_vlan,"33"))</f>
        <v>#REF!</v>
      </c>
      <c r="L276" s="13"/>
      <c r="M276" s="37" t="e">
        <f>IF(wld_dpg_separation_result="Included",(CONCATENATE(prefix_wld_az1_rack_cidr,".87.0/24")),(CONCATENATE(prefix_wld_az1_rack_cidr,".88.0/24")))</f>
        <v>#REF!</v>
      </c>
      <c r="N276" s="13"/>
      <c r="O276" s="37" t="e">
        <f>IF(wld_dpg_separation_result="Included",CONCATENATE(prefix_wld_az1_rack_cidr,".32.1"),CONCATENATE(prefix_wld_az1_rack_cidr,".33.1"))</f>
        <v>#REF!</v>
      </c>
      <c r="P276" s="13"/>
      <c r="Q276" s="37">
        <v>1500</v>
      </c>
      <c r="R276" s="13"/>
      <c r="S276" s="7"/>
      <c r="T276" s="27"/>
      <c r="U276" s="27"/>
      <c r="V276" s="7"/>
      <c r="W276" s="7"/>
      <c r="X276" s="27"/>
      <c r="Y276" s="7"/>
      <c r="Z276" s="27"/>
      <c r="AA276" s="27"/>
      <c r="AB276" s="7"/>
      <c r="AC276" s="27"/>
      <c r="AD276" s="27"/>
      <c r="AE276" s="27"/>
      <c r="AF276" s="27"/>
      <c r="AG276" s="27"/>
      <c r="AH276" s="27"/>
      <c r="AI276" s="27"/>
      <c r="AJ276" s="27"/>
      <c r="AK276" s="27"/>
    </row>
    <row r="277" spans="1:37" ht="19.5" customHeight="1">
      <c r="A277" s="27"/>
      <c r="B277" s="27"/>
      <c r="C277" s="27"/>
      <c r="D277" s="27"/>
      <c r="E277" s="30" t="s">
        <v>7087</v>
      </c>
      <c r="F277" s="13" t="s">
        <v>7092</v>
      </c>
      <c r="G277" s="27"/>
      <c r="H277" s="30" t="s">
        <v>7087</v>
      </c>
      <c r="I277" s="13" t="s">
        <v>7092</v>
      </c>
      <c r="J277" s="27"/>
      <c r="K277" s="124" t="e">
        <f>IF(wld_dpg_separation_result="Included",CONCATENATE(prefix_wld_az1_rack_vlan,"43"),CONCATENATE(prefix_wld_az1_rack_vlan,"44"))</f>
        <v>#REF!</v>
      </c>
      <c r="L277" s="13"/>
      <c r="M277" s="7"/>
      <c r="N277" s="13"/>
      <c r="O277" s="37" t="e">
        <f>IF(wld_dpg_separation_result="Included",CONCATENATE(prefix_wld_az1_rack_cidr,".43.1"),CONCATENATE(prefix_wld_az1_rack_cidr,".44.1"))</f>
        <v>#REF!</v>
      </c>
      <c r="P277" s="13"/>
      <c r="Q277" s="37">
        <v>1500</v>
      </c>
      <c r="R277" s="13"/>
      <c r="S277" s="7"/>
      <c r="T277" s="27"/>
      <c r="U277" s="27"/>
      <c r="V277" s="7"/>
      <c r="W277" s="7"/>
      <c r="X277" s="27"/>
      <c r="Y277" s="7"/>
      <c r="Z277" s="27"/>
      <c r="AA277" s="27"/>
      <c r="AB277" s="7"/>
      <c r="AC277" s="27"/>
      <c r="AD277" s="27"/>
      <c r="AE277" s="27"/>
      <c r="AF277" s="27"/>
      <c r="AG277" s="27"/>
      <c r="AH277" s="27"/>
      <c r="AI277" s="27"/>
      <c r="AJ277" s="27"/>
      <c r="AK277" s="27"/>
    </row>
    <row r="278" spans="1:37" ht="19.5" customHeight="1">
      <c r="A278" s="27"/>
      <c r="B278" s="27"/>
      <c r="C278" s="27"/>
      <c r="D278" s="27"/>
      <c r="E278" s="30" t="s">
        <v>7088</v>
      </c>
      <c r="F278" s="13" t="s">
        <v>7092</v>
      </c>
      <c r="G278" s="27"/>
      <c r="H278" s="30" t="s">
        <v>7088</v>
      </c>
      <c r="I278" s="13" t="s">
        <v>7092</v>
      </c>
      <c r="J278" s="27"/>
      <c r="K278" s="124" t="e">
        <f>IF(wld_dpg_separation_result="Included",CONCATENATE(prefix_wld_az1_rack_vlan,"54"),CONCATENATE(prefix_wld_az1_rack_vlan,"55"))</f>
        <v>#REF!</v>
      </c>
      <c r="L278" s="13"/>
      <c r="M278" s="7"/>
      <c r="N278" s="13"/>
      <c r="O278" s="37" t="e">
        <f>IF(wld_dpg_separation_result="Included",CONCATENATE(prefix_wld_az1_rack_cidr,".54.1"),CONCATENATE(prefix_wld_az1_rack_cidr,".55.1"))</f>
        <v>#REF!</v>
      </c>
      <c r="P278" s="13"/>
      <c r="Q278" s="37">
        <v>1500</v>
      </c>
      <c r="R278" s="13"/>
      <c r="S278" s="7"/>
      <c r="T278" s="27"/>
      <c r="U278" s="27"/>
      <c r="V278" s="7"/>
      <c r="W278" s="7"/>
      <c r="X278" s="27"/>
      <c r="Y278" s="7"/>
      <c r="Z278" s="27"/>
      <c r="AA278" s="27"/>
      <c r="AB278" s="7"/>
      <c r="AC278" s="27"/>
      <c r="AD278" s="27"/>
      <c r="AE278" s="27"/>
      <c r="AF278" s="27"/>
      <c r="AG278" s="27"/>
      <c r="AH278" s="27"/>
      <c r="AI278" s="27"/>
      <c r="AJ278" s="27"/>
      <c r="AK278" s="27"/>
    </row>
    <row r="279" spans="1:37" ht="19.5" customHeight="1">
      <c r="A279" s="27"/>
      <c r="B279" s="27"/>
      <c r="C279" s="27"/>
      <c r="D279" s="27"/>
      <c r="E279" s="30" t="s">
        <v>7093</v>
      </c>
      <c r="F279" s="13" t="e">
        <f>IF(ISBLANK(mgmt_en01_bfd_chosen),"Value Missing",mgmt_en01_bfd_chosen)</f>
        <v>#REF!</v>
      </c>
      <c r="G279" s="27"/>
      <c r="H279" s="60"/>
      <c r="I279" s="60"/>
      <c r="J279" s="27"/>
      <c r="K279" s="124" t="e">
        <f>IF(wld_dpg_separation_result="Included",CONCATENATE(prefix_wld_az1_rack_vlan,"65"),CONCATENATE(prefix_wld_az1_rack_vlan,"66"))</f>
        <v>#REF!</v>
      </c>
      <c r="L279" s="13"/>
      <c r="M279" s="7"/>
      <c r="N279" s="13"/>
      <c r="O279" s="37" t="e">
        <f>IF(wld_dpg_separation_result="Included",CONCATENATE(prefix_wld_az1_rack_cidr,".65.1"),CONCATENATE(prefix_wld_az1_rack_cidr,".66.1"))</f>
        <v>#REF!</v>
      </c>
      <c r="P279" s="13"/>
      <c r="Q279" s="37">
        <v>1500</v>
      </c>
      <c r="R279" s="13"/>
      <c r="S279" s="7"/>
      <c r="T279" s="27"/>
      <c r="U279" s="27"/>
      <c r="V279" s="7"/>
      <c r="W279" s="7"/>
      <c r="X279" s="27"/>
      <c r="Y279" s="7"/>
      <c r="Z279" s="27"/>
      <c r="AA279" s="27"/>
      <c r="AB279" s="7"/>
      <c r="AC279" s="27"/>
      <c r="AD279" s="27"/>
      <c r="AE279" s="27"/>
      <c r="AF279" s="27"/>
      <c r="AG279" s="27"/>
      <c r="AH279" s="27"/>
      <c r="AI279" s="27"/>
      <c r="AJ279" s="27"/>
      <c r="AK279" s="27"/>
    </row>
    <row r="280" spans="1:37" ht="19.5" customHeight="1">
      <c r="A280" s="27"/>
      <c r="B280" s="27"/>
      <c r="C280" s="27"/>
      <c r="D280" s="27"/>
      <c r="E280" s="60"/>
      <c r="F280" s="27"/>
      <c r="G280" s="27"/>
      <c r="H280" s="60"/>
      <c r="I280" s="27"/>
      <c r="J280" s="27"/>
      <c r="K280" s="124" t="e">
        <f>IF(wld_dpg_separation_result="Included",CONCATENATE(prefix_wld_az1_rack_vlan,"76"),CONCATENATE(prefix_wld_az1_rack_vlan,"77"))</f>
        <v>#REF!</v>
      </c>
      <c r="L280" s="13"/>
      <c r="M280" s="7"/>
      <c r="N280" s="13"/>
      <c r="O280" s="37" t="e">
        <f>IF(wld_dpg_separation_result="Included",CONCATENATE(prefix_wld_az1_rack_cidr,".76.1"),CONCATENATE(prefix_wld_az1_rack_cidr,".77.1"))</f>
        <v>#REF!</v>
      </c>
      <c r="P280" s="13"/>
      <c r="Q280" s="37">
        <v>1500</v>
      </c>
      <c r="R280" s="13"/>
      <c r="S280" s="7"/>
      <c r="T280" s="27"/>
      <c r="U280" s="27"/>
      <c r="V280" s="7"/>
      <c r="W280" s="7"/>
      <c r="X280" s="27"/>
      <c r="Y280" s="7"/>
      <c r="Z280" s="27"/>
      <c r="AA280" s="27"/>
      <c r="AB280" s="7"/>
      <c r="AC280" s="27"/>
      <c r="AD280" s="27"/>
      <c r="AE280" s="68"/>
      <c r="AF280" s="27"/>
      <c r="AG280" s="27"/>
      <c r="AH280" s="27"/>
      <c r="AI280" s="27"/>
      <c r="AJ280" s="27"/>
      <c r="AK280" s="27"/>
    </row>
    <row r="281" spans="1:37" ht="19.5" customHeight="1">
      <c r="A281" s="27"/>
      <c r="B281" s="27"/>
      <c r="C281" s="27"/>
      <c r="D281" s="27"/>
      <c r="E281" s="49" t="s">
        <v>7094</v>
      </c>
      <c r="F281" s="111"/>
      <c r="G281" s="87"/>
      <c r="H281" s="49" t="s">
        <v>7095</v>
      </c>
      <c r="I281" s="111"/>
      <c r="J281" s="27"/>
      <c r="K281" s="124" t="e">
        <f>IF(wld_dpg_separation_result="Included",CONCATENATE(prefix_wld_az1_rack_vlan,"87"),CONCATENATE(prefix_wld_az1_rack_vlan,"88"))</f>
        <v>#REF!</v>
      </c>
      <c r="L281" s="13"/>
      <c r="M281" s="7"/>
      <c r="N281" s="13"/>
      <c r="O281" s="37" t="e">
        <f>IF(wld_dpg_separation_result="Included",CONCATENATE(prefix_wld_az1_rack_cidr,".87.1"),CONCATENATE(prefix_wld_az1_rack_cidr,".88.1"))</f>
        <v>#REF!</v>
      </c>
      <c r="P281" s="13"/>
      <c r="Q281" s="37">
        <v>1500</v>
      </c>
      <c r="R281" s="13"/>
      <c r="S281" s="7"/>
      <c r="T281" s="27"/>
      <c r="U281" s="27"/>
      <c r="V281" s="7"/>
      <c r="W281" s="7"/>
      <c r="X281" s="27"/>
      <c r="Y281" s="7"/>
      <c r="Z281" s="27"/>
      <c r="AA281" s="27"/>
      <c r="AB281" s="7"/>
      <c r="AC281" s="27"/>
      <c r="AD281" s="27"/>
      <c r="AE281" s="27"/>
      <c r="AF281" s="27"/>
      <c r="AG281" s="27"/>
      <c r="AH281" s="27"/>
      <c r="AI281" s="27"/>
      <c r="AJ281" s="27"/>
      <c r="AK281" s="27"/>
    </row>
    <row r="282" spans="1:37" ht="19.5" customHeight="1">
      <c r="A282" s="27"/>
      <c r="B282" s="27"/>
      <c r="C282" s="27"/>
      <c r="D282" s="27"/>
      <c r="E282" s="30" t="s">
        <v>7082</v>
      </c>
      <c r="F282" s="13" t="e">
        <f>IF(mgmt_az1_en2_fqdn="Value Missing",mgmt_az1_en2_fqdn,LEFT(mgmt_az1_en2_fqdn,FIND(".",mgmt_az1_en2_fqdn)-1))</f>
        <v>#REF!</v>
      </c>
      <c r="G282" s="27"/>
      <c r="H282" s="30" t="s">
        <v>7082</v>
      </c>
      <c r="I282" s="13" t="e">
        <f>IF(wld_az1_en2_fqdn="Value Missing",wld_az1_en2_fqdn,LEFT(wld_az1_en2_fqdn,FIND(".",wld_az1_en2_fqdn)-1))</f>
        <v>#REF!</v>
      </c>
      <c r="J282" s="27"/>
      <c r="K282" s="27"/>
      <c r="L282" s="68"/>
      <c r="M282" s="7"/>
      <c r="N282" s="27"/>
      <c r="O282" s="27"/>
      <c r="P282" s="7"/>
      <c r="Q282" s="27"/>
      <c r="R282" s="27"/>
      <c r="S282" s="7"/>
      <c r="T282" s="27"/>
      <c r="U282" s="27"/>
      <c r="V282" s="7"/>
      <c r="W282" s="7"/>
      <c r="X282" s="27"/>
      <c r="Y282" s="7"/>
      <c r="Z282" s="27"/>
      <c r="AA282" s="27"/>
      <c r="AB282" s="7"/>
      <c r="AC282" s="27"/>
      <c r="AD282" s="27"/>
      <c r="AE282" s="27"/>
      <c r="AF282" s="27"/>
      <c r="AG282" s="27"/>
      <c r="AH282" s="27"/>
      <c r="AI282" s="27"/>
      <c r="AJ282" s="27"/>
      <c r="AK282" s="27"/>
    </row>
    <row r="283" spans="1:37" ht="19.5" customHeight="1">
      <c r="A283" s="27"/>
      <c r="B283" s="27"/>
      <c r="C283" s="27"/>
      <c r="D283" s="27"/>
      <c r="E283" s="30" t="s">
        <v>7083</v>
      </c>
      <c r="F283" s="13" t="e">
        <f>mgmt_az1_en1_fqdn</f>
        <v>#REF!</v>
      </c>
      <c r="G283" s="27"/>
      <c r="H283" s="30" t="s">
        <v>7083</v>
      </c>
      <c r="I283" s="13" t="e">
        <f>wld_az1_en2_fqdn</f>
        <v>#REF!</v>
      </c>
      <c r="J283" s="27"/>
      <c r="K283" s="27"/>
      <c r="L283" s="68"/>
      <c r="M283" s="7"/>
      <c r="N283" s="27"/>
      <c r="O283" s="27"/>
      <c r="P283" s="7"/>
      <c r="Q283" s="27"/>
      <c r="R283" s="27"/>
      <c r="S283" s="7"/>
      <c r="T283" s="27"/>
      <c r="U283" s="27"/>
      <c r="V283" s="7"/>
      <c r="W283" s="7"/>
      <c r="X283" s="27"/>
      <c r="Y283" s="7"/>
      <c r="Z283" s="27"/>
      <c r="AA283" s="27"/>
      <c r="AB283" s="7"/>
      <c r="AC283" s="27"/>
      <c r="AD283" s="27"/>
      <c r="AE283" s="27"/>
      <c r="AF283" s="27"/>
      <c r="AG283" s="27"/>
      <c r="AH283" s="27"/>
      <c r="AI283" s="27"/>
      <c r="AJ283" s="27"/>
      <c r="AK283" s="27"/>
    </row>
    <row r="284" spans="1:37" ht="19.5" customHeight="1">
      <c r="A284" s="27"/>
      <c r="B284" s="27"/>
      <c r="C284" s="27"/>
      <c r="D284" s="27"/>
      <c r="E284" s="30" t="s">
        <v>7084</v>
      </c>
      <c r="F284" s="13" t="e">
        <f>IF(mgmt_az1_en2_mgmt_cidr="Value Missing","Value Missing",(_xludf.TEXTBEFORE(mgmt_az1_en2_mgmt_cidr,"/",1)))</f>
        <v>#REF!</v>
      </c>
      <c r="G284" s="27"/>
      <c r="H284" s="30" t="s">
        <v>7084</v>
      </c>
      <c r="I284" s="13" t="e">
        <f>IF(wld_az1_en2_mgmt_cidr="Value Missing","Value Missing",(_xludf.TEXTBEFORE(wld_az1_en2_mgmt_cidr,"/",1)))</f>
        <v>#REF!</v>
      </c>
      <c r="J284" s="27"/>
      <c r="K284" s="27"/>
      <c r="L284" s="68"/>
      <c r="M284" s="7"/>
      <c r="N284" s="27"/>
      <c r="O284" s="27"/>
      <c r="P284" s="7"/>
      <c r="Q284" s="27"/>
      <c r="R284" s="27"/>
      <c r="S284" s="7"/>
      <c r="T284" s="27"/>
      <c r="U284" s="27"/>
      <c r="V284" s="7"/>
      <c r="W284" s="7"/>
      <c r="X284" s="27"/>
      <c r="Y284" s="7"/>
      <c r="Z284" s="27"/>
      <c r="AA284" s="27"/>
      <c r="AB284" s="7"/>
      <c r="AC284" s="27"/>
      <c r="AD284" s="27"/>
      <c r="AE284" s="27"/>
      <c r="AF284" s="27"/>
      <c r="AG284" s="27"/>
      <c r="AH284" s="27"/>
      <c r="AI284" s="27"/>
      <c r="AJ284" s="27"/>
      <c r="AK284" s="27"/>
    </row>
    <row r="285" spans="1:37" ht="19.5" customHeight="1">
      <c r="A285" s="27"/>
      <c r="B285" s="27"/>
      <c r="C285" s="27"/>
      <c r="D285" s="27"/>
      <c r="E285" s="30" t="s">
        <v>7091</v>
      </c>
      <c r="F285" s="13" t="e">
        <v>#REF!</v>
      </c>
      <c r="G285" s="27"/>
      <c r="H285" s="30" t="s">
        <v>7091</v>
      </c>
      <c r="I285" s="13" t="e">
        <v>#REF!</v>
      </c>
      <c r="J285" s="27"/>
      <c r="K285" s="27"/>
      <c r="L285" s="68"/>
      <c r="M285" s="27"/>
      <c r="N285" s="27"/>
      <c r="O285" s="27"/>
      <c r="P285" s="7"/>
      <c r="Q285" s="27"/>
      <c r="R285" s="27"/>
      <c r="S285" s="7"/>
      <c r="T285" s="27"/>
      <c r="U285" s="27"/>
      <c r="V285" s="7"/>
      <c r="W285" s="7"/>
      <c r="X285" s="27"/>
      <c r="Y285" s="7"/>
      <c r="Z285" s="27"/>
      <c r="AA285" s="27"/>
      <c r="AB285" s="7"/>
      <c r="AC285" s="27"/>
      <c r="AD285" s="27"/>
      <c r="AE285" s="27"/>
      <c r="AF285" s="27"/>
      <c r="AG285" s="27"/>
      <c r="AH285" s="27"/>
      <c r="AI285" s="27"/>
      <c r="AJ285" s="27"/>
      <c r="AK285" s="27"/>
    </row>
    <row r="286" spans="1:37" ht="19.5" customHeight="1">
      <c r="A286" s="27"/>
      <c r="B286" s="27"/>
      <c r="C286" s="27"/>
      <c r="D286" s="27"/>
      <c r="E286" s="30" t="s">
        <v>7085</v>
      </c>
      <c r="F286" s="13" t="e">
        <v>#REF!</v>
      </c>
      <c r="G286" s="27"/>
      <c r="H286" s="30" t="s">
        <v>7085</v>
      </c>
      <c r="I286" s="13" t="e">
        <v>#REF!</v>
      </c>
      <c r="J286" s="27"/>
      <c r="K286" s="27"/>
      <c r="L286" s="68"/>
      <c r="M286" s="27"/>
      <c r="N286" s="27"/>
      <c r="O286" s="27"/>
      <c r="P286" s="7"/>
      <c r="Q286" s="27"/>
      <c r="R286" s="27"/>
      <c r="S286" s="7"/>
      <c r="T286" s="27"/>
      <c r="U286" s="27"/>
      <c r="V286" s="7"/>
      <c r="W286" s="7"/>
      <c r="X286" s="27"/>
      <c r="Y286" s="7"/>
      <c r="Z286" s="27"/>
      <c r="AA286" s="27"/>
      <c r="AB286" s="7"/>
      <c r="AC286" s="27"/>
      <c r="AD286" s="27"/>
      <c r="AE286" s="27"/>
      <c r="AF286" s="27"/>
      <c r="AG286" s="27"/>
      <c r="AH286" s="27"/>
      <c r="AI286" s="27"/>
      <c r="AJ286" s="27"/>
      <c r="AK286" s="27"/>
    </row>
    <row r="287" spans="1:37" ht="19.5" customHeight="1">
      <c r="A287" s="27"/>
      <c r="B287" s="27"/>
      <c r="C287" s="27"/>
      <c r="D287" s="27"/>
      <c r="E287" s="30" t="s">
        <v>7086</v>
      </c>
      <c r="F287" s="13" t="e">
        <v>#REF!</v>
      </c>
      <c r="G287" s="27"/>
      <c r="H287" s="30" t="s">
        <v>7086</v>
      </c>
      <c r="I287" s="13" t="e">
        <v>#REF!</v>
      </c>
      <c r="J287" s="27"/>
      <c r="K287" s="27"/>
      <c r="L287" s="68"/>
      <c r="M287" s="27"/>
      <c r="N287" s="27"/>
      <c r="O287" s="27"/>
      <c r="P287" s="7"/>
      <c r="Q287" s="27"/>
      <c r="R287" s="27"/>
      <c r="S287" s="7"/>
      <c r="T287" s="27"/>
      <c r="U287" s="27"/>
      <c r="V287" s="7"/>
      <c r="W287" s="7"/>
      <c r="X287" s="27"/>
      <c r="Y287" s="7"/>
      <c r="Z287" s="27"/>
      <c r="AA287" s="27"/>
      <c r="AB287" s="7"/>
      <c r="AC287" s="27"/>
      <c r="AD287" s="27"/>
      <c r="AE287" s="27"/>
      <c r="AF287" s="27"/>
      <c r="AG287" s="27"/>
      <c r="AH287" s="27"/>
      <c r="AI287" s="27"/>
      <c r="AJ287" s="27"/>
      <c r="AK287" s="27"/>
    </row>
    <row r="288" spans="1:37" ht="19.5" customHeight="1">
      <c r="A288" s="27"/>
      <c r="B288" s="27"/>
      <c r="C288" s="27"/>
      <c r="D288" s="27"/>
      <c r="E288" s="30" t="s">
        <v>7087</v>
      </c>
      <c r="F288" s="13" t="s">
        <v>7092</v>
      </c>
      <c r="G288" s="27"/>
      <c r="H288" s="30" t="s">
        <v>7087</v>
      </c>
      <c r="I288" s="13" t="s">
        <v>7092</v>
      </c>
      <c r="J288" s="27"/>
      <c r="K288" s="27"/>
      <c r="L288" s="68"/>
      <c r="M288" s="27"/>
      <c r="N288" s="27"/>
      <c r="O288" s="27"/>
      <c r="P288" s="27"/>
      <c r="Q288" s="27"/>
      <c r="R288" s="27"/>
      <c r="S288" s="7"/>
      <c r="T288" s="27"/>
      <c r="U288" s="27"/>
      <c r="V288" s="7"/>
      <c r="W288" s="7"/>
      <c r="X288" s="27"/>
      <c r="Y288" s="7"/>
      <c r="Z288" s="27"/>
      <c r="AA288" s="27"/>
      <c r="AB288" s="7"/>
      <c r="AC288" s="27"/>
      <c r="AD288" s="27"/>
      <c r="AE288" s="27"/>
      <c r="AF288" s="27"/>
      <c r="AG288" s="27"/>
      <c r="AH288" s="27"/>
      <c r="AI288" s="27"/>
      <c r="AJ288" s="27"/>
      <c r="AK288" s="27"/>
    </row>
    <row r="289" spans="1:37" ht="19.5" customHeight="1">
      <c r="A289" s="27"/>
      <c r="B289" s="27"/>
      <c r="C289" s="27"/>
      <c r="D289" s="27"/>
      <c r="E289" s="30" t="s">
        <v>7088</v>
      </c>
      <c r="F289" s="13" t="s">
        <v>7092</v>
      </c>
      <c r="G289" s="27"/>
      <c r="H289" s="30" t="s">
        <v>7088</v>
      </c>
      <c r="I289" s="13" t="s">
        <v>7092</v>
      </c>
      <c r="J289" s="27"/>
      <c r="K289" s="27"/>
      <c r="L289" s="68"/>
      <c r="M289" s="27"/>
      <c r="N289" s="27"/>
      <c r="O289" s="27"/>
      <c r="P289" s="27"/>
      <c r="Q289" s="27"/>
      <c r="R289" s="27"/>
      <c r="S289" s="7"/>
      <c r="T289" s="27"/>
      <c r="U289" s="27"/>
      <c r="V289" s="7"/>
      <c r="W289" s="7"/>
      <c r="X289" s="27"/>
      <c r="Y289" s="7"/>
      <c r="Z289" s="27"/>
      <c r="AA289" s="27"/>
      <c r="AB289" s="7"/>
      <c r="AC289" s="27"/>
      <c r="AD289" s="27"/>
      <c r="AE289" s="27"/>
      <c r="AF289" s="27"/>
      <c r="AG289" s="27"/>
      <c r="AH289" s="27"/>
      <c r="AI289" s="27"/>
      <c r="AJ289" s="27"/>
      <c r="AK289" s="27"/>
    </row>
    <row r="290" spans="1:37" ht="19.5" customHeight="1">
      <c r="A290" s="27"/>
      <c r="B290" s="27"/>
      <c r="C290" s="27"/>
      <c r="D290" s="27"/>
      <c r="E290" s="30" t="s">
        <v>7093</v>
      </c>
      <c r="F290" s="13" t="e">
        <f>IF(ISBLANK(mgmt_en02_bfd_chosen),"Value Missing",mgmt_en02_bfd_chosen)</f>
        <v>#REF!</v>
      </c>
      <c r="G290" s="27"/>
      <c r="H290" s="60"/>
      <c r="I290" s="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</row>
    <row r="291" spans="1:37" ht="19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</row>
    <row r="292" spans="1:37" ht="19.5" customHeight="1">
      <c r="A292" s="27"/>
      <c r="B292" s="27"/>
      <c r="C292" s="27"/>
      <c r="D292" s="27"/>
      <c r="E292" s="49" t="s">
        <v>7096</v>
      </c>
      <c r="F292" s="50"/>
      <c r="G292" s="27"/>
      <c r="H292" s="49" t="s">
        <v>7097</v>
      </c>
      <c r="I292" s="50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</row>
    <row r="293" spans="1:37" ht="19.5" customHeight="1">
      <c r="A293" s="27"/>
      <c r="B293" s="27"/>
      <c r="C293" s="27"/>
      <c r="D293" s="27"/>
      <c r="E293" s="52" t="s">
        <v>6780</v>
      </c>
      <c r="F293" s="52" t="s">
        <v>7098</v>
      </c>
      <c r="G293" s="27"/>
      <c r="H293" s="52" t="s">
        <v>6780</v>
      </c>
      <c r="I293" s="52" t="s">
        <v>7098</v>
      </c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</row>
    <row r="294" spans="1:37" ht="19.5" customHeight="1">
      <c r="A294" s="27"/>
      <c r="B294" s="27"/>
      <c r="C294" s="27"/>
      <c r="D294" s="27"/>
      <c r="E294" s="30" t="s">
        <v>6784</v>
      </c>
      <c r="F294" s="13"/>
      <c r="G294" s="27"/>
      <c r="H294" s="30" t="s">
        <v>6784</v>
      </c>
      <c r="I294" s="13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</row>
    <row r="295" spans="1:37" ht="19.5" customHeight="1">
      <c r="A295" s="27"/>
      <c r="B295" s="27"/>
      <c r="C295" s="27"/>
      <c r="D295" s="27"/>
      <c r="E295" s="30" t="s">
        <v>6787</v>
      </c>
      <c r="F295" s="13" t="e">
        <v>#REF!</v>
      </c>
      <c r="G295" s="87"/>
      <c r="H295" s="30" t="s">
        <v>6787</v>
      </c>
      <c r="I295" s="13" t="e">
        <v>#REF!</v>
      </c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</row>
    <row r="296" spans="1:37" ht="19.5" customHeight="1">
      <c r="A296" s="27"/>
      <c r="B296" s="27"/>
      <c r="C296" s="27"/>
      <c r="D296" s="27"/>
      <c r="E296" s="30" t="s">
        <v>6790</v>
      </c>
      <c r="F296" s="13" t="e">
        <v>#REF!</v>
      </c>
      <c r="G296" s="27"/>
      <c r="H296" s="30" t="s">
        <v>6790</v>
      </c>
      <c r="I296" s="13" t="e">
        <f>IF(ISBLANK(input_wld_az2_vmotion_vlan),"Value Missing",input_wld_az2_vmotion_vlan)</f>
        <v>#REF!</v>
      </c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</row>
    <row r="297" spans="1:37" ht="19.5" customHeight="1">
      <c r="A297" s="27"/>
      <c r="B297" s="27"/>
      <c r="C297" s="27"/>
      <c r="D297" s="27"/>
      <c r="E297" s="39" t="e">
        <f>CONCATENATE("Principal Storage Network ",wld_principal_storage_chosen)</f>
        <v>#REF!</v>
      </c>
      <c r="F297" s="13" t="e">
        <v>#REF!</v>
      </c>
      <c r="G297" s="27"/>
      <c r="H297" s="39" t="s">
        <v>7099</v>
      </c>
      <c r="I297" s="13" t="e">
        <f>IF(ISBLANK(input_wld_az2_principal_storage_vlan),"Value Missing",input_wld_az2_principal_storage_vlan)</f>
        <v>#REF!</v>
      </c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</row>
    <row r="298" spans="1:37" ht="19.5" customHeight="1">
      <c r="A298" s="27"/>
      <c r="B298" s="27"/>
      <c r="C298" s="27"/>
      <c r="D298" s="27"/>
      <c r="E298" s="30" t="s">
        <v>6795</v>
      </c>
      <c r="F298" s="13" t="e">
        <v>#REF!</v>
      </c>
      <c r="G298" s="27"/>
      <c r="H298" s="30" t="s">
        <v>6795</v>
      </c>
      <c r="I298" s="13" t="e">
        <v>#REF!</v>
      </c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</row>
    <row r="299" spans="1:37" ht="19.5" customHeight="1">
      <c r="A299" s="27"/>
      <c r="B299" s="27"/>
      <c r="C299" s="27"/>
      <c r="D299" s="27"/>
      <c r="E299" s="30" t="s">
        <v>6797</v>
      </c>
      <c r="F299" s="13" t="e">
        <f>IF(ISBLANK(input_mgmt_az2_secondary_storage_vlan),"Value Missing",input_mgmt_az2_secondary_storage_vlan)</f>
        <v>#REF!</v>
      </c>
      <c r="G299" s="27"/>
      <c r="H299" s="30" t="s">
        <v>6797</v>
      </c>
      <c r="I299" s="13" t="e">
        <v>#REF!</v>
      </c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</row>
    <row r="300" spans="1:37" ht="19.5" customHeight="1">
      <c r="A300" s="27"/>
      <c r="B300" s="27"/>
      <c r="C300" s="27"/>
      <c r="D300" s="27"/>
      <c r="E300" s="30" t="s">
        <v>6802</v>
      </c>
      <c r="F300" s="13" t="e">
        <f>IF(ISBLANK(input_mgmt_az1_uplink01_vlan),"Value Missing",input_mgmt_az1_uplink01_vlan)</f>
        <v>#REF!</v>
      </c>
      <c r="G300" s="27"/>
      <c r="H300" s="30" t="s">
        <v>6800</v>
      </c>
      <c r="I300" s="13" t="e">
        <f>IF(ISBLANK(input_wld_az2_storage_cluster_vlan),"Value Missing",input_wld_az2_storage_cluster_vlan)</f>
        <v>#REF!</v>
      </c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</row>
    <row r="301" spans="1:37" ht="19.5" customHeight="1">
      <c r="A301" s="27"/>
      <c r="B301" s="27"/>
      <c r="C301" s="27"/>
      <c r="D301" s="27"/>
      <c r="E301" s="30" t="s">
        <v>6804</v>
      </c>
      <c r="F301" s="13" t="e">
        <f>IF(ISBLANK(input_mgmt_az1_uplink02_vlan),"Value Missing",input_mgmt_az1_uplink02_vlan)</f>
        <v>#REF!</v>
      </c>
      <c r="G301" s="27"/>
      <c r="H301" s="30" t="s">
        <v>6802</v>
      </c>
      <c r="I301" s="13" t="e">
        <f>IF(ISBLANK(input_wld_az1_uplink01_vlan),"Value Missing",input_wld_az1_uplink01_vlan)</f>
        <v>#REF!</v>
      </c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</row>
    <row r="302" spans="1:37" ht="19.5" customHeight="1">
      <c r="A302" s="27"/>
      <c r="B302" s="27"/>
      <c r="C302" s="27"/>
      <c r="D302" s="27"/>
      <c r="E302" s="30" t="s">
        <v>6806</v>
      </c>
      <c r="F302" s="13" t="e">
        <f>IF(ISBLANK(input_mgmt_az1_edge_overlay_vlan),"Value Missing",input_mgmt_az1_edge_overlay_vlan)</f>
        <v>#REF!</v>
      </c>
      <c r="G302" s="27"/>
      <c r="H302" s="30" t="s">
        <v>6804</v>
      </c>
      <c r="I302" s="13" t="e">
        <f>IF(ISBLANK(input_wld_az1_uplink02_vlan),"Value Missing",input_wld_az1_uplink02_vlan)</f>
        <v>#REF!</v>
      </c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</row>
    <row r="303" spans="1:37" ht="19.5" customHeight="1">
      <c r="A303" s="27"/>
      <c r="B303" s="27"/>
      <c r="C303" s="27"/>
      <c r="D303" s="27"/>
      <c r="E303" s="30" t="s">
        <v>6809</v>
      </c>
      <c r="F303" s="13" t="e">
        <f>IF(ISBLANK(input_mgmt_az1_rtep_overlay_vlan),"Value Missing",input_mgmt_az1_rtep_overlay_vlan)</f>
        <v>#REF!</v>
      </c>
      <c r="G303" s="27"/>
      <c r="H303" s="30" t="s">
        <v>6806</v>
      </c>
      <c r="I303" s="13" t="e">
        <f>IF(ISBLANK(input_wld_az1_edge_overlay_vlan),"Value Missing",input_wld_az1_edge_overlay_vlan)</f>
        <v>#REF!</v>
      </c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</row>
    <row r="304" spans="1:37" ht="19.5" customHeight="1">
      <c r="A304" s="27"/>
      <c r="B304" s="27"/>
      <c r="C304" s="27"/>
      <c r="D304" s="27"/>
      <c r="E304" s="30" t="s">
        <v>6811</v>
      </c>
      <c r="F304" s="13" t="str">
        <f>IF(ISBLANK(input_mgmt_az1_vrms_vlan),"Value Missing",input_mgmt_az1_vrms_vlan)</f>
        <v>Value Missing</v>
      </c>
      <c r="G304" s="27"/>
      <c r="H304" s="30" t="s">
        <v>6809</v>
      </c>
      <c r="I304" s="13" t="e">
        <f>IF(ISBLANK(input_wld_az1_rtep_overlay_vlan),"Value Missing",input_wld_az1_rtep_overlay_vlan)</f>
        <v>#REF!</v>
      </c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</row>
    <row r="305" spans="1:37" ht="19.5" customHeight="1">
      <c r="A305" s="27"/>
      <c r="B305" s="27"/>
      <c r="C305" s="27"/>
      <c r="D305" s="27"/>
      <c r="E305" s="7"/>
      <c r="F305" s="7"/>
      <c r="G305" s="27"/>
      <c r="H305" s="30" t="s">
        <v>6811</v>
      </c>
      <c r="I305" s="13" t="str">
        <f>IF(ISBLANK(input_wld_az1_vrms_vlan),"Value Missing",input_wld_az1_vrms_vlan)</f>
        <v>Value Missing</v>
      </c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</row>
    <row r="306" spans="1:37" ht="19.5" customHeight="1">
      <c r="A306" s="27"/>
      <c r="B306" s="27"/>
      <c r="C306" s="27"/>
      <c r="D306" s="27"/>
      <c r="E306" s="49" t="s">
        <v>7100</v>
      </c>
      <c r="F306" s="50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</row>
    <row r="307" spans="1:37" ht="19.5" customHeight="1">
      <c r="A307" s="27"/>
      <c r="B307" s="27"/>
      <c r="C307" s="27"/>
      <c r="D307" s="27"/>
      <c r="E307" s="52" t="s">
        <v>6780</v>
      </c>
      <c r="F307" s="52" t="s">
        <v>7098</v>
      </c>
      <c r="G307" s="27"/>
      <c r="H307" s="49" t="s">
        <v>7101</v>
      </c>
      <c r="I307" s="50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</row>
    <row r="308" spans="1:37" ht="19.5" customHeight="1">
      <c r="A308" s="27"/>
      <c r="B308" s="27"/>
      <c r="C308" s="27"/>
      <c r="D308" s="27"/>
      <c r="E308" s="30" t="s">
        <v>6784</v>
      </c>
      <c r="F308" s="13"/>
      <c r="G308" s="27"/>
      <c r="H308" s="52" t="s">
        <v>6780</v>
      </c>
      <c r="I308" s="52" t="s">
        <v>7102</v>
      </c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</row>
    <row r="309" spans="1:37" ht="19.5" customHeight="1">
      <c r="A309" s="27"/>
      <c r="B309" s="27"/>
      <c r="C309" s="27"/>
      <c r="D309" s="27"/>
      <c r="E309" s="30" t="s">
        <v>6787</v>
      </c>
      <c r="F309" s="13" t="e">
        <v>#REF!</v>
      </c>
      <c r="G309" s="87"/>
      <c r="H309" s="30" t="s">
        <v>6784</v>
      </c>
      <c r="I309" s="13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</row>
    <row r="310" spans="1:37" ht="19.5" customHeight="1">
      <c r="A310" s="27"/>
      <c r="B310" s="27"/>
      <c r="C310" s="27"/>
      <c r="D310" s="27"/>
      <c r="E310" s="30" t="s">
        <v>6790</v>
      </c>
      <c r="F310" s="13" t="e">
        <f>IF(OR(mgmt_az2_vmotion_network="Value Missing",mgmt_az2_vmotion_network="Value Missing"),"Value Missing",(CONCATENATE(mgmt_az2_vmotion_network,"/",VLOOKUP(mgmt_az2_vmotion_mask,table_mask_to_cidr,2,FALSE))))</f>
        <v>#REF!</v>
      </c>
      <c r="G310" s="27"/>
      <c r="H310" s="30" t="s">
        <v>6787</v>
      </c>
      <c r="I310" s="13" t="e">
        <v>#REF!</v>
      </c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</row>
    <row r="311" spans="1:37" ht="19.5" customHeight="1">
      <c r="A311" s="27"/>
      <c r="B311" s="27"/>
      <c r="C311" s="27"/>
      <c r="D311" s="27"/>
      <c r="E311" s="39" t="e">
        <f>CONCATENATE("Principal Storage Network ",wld_principal_storage_chosen)</f>
        <v>#REF!</v>
      </c>
      <c r="F311" s="13" t="e">
        <f>IF(OR(mgmt_az2_vsan_network="Value Missing",mgmt_az2_vsan_network="Value Missing"),"Value Missing",(CONCATENATE(mgmt_az2_vsan_network,"/",VLOOKUP(mgmt_az2_vsan_mask,table_mask_to_cidr,2,FALSE))))</f>
        <v>#REF!</v>
      </c>
      <c r="G311" s="27"/>
      <c r="H311" s="30" t="s">
        <v>6790</v>
      </c>
      <c r="I311" s="13" t="e">
        <f>IF(OR(ISBLANK(input_wld_az2_vmotion_network),input_wld_az2_vmotion_network="Value Missing"),"Value Missing",(CONCATENATE(input_wld_az2_vmotion_network,"/",VLOOKUP(input_wld_az2_vmotion_mask,table_mask_to_cidr,2,FALSE))))</f>
        <v>#REF!</v>
      </c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</row>
    <row r="312" spans="1:37" ht="19.5" customHeight="1">
      <c r="A312" s="27"/>
      <c r="B312" s="27"/>
      <c r="C312" s="27"/>
      <c r="D312" s="27"/>
      <c r="E312" s="30" t="s">
        <v>6795</v>
      </c>
      <c r="F312" s="13" t="e">
        <f>IF(ISBLANK(input_mgmt_az2_host_overlay_cidr),"Value Missing",input_mgmt_az2_host_overlay_cidr)</f>
        <v>#REF!</v>
      </c>
      <c r="G312" s="27"/>
      <c r="H312" s="39" t="s">
        <v>7099</v>
      </c>
      <c r="I312" s="13" t="e">
        <f>IF(OR(ISBLANK(input_wld_az2_principal_storage_network),input_wld_az2_principal_storage_network="Value Missing"),"Value Missing",(CONCATENATE(input_wld_az2_principal_storage_network,"/",VLOOKUP(input_wld_az2_principal_storage_mask,table_mask_to_cidr,2,FALSE))))</f>
        <v>#REF!</v>
      </c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</row>
    <row r="313" spans="1:37" ht="19.5" customHeight="1">
      <c r="A313" s="27"/>
      <c r="B313" s="27"/>
      <c r="C313" s="27"/>
      <c r="D313" s="27"/>
      <c r="E313" s="30" t="s">
        <v>6797</v>
      </c>
      <c r="F313" s="13" t="e">
        <f>IF(OR(mgmt_az2_secondary_storage_network="Value Missing",mgmt_az2_secondary_storage_network="Value Missing"),"Value Missing",(CONCATENATE(mgmt_az2_secondary_storage_network,"/",VLOOKUP(mgmt_az2_vmotion_mask,table_mask_to_cidr,2,FALSE))))</f>
        <v>#REF!</v>
      </c>
      <c r="G313" s="27"/>
      <c r="H313" s="30" t="s">
        <v>6795</v>
      </c>
      <c r="I313" s="13" t="e">
        <f>IF(ISBLANK(input_wld_az2_host_overlay_cidr),"Value Missing",input_wld_az2_host_overlay_cidr)</f>
        <v>#REF!</v>
      </c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</row>
    <row r="314" spans="1:37" ht="19.5" customHeight="1">
      <c r="A314" s="27"/>
      <c r="B314" s="27"/>
      <c r="C314" s="27"/>
      <c r="D314" s="27"/>
      <c r="E314" s="30" t="s">
        <v>6802</v>
      </c>
      <c r="F314" s="13" t="e">
        <f>IF(ISBLANK(input_mgmt_az1_uplink01_cidr),"Value Missing",input_mgmt_az1_uplink01_cidr)</f>
        <v>#REF!</v>
      </c>
      <c r="G314" s="27"/>
      <c r="H314" s="30" t="s">
        <v>6797</v>
      </c>
      <c r="I314" s="13" t="e">
        <f>IF(OR(wld_az2_secondary_storage_network="Value Missing",wld_az2_secondary_storage_mask="Value Missing"),"Value Missing",(CONCATENATE(wld_az2_secondary_storage_network,"/",VLOOKUP(wld_az2_secondary_storage_mask,table_mask_to_cidr,2,FALSE))))</f>
        <v>#REF!</v>
      </c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</row>
    <row r="315" spans="1:37" ht="19.5" customHeight="1">
      <c r="A315" s="27"/>
      <c r="B315" s="27"/>
      <c r="C315" s="27"/>
      <c r="D315" s="27"/>
      <c r="E315" s="30" t="s">
        <v>6804</v>
      </c>
      <c r="F315" s="13" t="e">
        <f>IF(ISBLANK(input_mgmt_az1_uplink02_cidr),"Value Missing",input_mgmt_az1_uplink02_cidr)</f>
        <v>#REF!</v>
      </c>
      <c r="G315" s="27"/>
      <c r="H315" s="30" t="s">
        <v>6800</v>
      </c>
      <c r="I315" s="13" t="e">
        <f>IF(OR(ISBLANK(wld_az2_storage_cluster_network),wld_az2_storage_cluster_mask="Value Missing"),"Value Missing",(CONCATENATE(wld_az2_storage_cluster_network,"/",VLOOKUP(wld_az2_storage_cluster_mask,table_mask_to_cidr,2,FALSE))))</f>
        <v>#REF!</v>
      </c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</row>
    <row r="316" spans="1:37" ht="19.5" customHeight="1">
      <c r="A316" s="27"/>
      <c r="B316" s="27"/>
      <c r="C316" s="27"/>
      <c r="D316" s="27"/>
      <c r="E316" s="30" t="s">
        <v>6806</v>
      </c>
      <c r="F316" s="13" t="e">
        <f>IF(ISBLANK(input_mgmt_az1_edge_overlay_cidr),"Value Missing",input_mgmt_az1_edge_overlay_cidr)</f>
        <v>#REF!</v>
      </c>
      <c r="G316" s="27"/>
      <c r="H316" s="30" t="s">
        <v>6802</v>
      </c>
      <c r="I316" s="13" t="e">
        <f>IF(ISBLANK(input_wld_az1_uplink01_cidr),"Value Missing",input_wld_az1_uplink01_cidr)</f>
        <v>#REF!</v>
      </c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</row>
    <row r="317" spans="1:37" ht="19.5" customHeight="1">
      <c r="A317" s="27"/>
      <c r="B317" s="27"/>
      <c r="C317" s="27"/>
      <c r="D317" s="27"/>
      <c r="E317" s="30" t="s">
        <v>6809</v>
      </c>
      <c r="F317" s="13" t="e">
        <f>IF(ISBLANK(input_mgmt_az1_rtep_overlay_cidr),"Value Missing",input_mgmt_az1_rtep_overlay_cidr)</f>
        <v>#REF!</v>
      </c>
      <c r="G317" s="27"/>
      <c r="H317" s="30" t="s">
        <v>6804</v>
      </c>
      <c r="I317" s="13" t="e">
        <f>IF(ISBLANK(input_wld_az1_uplink02_cidr),"Value Missing",input_wld_az1_uplink02_cidr)</f>
        <v>#REF!</v>
      </c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</row>
    <row r="318" spans="1:37" ht="19.5" customHeight="1">
      <c r="A318" s="27"/>
      <c r="B318" s="27"/>
      <c r="C318" s="27"/>
      <c r="D318" s="27"/>
      <c r="E318" s="30" t="s">
        <v>6811</v>
      </c>
      <c r="F318" s="13"/>
      <c r="G318" s="27"/>
      <c r="H318" s="30" t="s">
        <v>6806</v>
      </c>
      <c r="I318" s="13" t="e">
        <f>IF(ISBLANK(input_wld_az1_edge_overlay_cidr),"Value Missing",input_wld_az1_edge_overlay_cidr)</f>
        <v>#REF!</v>
      </c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</row>
    <row r="319" spans="1:37" ht="19.5" customHeight="1">
      <c r="A319" s="27"/>
      <c r="B319" s="27"/>
      <c r="C319" s="27"/>
      <c r="D319" s="27"/>
      <c r="E319" s="60"/>
      <c r="F319" s="60"/>
      <c r="G319" s="27"/>
      <c r="H319" s="30" t="s">
        <v>6809</v>
      </c>
      <c r="I319" s="13" t="e">
        <f>IF(ISBLANK(input_wld_az1_rtep_overlay_cidr),"Value Missing",input_wld_az1_rtep_overlay_cidr)</f>
        <v>#REF!</v>
      </c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</row>
    <row r="320" spans="1:37" ht="19.5" customHeight="1">
      <c r="A320" s="27"/>
      <c r="B320" s="27"/>
      <c r="C320" s="27"/>
      <c r="D320" s="27"/>
      <c r="E320" s="49" t="s">
        <v>7103</v>
      </c>
      <c r="F320" s="50"/>
      <c r="G320" s="27"/>
      <c r="H320" s="30" t="s">
        <v>6811</v>
      </c>
      <c r="I320" s="13" t="str">
        <f>IF(ISBLANK(input_wld_az1_vrms_cidr),"Value Missing",input_wld_az1_vrms_cidr)</f>
        <v>Value Missing</v>
      </c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</row>
    <row r="321" spans="1:37" ht="19.5" customHeight="1">
      <c r="A321" s="27"/>
      <c r="B321" s="27"/>
      <c r="C321" s="27"/>
      <c r="D321" s="27"/>
      <c r="E321" s="52" t="s">
        <v>6780</v>
      </c>
      <c r="F321" s="52" t="s">
        <v>7098</v>
      </c>
      <c r="G321" s="27"/>
      <c r="H321" s="60"/>
      <c r="I321" s="60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</row>
    <row r="322" spans="1:37" ht="19.5" customHeight="1">
      <c r="A322" s="27"/>
      <c r="B322" s="27"/>
      <c r="C322" s="27"/>
      <c r="D322" s="27"/>
      <c r="E322" s="30" t="s">
        <v>6784</v>
      </c>
      <c r="F322" s="13"/>
      <c r="G322" s="87"/>
      <c r="H322" s="49" t="s">
        <v>7104</v>
      </c>
      <c r="I322" s="50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</row>
    <row r="323" spans="1:37" ht="19.5" customHeight="1">
      <c r="A323" s="27"/>
      <c r="B323" s="27"/>
      <c r="C323" s="27"/>
      <c r="D323" s="27"/>
      <c r="E323" s="30" t="s">
        <v>6787</v>
      </c>
      <c r="F323" s="13" t="e">
        <f>IF(ISBLANK(input_mgmt_az2_mgmt_cidr),"Value Missing",LEFT(mgmt_az2_mgmt_cidr,(FIND("/",mgmt_az2_mgmt_cidr)-1)))</f>
        <v>#REF!</v>
      </c>
      <c r="G323" s="87"/>
      <c r="H323" s="52" t="s">
        <v>6780</v>
      </c>
      <c r="I323" s="52" t="s">
        <v>7102</v>
      </c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</row>
    <row r="324" spans="1:37" ht="19.5" customHeight="1">
      <c r="A324" s="27"/>
      <c r="B324" s="27"/>
      <c r="C324" s="27"/>
      <c r="D324" s="27"/>
      <c r="E324" s="30" t="s">
        <v>6790</v>
      </c>
      <c r="F324" s="13" t="e">
        <f>IF(ISBLANK(input_mgmt_az2_vmotion_network),"Value Missing",input_mgmt_az2_vmotion_network)</f>
        <v>#REF!</v>
      </c>
      <c r="G324" s="27"/>
      <c r="H324" s="30" t="s">
        <v>6784</v>
      </c>
      <c r="I324" s="13" t="s">
        <v>6450</v>
      </c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</row>
    <row r="325" spans="1:37" ht="19.5" customHeight="1">
      <c r="A325" s="27"/>
      <c r="B325" s="27"/>
      <c r="C325" s="27"/>
      <c r="D325" s="27"/>
      <c r="E325" s="39" t="e">
        <f>CONCATENATE("Principal Storage Network ",wld_principal_storage_chosen)</f>
        <v>#REF!</v>
      </c>
      <c r="F325" s="13" t="e">
        <f>IF(ISBLANK(input_mgmt_az2_vsan_network),"Value Missing",input_mgmt_az2_vsan_network)</f>
        <v>#REF!</v>
      </c>
      <c r="G325" s="27"/>
      <c r="H325" s="30" t="s">
        <v>6787</v>
      </c>
      <c r="I325" s="13" t="e">
        <f>IF(OR(ISBLANK(wld_az2_mgmt_cidr),wld_az2_mgmt_cidr="Value Missing"),"Value Missing",LEFT(wld_az2_mgmt_cidr,(FIND("/",wld_az2_mgmt_cidr)-1)))</f>
        <v>#REF!</v>
      </c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</row>
    <row r="326" spans="1:37" ht="19.5" customHeight="1">
      <c r="A326" s="27"/>
      <c r="B326" s="27"/>
      <c r="C326" s="27"/>
      <c r="D326" s="27"/>
      <c r="E326" s="30" t="s">
        <v>6795</v>
      </c>
      <c r="F326" s="13" t="e">
        <f>IF(OR(ISBLANK(mgmt_az2_host_overlay_cidr),mgmt_az2_host_overlay_cidr="Value Missing"),"Value Missing",LEFT(mgmt_az2_host_overlay_cidr,(FIND("/",mgmt_az2_host_overlay_cidr)-1)))</f>
        <v>#REF!</v>
      </c>
      <c r="G326" s="27"/>
      <c r="H326" s="30" t="s">
        <v>6790</v>
      </c>
      <c r="I326" s="13" t="e">
        <f>IF(ISBLANK(input_wld_az2_vmotion_network),"Value Missing",input_wld_az2_vmotion_network)</f>
        <v>#REF!</v>
      </c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</row>
    <row r="327" spans="1:37" ht="19.5" customHeight="1">
      <c r="A327" s="27"/>
      <c r="B327" s="27"/>
      <c r="C327" s="27"/>
      <c r="D327" s="27"/>
      <c r="E327" s="30" t="s">
        <v>6797</v>
      </c>
      <c r="F327" s="13" t="e">
        <f>IF(ISBLANK(input_mgmt_az2_secondary_storage_network),"Value Missing",input_mgmt_az2_secondary_storage_network)</f>
        <v>#REF!</v>
      </c>
      <c r="G327" s="27"/>
      <c r="H327" s="39" t="s">
        <v>7099</v>
      </c>
      <c r="I327" s="13" t="e">
        <f>IF(ISBLANK(input_wld_az2_principal_storage_network),"Value Missing",input_wld_az2_principal_storage_network)</f>
        <v>#REF!</v>
      </c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</row>
    <row r="328" spans="1:37" ht="19.5" customHeight="1">
      <c r="A328" s="27"/>
      <c r="B328" s="27"/>
      <c r="C328" s="27"/>
      <c r="D328" s="27"/>
      <c r="E328" s="30" t="s">
        <v>6802</v>
      </c>
      <c r="F328" s="13" t="e">
        <f>IF(mgmt_az1_uplink01_cidr="Value Missing",mgmt_az1_uplink01_cidr,LEFT(mgmt_az1_uplink01_cidr,(FIND("/",mgmt_az1_uplink01_cidr)-1)))</f>
        <v>#REF!</v>
      </c>
      <c r="G328" s="27"/>
      <c r="H328" s="30" t="s">
        <v>6795</v>
      </c>
      <c r="I328" s="13" t="e">
        <f>IF(OR(ISBLANK(wld_az2_host_overlay_cidr),wld_az2_host_overlay_cidr="Value Missing"),"Value Missing",LEFT(wld_az2_host_overlay_cidr,(FIND("/",wld_az2_host_overlay_cidr)-1)))</f>
        <v>#REF!</v>
      </c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</row>
    <row r="329" spans="1:37" ht="19.5" customHeight="1">
      <c r="A329" s="27"/>
      <c r="B329" s="27"/>
      <c r="C329" s="27"/>
      <c r="D329" s="27"/>
      <c r="E329" s="30" t="s">
        <v>6804</v>
      </c>
      <c r="F329" s="13" t="e">
        <f>IF(mgmt_az1_uplink02_cidr="Value Missing",mgmt_az1_uplink02_cidr,LEFT(mgmt_az1_uplink02_cidr,(FIND("/",mgmt_az1_uplink02_cidr)-1)))</f>
        <v>#REF!</v>
      </c>
      <c r="G329" s="27"/>
      <c r="H329" s="30" t="s">
        <v>6797</v>
      </c>
      <c r="I329" s="7" t="e">
        <f>input_wld_az2_secondary_storage_network</f>
        <v>#REF!</v>
      </c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</row>
    <row r="330" spans="1:37" ht="19.5" customHeight="1">
      <c r="A330" s="27"/>
      <c r="B330" s="27"/>
      <c r="C330" s="27"/>
      <c r="D330" s="27"/>
      <c r="E330" s="30" t="s">
        <v>6806</v>
      </c>
      <c r="F330" s="13" t="e">
        <f>IF(mgmt_az1_edge_overlay_cidr="Value Missing",mgmt_az1_edge_overlay_cidr,(LEFT(mgmt_az1_edge_overlay_cidr,(FIND("/",mgmt_az1_edge_overlay_cidr)-1))))</f>
        <v>#REF!</v>
      </c>
      <c r="G330" s="27"/>
      <c r="H330" s="30" t="s">
        <v>6800</v>
      </c>
      <c r="I330" s="7" t="e">
        <f>IF(ISBLANK(input_wld_az2_storage_cluster_network),"Value Missing",input_wld_az2_storage_cluster_network)</f>
        <v>#REF!</v>
      </c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</row>
    <row r="331" spans="1:37" ht="19.5" customHeight="1">
      <c r="A331" s="27"/>
      <c r="B331" s="27"/>
      <c r="C331" s="27"/>
      <c r="D331" s="27"/>
      <c r="E331" s="30" t="s">
        <v>6809</v>
      </c>
      <c r="F331" s="13" t="e">
        <f>mgmt_az1_rtep_overlay_cidr</f>
        <v>#REF!</v>
      </c>
      <c r="G331" s="27"/>
      <c r="H331" s="30" t="s">
        <v>6802</v>
      </c>
      <c r="I331" s="13" t="e">
        <f>wld_az1_uplink01_network</f>
        <v>#REF!</v>
      </c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</row>
    <row r="332" spans="1:37" ht="19.5" customHeight="1">
      <c r="A332" s="27"/>
      <c r="B332" s="27"/>
      <c r="C332" s="27"/>
      <c r="D332" s="27"/>
      <c r="E332" s="30" t="s">
        <v>6811</v>
      </c>
      <c r="F332" s="13"/>
      <c r="G332" s="27"/>
      <c r="H332" s="30" t="s">
        <v>6804</v>
      </c>
      <c r="I332" s="13" t="e">
        <f>wld_az1_uplink02_network</f>
        <v>#REF!</v>
      </c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</row>
    <row r="333" spans="1:37" ht="19.5" customHeight="1">
      <c r="A333" s="27"/>
      <c r="B333" s="27"/>
      <c r="C333" s="27"/>
      <c r="D333" s="27"/>
      <c r="E333" s="7"/>
      <c r="F333" s="7"/>
      <c r="G333" s="27"/>
      <c r="H333" s="30" t="s">
        <v>6806</v>
      </c>
      <c r="I333" s="13" t="e">
        <f>wld_az1_edge_overlay_network</f>
        <v>#REF!</v>
      </c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</row>
    <row r="334" spans="1:37" ht="19.5" customHeight="1">
      <c r="A334" s="27"/>
      <c r="B334" s="27"/>
      <c r="C334" s="27"/>
      <c r="D334" s="27"/>
      <c r="E334" s="49" t="s">
        <v>7105</v>
      </c>
      <c r="F334" s="50"/>
      <c r="G334" s="27"/>
      <c r="H334" s="30" t="s">
        <v>6809</v>
      </c>
      <c r="I334" s="13" t="e">
        <f>IF(ISBLANK(input_wld_az1_rtep_overlay_cidr),"Value Missing",input_wld_az1_rtep_overlay_cidr)</f>
        <v>#REF!</v>
      </c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</row>
    <row r="335" spans="1:37" ht="19.5" customHeight="1">
      <c r="A335" s="27"/>
      <c r="B335" s="27"/>
      <c r="C335" s="27"/>
      <c r="D335" s="27"/>
      <c r="E335" s="52" t="s">
        <v>6780</v>
      </c>
      <c r="F335" s="52" t="s">
        <v>7098</v>
      </c>
      <c r="G335" s="27"/>
      <c r="H335" s="30" t="s">
        <v>6811</v>
      </c>
      <c r="I335" s="13" t="str">
        <f>IF(ISBLANK(input_wld_az1_vrms_cidr),"Value Missing",input_wld_az1_vrms_cidr)</f>
        <v>Value Missing</v>
      </c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</row>
    <row r="336" spans="1:37" ht="19.5" customHeight="1">
      <c r="A336" s="27"/>
      <c r="B336" s="27"/>
      <c r="C336" s="27"/>
      <c r="D336" s="27"/>
      <c r="E336" s="30" t="s">
        <v>6784</v>
      </c>
      <c r="F336" s="13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</row>
    <row r="337" spans="1:37" ht="19.5" customHeight="1">
      <c r="A337" s="27"/>
      <c r="B337" s="27"/>
      <c r="C337" s="27"/>
      <c r="D337" s="27"/>
      <c r="E337" s="30" t="s">
        <v>6787</v>
      </c>
      <c r="F337" s="13" t="e">
        <f>IF(mgmt_az2_mgmt_cidr="Value Missing","Value Missing",VLOOKUP(INT(RIGHT(mgmt_az2_mgmt_cidr,LEN(mgmt_az2_mgmt_cidr)-FIND("/",mgmt_az2_mgmt_cidr))),table_cidr_to_mask,2,FALSE))</f>
        <v>#REF!</v>
      </c>
      <c r="G337" s="87"/>
      <c r="H337" s="49" t="s">
        <v>7106</v>
      </c>
      <c r="I337" s="50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</row>
    <row r="338" spans="1:37" ht="19.5" customHeight="1">
      <c r="A338" s="27"/>
      <c r="B338" s="27"/>
      <c r="C338" s="27"/>
      <c r="D338" s="27"/>
      <c r="E338" s="30" t="s">
        <v>6790</v>
      </c>
      <c r="F338" s="13" t="e">
        <f>IF(ISBLANK(input_mgmt_az2_vmotion_mask),"Value Missing",input_mgmt_az2_vmotion_mask)</f>
        <v>#REF!</v>
      </c>
      <c r="G338" s="27"/>
      <c r="H338" s="52" t="s">
        <v>6780</v>
      </c>
      <c r="I338" s="52" t="s">
        <v>7102</v>
      </c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</row>
    <row r="339" spans="1:37" ht="19.5" customHeight="1">
      <c r="A339" s="27"/>
      <c r="B339" s="27"/>
      <c r="C339" s="27"/>
      <c r="D339" s="27"/>
      <c r="E339" s="39" t="e">
        <f>CONCATENATE("Principal Storage Network ",wld_principal_storage_chosen)</f>
        <v>#REF!</v>
      </c>
      <c r="F339" s="13" t="e">
        <f>IF(ISBLANK(input_mgmt_az2_vsan_mask),"Value Missing",input_mgmt_az2_vsan_mask)</f>
        <v>#REF!</v>
      </c>
      <c r="G339" s="27"/>
      <c r="H339" s="30" t="s">
        <v>6784</v>
      </c>
      <c r="I339" s="13" t="s">
        <v>6450</v>
      </c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</row>
    <row r="340" spans="1:37" ht="19.5" customHeight="1">
      <c r="A340" s="27"/>
      <c r="B340" s="27"/>
      <c r="C340" s="27"/>
      <c r="D340" s="27"/>
      <c r="E340" s="30" t="s">
        <v>6795</v>
      </c>
      <c r="F340" s="13" t="e">
        <f>IF(mgmt_az2_host_overlay_cidr="Value Missing","Value Missing",(VLOOKUP(INT(RIGHT(mgmt_az2_host_overlay_cidr,LEN(mgmt_az2_host_overlay_cidr)-FIND("/",mgmt_az2_host_overlay_cidr))),table_cidr_to_mask,2,FALSE)))</f>
        <v>#REF!</v>
      </c>
      <c r="G340" s="27"/>
      <c r="H340" s="30" t="s">
        <v>6787</v>
      </c>
      <c r="I340" s="13" t="e">
        <f>IF(wld_az2_mgmt_cidr="Value Missing","Value Missing",VLOOKUP(INT(RIGHT(wld_az2_mgmt_cidr,LEN(wld_az2_mgmt_cidr)-FIND("/",wld_az2_mgmt_cidr))),table_cidr_to_mask,2,FALSE))</f>
        <v>#REF!</v>
      </c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</row>
    <row r="341" spans="1:37" ht="19.5" customHeight="1">
      <c r="A341" s="27"/>
      <c r="B341" s="27"/>
      <c r="C341" s="27"/>
      <c r="D341" s="27"/>
      <c r="E341" s="30" t="s">
        <v>6797</v>
      </c>
      <c r="F341" s="13" t="e">
        <f>IF(ISBLANK(input_mgmt_az2_secondary_storage_mask),"Value Missing",input_mgmt_az2_secondary_storage_mask)</f>
        <v>#REF!</v>
      </c>
      <c r="G341" s="27"/>
      <c r="H341" s="30" t="s">
        <v>6790</v>
      </c>
      <c r="I341" s="13" t="e">
        <f>IF(ISBLANK(input_wld_az2_vmotion_mask),"Value Missing",input_wld_az2_vmotion_mask)</f>
        <v>#REF!</v>
      </c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</row>
    <row r="342" spans="1:37" ht="19.5" customHeight="1">
      <c r="A342" s="27"/>
      <c r="B342" s="27"/>
      <c r="C342" s="27"/>
      <c r="D342" s="27"/>
      <c r="E342" s="30" t="s">
        <v>6802</v>
      </c>
      <c r="F342" s="13" t="e">
        <f>mgmt_az1_uplink01_mask</f>
        <v>#REF!</v>
      </c>
      <c r="G342" s="27"/>
      <c r="H342" s="39" t="s">
        <v>7099</v>
      </c>
      <c r="I342" s="13" t="e">
        <f>IF(ISBLANK(input_wld_az2_principal_storage_mask),"Value Missing",input_wld_az2_principal_storage_mask)</f>
        <v>#REF!</v>
      </c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</row>
    <row r="343" spans="1:37" ht="19.5" customHeight="1">
      <c r="A343" s="27"/>
      <c r="B343" s="27"/>
      <c r="C343" s="27"/>
      <c r="D343" s="27"/>
      <c r="E343" s="30" t="s">
        <v>6804</v>
      </c>
      <c r="F343" s="13" t="e">
        <f>mgmt_az1_uplink02_mask</f>
        <v>#REF!</v>
      </c>
      <c r="G343" s="27"/>
      <c r="H343" s="30" t="s">
        <v>6795</v>
      </c>
      <c r="I343" s="13" t="e">
        <f>IF(wld_az2_host_overlay_cidr="Value Missing","Value Missing",(VLOOKUP(INT(RIGHT(wld_az2_host_overlay_cidr,LEN(wld_az2_host_overlay_cidr)-FIND("/",wld_az2_host_overlay_cidr))),table_cidr_to_mask,2,FALSE)))</f>
        <v>#REF!</v>
      </c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</row>
    <row r="344" spans="1:37" ht="19.5" customHeight="1">
      <c r="A344" s="27"/>
      <c r="B344" s="27"/>
      <c r="C344" s="27"/>
      <c r="D344" s="27"/>
      <c r="E344" s="30" t="s">
        <v>6806</v>
      </c>
      <c r="F344" s="13" t="e">
        <f>mgmt_az1_edge_overlay_mask</f>
        <v>#REF!</v>
      </c>
      <c r="G344" s="27"/>
      <c r="H344" s="30" t="s">
        <v>6797</v>
      </c>
      <c r="I344" s="7" t="e">
        <f>input_wld_az2_secondary_storage_mask</f>
        <v>#REF!</v>
      </c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</row>
    <row r="345" spans="1:37" ht="19.5" customHeight="1">
      <c r="A345" s="27"/>
      <c r="B345" s="27"/>
      <c r="C345" s="27"/>
      <c r="D345" s="27"/>
      <c r="E345" s="30" t="s">
        <v>6809</v>
      </c>
      <c r="F345" s="13"/>
      <c r="G345" s="27"/>
      <c r="H345" s="30" t="s">
        <v>6800</v>
      </c>
      <c r="I345" s="7" t="e">
        <f>IF(ISBLANK(input_wld_az2_storage_cluster_mask),"Value Missing",input_wld_az2_storage_cluster_mask)</f>
        <v>#REF!</v>
      </c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</row>
    <row r="346" spans="1:37" ht="19.5" customHeight="1">
      <c r="A346" s="27"/>
      <c r="B346" s="27"/>
      <c r="C346" s="27"/>
      <c r="D346" s="27"/>
      <c r="E346" s="30" t="s">
        <v>6811</v>
      </c>
      <c r="F346" s="13" t="e">
        <f>IF(mgmt_az2_mgmt_cidr="Value Missing","Value Missing",VLOOKUP(INT(RIGHT(mgmt_az2_mgmt_cidr,LEN(mgmt_az2_mgmt_cidr)-FIND("/",mgmt_az2_mgmt_cidr))),table_cidr_to_mask,2,FALSE))</f>
        <v>#REF!</v>
      </c>
      <c r="G346" s="27"/>
      <c r="H346" s="30" t="s">
        <v>6802</v>
      </c>
      <c r="I346" s="13" t="e">
        <f>wld_az1_uplink01_mask</f>
        <v>#REF!</v>
      </c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</row>
    <row r="347" spans="1:37" ht="19.5" customHeight="1">
      <c r="A347" s="27"/>
      <c r="B347" s="27"/>
      <c r="C347" s="27"/>
      <c r="D347" s="27"/>
      <c r="E347" s="7"/>
      <c r="F347" s="7"/>
      <c r="G347" s="27"/>
      <c r="H347" s="30" t="s">
        <v>6804</v>
      </c>
      <c r="I347" s="13" t="e">
        <f>wld_az1_uplink02_mask</f>
        <v>#REF!</v>
      </c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</row>
    <row r="348" spans="1:37" ht="19.5" customHeight="1">
      <c r="A348" s="27"/>
      <c r="B348" s="27"/>
      <c r="C348" s="27"/>
      <c r="D348" s="27"/>
      <c r="E348" s="49" t="s">
        <v>7107</v>
      </c>
      <c r="F348" s="50"/>
      <c r="G348" s="27"/>
      <c r="H348" s="30" t="s">
        <v>6806</v>
      </c>
      <c r="I348" s="13" t="e">
        <f>wld_az1_edge_overlay_mask</f>
        <v>#REF!</v>
      </c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</row>
    <row r="349" spans="1:37" ht="19.5" customHeight="1">
      <c r="A349" s="27"/>
      <c r="B349" s="27"/>
      <c r="C349" s="27"/>
      <c r="D349" s="27"/>
      <c r="E349" s="52" t="s">
        <v>6780</v>
      </c>
      <c r="F349" s="52" t="s">
        <v>7098</v>
      </c>
      <c r="G349" s="27"/>
      <c r="H349" s="30" t="s">
        <v>6809</v>
      </c>
      <c r="I349" s="13" t="e">
        <f>IF(ISBLANK(input_wld_az1_rtep_overlay_cidr),"Value Missing",input_wld_az1_rtep_overlay_cidr)</f>
        <v>#REF!</v>
      </c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</row>
    <row r="350" spans="1:37" ht="19.5" customHeight="1">
      <c r="A350" s="27"/>
      <c r="B350" s="27"/>
      <c r="C350" s="27"/>
      <c r="D350" s="27"/>
      <c r="E350" s="30" t="s">
        <v>6784</v>
      </c>
      <c r="F350" s="13"/>
      <c r="G350" s="27"/>
      <c r="H350" s="30" t="s">
        <v>6811</v>
      </c>
      <c r="I350" s="13" t="str">
        <f>IF(ISBLANK(input_wld_az1_vrms_cidr),"Value Missing",input_wld_az1_vrms_cidr)</f>
        <v>Value Missing</v>
      </c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</row>
    <row r="351" spans="1:37" ht="19.5" customHeight="1">
      <c r="A351" s="27"/>
      <c r="B351" s="27"/>
      <c r="C351" s="27"/>
      <c r="D351" s="27"/>
      <c r="E351" s="30" t="s">
        <v>6787</v>
      </c>
      <c r="F351" s="13" t="e">
        <v>#REF!</v>
      </c>
      <c r="G351" s="8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</row>
    <row r="352" spans="1:37" ht="19.5" customHeight="1">
      <c r="A352" s="27"/>
      <c r="B352" s="27"/>
      <c r="C352" s="27"/>
      <c r="D352" s="27"/>
      <c r="E352" s="30" t="s">
        <v>6790</v>
      </c>
      <c r="F352" s="13" t="e">
        <v>#REF!</v>
      </c>
      <c r="G352" s="27"/>
      <c r="H352" s="49" t="s">
        <v>7108</v>
      </c>
      <c r="I352" s="50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</row>
    <row r="353" spans="1:37" ht="19.5" customHeight="1">
      <c r="A353" s="27"/>
      <c r="B353" s="27"/>
      <c r="C353" s="27"/>
      <c r="D353" s="27"/>
      <c r="E353" s="39" t="e">
        <f>CONCATENATE("Principal Storage Network ",wld_principal_storage_chosen)</f>
        <v>#REF!</v>
      </c>
      <c r="F353" s="13" t="e">
        <v>#REF!</v>
      </c>
      <c r="G353" s="27"/>
      <c r="H353" s="52" t="s">
        <v>6780</v>
      </c>
      <c r="I353" s="52" t="s">
        <v>7102</v>
      </c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</row>
    <row r="354" spans="1:37" ht="19.5" customHeight="1">
      <c r="A354" s="27"/>
      <c r="B354" s="7"/>
      <c r="C354" s="7"/>
      <c r="D354" s="27"/>
      <c r="E354" s="30" t="s">
        <v>6795</v>
      </c>
      <c r="F354" s="13" t="e">
        <v>#REF!</v>
      </c>
      <c r="G354" s="27"/>
      <c r="H354" s="30" t="s">
        <v>6784</v>
      </c>
      <c r="I354" s="13" t="s">
        <v>6450</v>
      </c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</row>
    <row r="355" spans="1:37" ht="19.5" customHeight="1">
      <c r="A355" s="27"/>
      <c r="B355" s="7"/>
      <c r="C355" s="7"/>
      <c r="D355" s="27"/>
      <c r="E355" s="30" t="s">
        <v>6797</v>
      </c>
      <c r="F355" s="13" t="e">
        <f>IF(ISBLANK(input_mgmt_az2_secondary_storage_gateway_ip),"Value Missing",input_mgmt_az2_secondary_storage_gateway_ip)</f>
        <v>#REF!</v>
      </c>
      <c r="G355" s="27"/>
      <c r="H355" s="30" t="s">
        <v>6787</v>
      </c>
      <c r="I355" s="13" t="e">
        <v>#REF!</v>
      </c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</row>
    <row r="356" spans="1:37" ht="19.5" customHeight="1">
      <c r="A356" s="27"/>
      <c r="B356" s="7"/>
      <c r="C356" s="7"/>
      <c r="D356" s="27"/>
      <c r="E356" s="30" t="s">
        <v>6802</v>
      </c>
      <c r="F356" s="13" t="e">
        <f>IF(ISBLANK(mgmt_az1_uplink01_gateway_ip),"Value Missing",mgmt_az1_uplink01_gateway_ip)</f>
        <v>#REF!</v>
      </c>
      <c r="G356" s="27"/>
      <c r="H356" s="30" t="s">
        <v>6790</v>
      </c>
      <c r="I356" s="13" t="e">
        <f>IF(ISBLANK(input_wld_az2_vmotion_gateway_ip),"Value Missing",input_wld_az2_vmotion_gateway_ip)</f>
        <v>#REF!</v>
      </c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</row>
    <row r="357" spans="1:37" ht="19.5" customHeight="1">
      <c r="A357" s="27"/>
      <c r="B357" s="7"/>
      <c r="C357" s="7"/>
      <c r="D357" s="27"/>
      <c r="E357" s="30" t="s">
        <v>6804</v>
      </c>
      <c r="F357" s="13" t="e">
        <f>IF(ISBLANK(input_mgmt_az1_uplink02_gateway_ip),"Value Missing",mgmt_az1_uplink02_gateway_ip)</f>
        <v>#REF!</v>
      </c>
      <c r="G357" s="27"/>
      <c r="H357" s="39" t="s">
        <v>7099</v>
      </c>
      <c r="I357" s="13" t="e">
        <f>IF(ISBLANK(input_wld_az2_principal_storage_gateway_ip),"Value Missing",input_wld_az2_principal_storage_gateway_ip)</f>
        <v>#REF!</v>
      </c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</row>
    <row r="358" spans="1:37" ht="19.5" customHeight="1">
      <c r="A358" s="27"/>
      <c r="B358" s="7"/>
      <c r="C358" s="7"/>
      <c r="D358" s="27"/>
      <c r="E358" s="30" t="s">
        <v>6806</v>
      </c>
      <c r="F358" s="13" t="e">
        <f>IF(ISBLANK(input_mgmt_az1_edge_overlay_gateway_ip),"Value Missing",input_mgmt_az1_edge_overlay_gateway_ip)</f>
        <v>#REF!</v>
      </c>
      <c r="G358" s="27"/>
      <c r="H358" s="30" t="s">
        <v>6795</v>
      </c>
      <c r="I358" s="13" t="e">
        <f>IF(ISBLANK(input_wld_az2_host_overlay_gateway_ip),"Value Missing",input_wld_az2_host_overlay_gateway_ip)</f>
        <v>#REF!</v>
      </c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</row>
    <row r="359" spans="1:37" ht="19.5" customHeight="1">
      <c r="A359" s="27"/>
      <c r="B359" s="7"/>
      <c r="C359" s="7"/>
      <c r="D359" s="27"/>
      <c r="E359" s="30" t="s">
        <v>6809</v>
      </c>
      <c r="F359" s="13" t="e">
        <f>IF(ISBLANK(input_mgmt_az1_rtep_overlay_gateway_ip),"Value Missing",input_mgmt_az1_rtep_overlay_gateway_ip)</f>
        <v>#REF!</v>
      </c>
      <c r="G359" s="27"/>
      <c r="H359" s="30" t="s">
        <v>6797</v>
      </c>
      <c r="I359" s="13" t="e">
        <f>IF(ISBLANK(input_wld_az2_secondary_storage_gateway_ip),"Value Missing",input_wld_az2_secondary_storage_gateway_ip)</f>
        <v>#REF!</v>
      </c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</row>
    <row r="360" spans="1:37" ht="19.5" customHeight="1">
      <c r="A360" s="27"/>
      <c r="B360" s="7"/>
      <c r="C360" s="7"/>
      <c r="D360" s="27"/>
      <c r="E360" s="30" t="s">
        <v>6811</v>
      </c>
      <c r="F360" s="13"/>
      <c r="G360" s="27"/>
      <c r="H360" s="30" t="s">
        <v>6800</v>
      </c>
      <c r="I360" s="13" t="e">
        <f>IF(ISBLANK(input_wld_az2_storage_cluster_gateway_ip),"Value Missing",input_wld_az2_storage_cluster_gateway_ip)</f>
        <v>#REF!</v>
      </c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</row>
    <row r="361" spans="1:37" ht="19.5" customHeight="1">
      <c r="A361" s="27"/>
      <c r="B361" s="7"/>
      <c r="C361" s="7"/>
      <c r="D361" s="27"/>
      <c r="E361" s="7"/>
      <c r="F361" s="7"/>
      <c r="G361" s="87"/>
      <c r="H361" s="30" t="s">
        <v>6802</v>
      </c>
      <c r="I361" s="13" t="e">
        <f>wld_az1_uplink01_gateway_ip</f>
        <v>#REF!</v>
      </c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</row>
    <row r="362" spans="1:37" ht="19.5" customHeight="1">
      <c r="A362" s="27"/>
      <c r="B362" s="7"/>
      <c r="C362" s="7"/>
      <c r="D362" s="27"/>
      <c r="E362" s="49" t="s">
        <v>7109</v>
      </c>
      <c r="F362" s="50"/>
      <c r="G362" s="27"/>
      <c r="H362" s="30" t="s">
        <v>6804</v>
      </c>
      <c r="I362" s="13" t="e">
        <f>wld_az1_uplink02_gateway_ip</f>
        <v>#REF!</v>
      </c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</row>
    <row r="363" spans="1:37" ht="19.5" customHeight="1">
      <c r="A363" s="27"/>
      <c r="B363" s="7"/>
      <c r="C363" s="7"/>
      <c r="D363" s="27"/>
      <c r="E363" s="52" t="s">
        <v>6780</v>
      </c>
      <c r="F363" s="52" t="s">
        <v>7098</v>
      </c>
      <c r="G363" s="27"/>
      <c r="H363" s="30" t="s">
        <v>6806</v>
      </c>
      <c r="I363" s="13" t="e">
        <f>wld_az1_edge_overlay_gateway_ip</f>
        <v>#REF!</v>
      </c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</row>
    <row r="364" spans="1:37" ht="19.5" customHeight="1">
      <c r="A364" s="27"/>
      <c r="B364" s="7"/>
      <c r="C364" s="7"/>
      <c r="D364" s="27"/>
      <c r="E364" s="30" t="s">
        <v>6784</v>
      </c>
      <c r="F364" s="13"/>
      <c r="G364" s="27"/>
      <c r="H364" s="30" t="s">
        <v>6809</v>
      </c>
      <c r="I364" s="13" t="e">
        <f>wld_az1_rtep_overlay_gateway_ip</f>
        <v>#REF!</v>
      </c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</row>
    <row r="365" spans="1:37" ht="19.5" customHeight="1">
      <c r="A365" s="27"/>
      <c r="B365" s="7"/>
      <c r="C365" s="7"/>
      <c r="D365" s="27"/>
      <c r="E365" s="30" t="s">
        <v>6787</v>
      </c>
      <c r="F365" s="13" t="e">
        <v>#REF!</v>
      </c>
      <c r="G365" s="27"/>
      <c r="H365" s="30" t="s">
        <v>6811</v>
      </c>
      <c r="I365" s="13" t="str">
        <f>wld_az1_vrms_gateway_ip</f>
        <v>Value Missing</v>
      </c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</row>
    <row r="366" spans="1:37" ht="19.5" customHeight="1">
      <c r="A366" s="27"/>
      <c r="B366" s="7"/>
      <c r="C366" s="7"/>
      <c r="D366" s="27"/>
      <c r="E366" s="30" t="s">
        <v>6790</v>
      </c>
      <c r="F366" s="13" t="e">
        <v>#REF!</v>
      </c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</row>
    <row r="367" spans="1:37" ht="19.5" customHeight="1">
      <c r="A367" s="27"/>
      <c r="B367" s="7"/>
      <c r="C367" s="7"/>
      <c r="D367" s="27"/>
      <c r="E367" s="39" t="e">
        <f>CONCATENATE("Principal Storage Network ",wld_principal_storage_chosen)</f>
        <v>#REF!</v>
      </c>
      <c r="F367" s="13" t="e">
        <v>#REF!</v>
      </c>
      <c r="G367" s="27"/>
      <c r="H367" s="49" t="s">
        <v>7110</v>
      </c>
      <c r="I367" s="50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</row>
    <row r="368" spans="1:37" ht="19.5" customHeight="1">
      <c r="A368" s="7"/>
      <c r="B368" s="7"/>
      <c r="C368" s="7"/>
      <c r="D368" s="7"/>
      <c r="E368" s="30" t="s">
        <v>6795</v>
      </c>
      <c r="F368" s="13" t="e">
        <f>IF(ISBLANK(input_mgmt_az2_host_overlay_mtu),"Value Missing",input_mgmt_az2_host_overlay_mtu)</f>
        <v>#REF!</v>
      </c>
      <c r="G368" s="27"/>
      <c r="H368" s="52" t="s">
        <v>6780</v>
      </c>
      <c r="I368" s="52" t="s">
        <v>7102</v>
      </c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</row>
    <row r="369" spans="1:37" ht="19.5" customHeight="1">
      <c r="A369" s="7"/>
      <c r="B369" s="7"/>
      <c r="C369" s="7"/>
      <c r="D369" s="7"/>
      <c r="E369" s="30" t="s">
        <v>6797</v>
      </c>
      <c r="F369" s="13" t="e">
        <f>IF(ISBLANK(input_mgmt_az2_secondary_storage_mtu),"Value Missing",input_mgmt_az2_secondary_storage_mtu)</f>
        <v>#REF!</v>
      </c>
      <c r="G369" s="27"/>
      <c r="H369" s="30" t="s">
        <v>6784</v>
      </c>
      <c r="I369" s="13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</row>
    <row r="370" spans="1:37" ht="19.5" customHeight="1">
      <c r="A370" s="7"/>
      <c r="B370" s="7"/>
      <c r="C370" s="7"/>
      <c r="D370" s="7"/>
      <c r="E370" s="30" t="s">
        <v>6802</v>
      </c>
      <c r="F370" s="13" t="e">
        <f>IF(ISBLANK(input_mgmt_az1_uplink01_mtu),"Value Missing",input_mgmt_az1_uplink01_mtu)</f>
        <v>#REF!</v>
      </c>
      <c r="G370" s="27"/>
      <c r="H370" s="30" t="s">
        <v>6787</v>
      </c>
      <c r="I370" s="13" t="e">
        <v>#REF!</v>
      </c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</row>
    <row r="371" spans="1:37" ht="19.5" customHeight="1">
      <c r="A371" s="7"/>
      <c r="B371" s="7"/>
      <c r="C371" s="7"/>
      <c r="D371" s="7"/>
      <c r="E371" s="30" t="s">
        <v>6804</v>
      </c>
      <c r="F371" s="13" t="e">
        <f>IF(ISBLANK(input_mgmt_az1_uplink02_mtu),"Value Missing",input_mgmt_az1_uplink02_mtu)</f>
        <v>#REF!</v>
      </c>
      <c r="G371" s="27"/>
      <c r="H371" s="30" t="s">
        <v>6790</v>
      </c>
      <c r="I371" s="13" t="e">
        <f>IF(ISBLANK(input_wld_az2_vmotion_mtu),"Value Missing",input_wld_az2_vmotion_mtu)</f>
        <v>#REF!</v>
      </c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</row>
    <row r="372" spans="1:37" ht="19.5" customHeight="1">
      <c r="A372" s="7"/>
      <c r="B372" s="7"/>
      <c r="C372" s="7"/>
      <c r="D372" s="7"/>
      <c r="E372" s="30" t="s">
        <v>6806</v>
      </c>
      <c r="F372" s="13" t="s">
        <v>6450</v>
      </c>
      <c r="G372" s="27"/>
      <c r="H372" s="39" t="s">
        <v>7099</v>
      </c>
      <c r="I372" s="13" t="e">
        <f>IF(ISBLANK(input_wld_az2_principal_storage_mtu),"Value Missing",input_wld_az2_principal_storage_mtu)</f>
        <v>#REF!</v>
      </c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</row>
    <row r="373" spans="1:37" ht="19.5" customHeight="1">
      <c r="A373" s="7"/>
      <c r="B373" s="7"/>
      <c r="C373" s="7"/>
      <c r="D373" s="7"/>
      <c r="E373" s="30" t="s">
        <v>6809</v>
      </c>
      <c r="F373" s="13"/>
      <c r="G373" s="27"/>
      <c r="H373" s="30" t="s">
        <v>6795</v>
      </c>
      <c r="I373" s="13" t="e">
        <f>IF(ISBLANK(input_wld_az2_host_overlay_mtu),"Value Missing",input_wld_az2_host_overlay_mtu)</f>
        <v>#REF!</v>
      </c>
      <c r="J373" s="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</row>
    <row r="374" spans="1:37" ht="19.5" customHeight="1">
      <c r="A374" s="7"/>
      <c r="B374" s="7"/>
      <c r="C374" s="7"/>
      <c r="D374" s="7"/>
      <c r="E374" s="30" t="s">
        <v>6811</v>
      </c>
      <c r="F374" s="13"/>
      <c r="G374" s="87"/>
      <c r="H374" s="30" t="s">
        <v>6797</v>
      </c>
      <c r="I374" s="13" t="e">
        <v>#REF!</v>
      </c>
      <c r="J374" s="53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</row>
    <row r="375" spans="1:37" ht="19.5" customHeight="1">
      <c r="A375" s="7"/>
      <c r="B375" s="7"/>
      <c r="C375" s="7"/>
      <c r="D375" s="7"/>
      <c r="E375" s="7"/>
      <c r="F375" s="7"/>
      <c r="G375" s="27"/>
      <c r="H375" s="30" t="s">
        <v>6800</v>
      </c>
      <c r="I375" s="13" t="e">
        <f>IF(ISBLANK(input_wld_az2_storage_cluster_mtu),"Value Missing",input_wld_az2_storage_cluster_mtu)</f>
        <v>#REF!</v>
      </c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</row>
    <row r="376" spans="1:37" ht="19.5" customHeight="1">
      <c r="A376" s="7"/>
      <c r="B376" s="7"/>
      <c r="C376" s="7"/>
      <c r="D376" s="7"/>
      <c r="E376" s="49" t="s">
        <v>7111</v>
      </c>
      <c r="F376" s="50"/>
      <c r="G376" s="27"/>
      <c r="H376" s="30" t="s">
        <v>6802</v>
      </c>
      <c r="I376" s="13" t="e">
        <f>IF(ISBLANK(input_wld_az1_uplink01_mtu),"Value Missing",input_wld_az1_uplink01_mtu)</f>
        <v>#REF!</v>
      </c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</row>
    <row r="377" spans="1:37" ht="19.5" customHeight="1">
      <c r="A377" s="7"/>
      <c r="B377" s="7"/>
      <c r="C377" s="7"/>
      <c r="D377" s="7"/>
      <c r="E377" s="52" t="s">
        <v>6780</v>
      </c>
      <c r="F377" s="52" t="s">
        <v>7098</v>
      </c>
      <c r="G377" s="27"/>
      <c r="H377" s="30" t="s">
        <v>6804</v>
      </c>
      <c r="I377" s="13" t="e">
        <f>IF(ISBLANK(input_wld_az1_uplink02_mtu),"Value Missing",input_wld_az1_uplink02_mtu)</f>
        <v>#REF!</v>
      </c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</row>
    <row r="378" spans="1:37" ht="19.5" customHeight="1">
      <c r="A378" s="7"/>
      <c r="B378" s="7"/>
      <c r="C378" s="7"/>
      <c r="D378" s="7"/>
      <c r="E378" s="30" t="s">
        <v>6759</v>
      </c>
      <c r="F378" s="13" t="e">
        <f>mgmt_en_asn</f>
        <v>#REF!</v>
      </c>
      <c r="G378" s="27"/>
      <c r="H378" s="30" t="s">
        <v>6806</v>
      </c>
      <c r="I378" s="13" t="str">
        <f>wld_az1_edge_overlay_mtu</f>
        <v>N/A</v>
      </c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</row>
    <row r="379" spans="1:37" ht="19.5" customHeight="1">
      <c r="A379" s="7"/>
      <c r="B379" s="7"/>
      <c r="C379" s="7"/>
      <c r="D379" s="7"/>
      <c r="E379" s="30" t="s">
        <v>6760</v>
      </c>
      <c r="F379" s="13" t="s">
        <v>7092</v>
      </c>
      <c r="G379" s="27"/>
      <c r="H379" s="30" t="s">
        <v>6809</v>
      </c>
      <c r="I379" s="13">
        <f>wld_az1_rtep_overlay_mtu</f>
        <v>0</v>
      </c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</row>
    <row r="380" spans="1:37" ht="19.5" customHeight="1">
      <c r="A380" s="7"/>
      <c r="B380" s="7"/>
      <c r="C380" s="7"/>
      <c r="D380" s="7"/>
      <c r="E380" s="30" t="s">
        <v>6761</v>
      </c>
      <c r="F380" s="13" t="s">
        <v>7092</v>
      </c>
      <c r="G380" s="27"/>
      <c r="H380" s="30" t="s">
        <v>6811</v>
      </c>
      <c r="I380" s="13" t="str">
        <f>wld_az1_vrms_mtu</f>
        <v>Value Missing</v>
      </c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</row>
    <row r="381" spans="1:37" ht="19.5" customHeight="1">
      <c r="A381" s="7"/>
      <c r="B381" s="7"/>
      <c r="C381" s="7"/>
      <c r="D381" s="7"/>
      <c r="E381" s="30" t="s">
        <v>6762</v>
      </c>
      <c r="F381" s="13" t="e">
        <f>IF(ISBLANK(input_mgmt_az2_tor1_peer_bgp_password),"Value Missing",input_mgmt_az2_tor1_peer_bgp_password)</f>
        <v>#REF!</v>
      </c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</row>
    <row r="382" spans="1:37" ht="19.5" customHeight="1">
      <c r="A382" s="7"/>
      <c r="B382" s="7"/>
      <c r="C382" s="7"/>
      <c r="D382" s="7"/>
      <c r="E382" s="30" t="s">
        <v>6764</v>
      </c>
      <c r="F382" s="13" t="e">
        <v>#REF!</v>
      </c>
      <c r="G382" s="27"/>
      <c r="H382" s="49" t="s">
        <v>7112</v>
      </c>
      <c r="I382" s="50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</row>
    <row r="383" spans="1:37" ht="19.5" customHeight="1">
      <c r="A383" s="7"/>
      <c r="B383" s="7"/>
      <c r="C383" s="7"/>
      <c r="D383" s="7"/>
      <c r="E383" s="30" t="s">
        <v>6765</v>
      </c>
      <c r="F383" s="13" t="s">
        <v>7092</v>
      </c>
      <c r="G383" s="27"/>
      <c r="H383" s="52" t="s">
        <v>6780</v>
      </c>
      <c r="I383" s="52" t="s">
        <v>7098</v>
      </c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</row>
    <row r="384" spans="1:37" ht="19.5" customHeight="1">
      <c r="A384" s="7"/>
      <c r="B384" s="7"/>
      <c r="C384" s="7"/>
      <c r="D384" s="7"/>
      <c r="E384" s="30" t="s">
        <v>6766</v>
      </c>
      <c r="F384" s="13" t="s">
        <v>7092</v>
      </c>
      <c r="G384" s="27"/>
      <c r="H384" s="30" t="s">
        <v>6759</v>
      </c>
      <c r="I384" s="13" t="e">
        <f>wld_en_asn</f>
        <v>#REF!</v>
      </c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</row>
    <row r="385" spans="1:37" ht="19.5" customHeight="1">
      <c r="A385" s="7"/>
      <c r="B385" s="7"/>
      <c r="C385" s="7"/>
      <c r="D385" s="7"/>
      <c r="E385" s="51"/>
      <c r="F385" s="51"/>
      <c r="G385" s="27"/>
      <c r="H385" s="30" t="s">
        <v>6760</v>
      </c>
      <c r="I385" s="13" t="s">
        <v>7092</v>
      </c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</row>
    <row r="386" spans="1:37" ht="19.5" customHeight="1">
      <c r="A386" s="7"/>
      <c r="B386" s="7"/>
      <c r="C386" s="7"/>
      <c r="D386" s="7"/>
      <c r="E386" s="49" t="s">
        <v>7113</v>
      </c>
      <c r="F386" s="50"/>
      <c r="G386" s="27"/>
      <c r="H386" s="30" t="s">
        <v>6761</v>
      </c>
      <c r="I386" s="13" t="s">
        <v>7092</v>
      </c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</row>
    <row r="387" spans="1:37" ht="19.5" customHeight="1">
      <c r="A387" s="7"/>
      <c r="B387" s="7"/>
      <c r="C387" s="7"/>
      <c r="D387" s="7"/>
      <c r="E387" s="52" t="s">
        <v>6780</v>
      </c>
      <c r="F387" s="52" t="s">
        <v>7102</v>
      </c>
      <c r="G387" s="87"/>
      <c r="H387" s="30" t="s">
        <v>6762</v>
      </c>
      <c r="I387" s="13" t="s">
        <v>7092</v>
      </c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</row>
    <row r="388" spans="1:37" ht="19.5" customHeight="1">
      <c r="A388" s="7"/>
      <c r="B388" s="7"/>
      <c r="C388" s="7"/>
      <c r="D388" s="7"/>
      <c r="E388" s="30" t="s">
        <v>6784</v>
      </c>
      <c r="F388" s="13"/>
      <c r="G388" s="27"/>
      <c r="H388" s="30" t="s">
        <v>6764</v>
      </c>
      <c r="I388" s="13" t="s">
        <v>7092</v>
      </c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</row>
    <row r="389" spans="1:37" ht="19.5" customHeight="1">
      <c r="A389" s="7"/>
      <c r="B389" s="7"/>
      <c r="C389" s="7"/>
      <c r="D389" s="7"/>
      <c r="E389" s="30" t="s">
        <v>6787</v>
      </c>
      <c r="F389" s="13" t="e">
        <f>IF('Value Reference Tables - MR'!$F126="Value Missing","Value Missing",CONCATENATE("az2_",'Value Reference Tables - MR'!$F126))</f>
        <v>#REF!</v>
      </c>
      <c r="G389" s="27"/>
      <c r="H389" s="30" t="s">
        <v>6765</v>
      </c>
      <c r="I389" s="13" t="s">
        <v>7092</v>
      </c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</row>
    <row r="390" spans="1:37" ht="19.5" customHeight="1">
      <c r="A390" s="7"/>
      <c r="B390" s="7"/>
      <c r="C390" s="7"/>
      <c r="D390" s="7"/>
      <c r="E390" s="30" t="s">
        <v>6790</v>
      </c>
      <c r="F390" s="13" t="e">
        <f>IF('Value Reference Tables - MR'!$F127="Value Missing","Value Missing",CONCATENATE("az2_",'Value Reference Tables - MR'!$F127))</f>
        <v>#REF!</v>
      </c>
      <c r="G390" s="27"/>
      <c r="H390" s="30" t="s">
        <v>6766</v>
      </c>
      <c r="I390" s="13" t="e">
        <v>#REF!</v>
      </c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</row>
    <row r="391" spans="1:37" ht="19.5" customHeight="1">
      <c r="A391" s="7"/>
      <c r="B391" s="7"/>
      <c r="C391" s="7"/>
      <c r="D391" s="7"/>
      <c r="E391" s="30" t="s">
        <v>6793</v>
      </c>
      <c r="F391" s="13" t="e">
        <f>IF('Value Reference Tables - MR'!$F128="Value Missing","Value Missing",CONCATENATE("az2_",'Value Reference Tables - MR'!$F128))</f>
        <v>#REF!</v>
      </c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</row>
    <row r="392" spans="1:37" ht="19.5" customHeight="1">
      <c r="A392" s="7"/>
      <c r="B392" s="7"/>
      <c r="C392" s="7"/>
      <c r="D392" s="7"/>
      <c r="E392" s="30" t="s">
        <v>6795</v>
      </c>
      <c r="F392" s="13" t="str">
        <f>mgmt_az1_host_overlay_pg</f>
        <v>N/A</v>
      </c>
      <c r="G392" s="27"/>
      <c r="H392" s="49" t="s">
        <v>7114</v>
      </c>
      <c r="I392" s="50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</row>
    <row r="393" spans="1:37" ht="19.5" customHeight="1">
      <c r="A393" s="7"/>
      <c r="B393" s="7"/>
      <c r="C393" s="7"/>
      <c r="D393" s="7"/>
      <c r="E393" s="30" t="s">
        <v>6811</v>
      </c>
      <c r="F393" s="13"/>
      <c r="G393" s="27"/>
      <c r="H393" s="52" t="s">
        <v>6780</v>
      </c>
      <c r="I393" s="52" t="s">
        <v>7102</v>
      </c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</row>
    <row r="394" spans="1:37" ht="19.5" customHeight="1">
      <c r="A394" s="7"/>
      <c r="B394" s="7"/>
      <c r="C394" s="7"/>
      <c r="D394" s="7"/>
      <c r="E394" s="30" t="s">
        <v>6802</v>
      </c>
      <c r="F394" s="13" t="e">
        <f>mgmt_cl01_az1_uplink01_pg</f>
        <v>#REF!</v>
      </c>
      <c r="G394" s="87"/>
      <c r="H394" s="30" t="s">
        <v>6784</v>
      </c>
      <c r="I394" s="13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</row>
    <row r="395" spans="1:37" ht="19.5" customHeight="1">
      <c r="A395" s="7"/>
      <c r="B395" s="7"/>
      <c r="C395" s="7"/>
      <c r="D395" s="7"/>
      <c r="E395" s="30" t="s">
        <v>6804</v>
      </c>
      <c r="F395" s="13" t="e">
        <f>mgmt_cl01_az1_uplink02_pg</f>
        <v>#REF!</v>
      </c>
      <c r="G395" s="87"/>
      <c r="H395" s="30" t="s">
        <v>6787</v>
      </c>
      <c r="I395" s="13" t="e">
        <f>IF('Value Reference Tables - MR'!$I126="Value Missing","Value Missing",CONCATENATE("az2_",'Value Reference Tables - MR'!$I126))</f>
        <v>#REF!</v>
      </c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</row>
    <row r="396" spans="1:37" ht="19.5" customHeight="1">
      <c r="A396" s="7"/>
      <c r="B396" s="7"/>
      <c r="C396" s="7"/>
      <c r="D396" s="7"/>
      <c r="E396" s="39" t="s">
        <v>6806</v>
      </c>
      <c r="F396" s="13" t="str">
        <f>mgmt_az1_edge_overlay_pg</f>
        <v>N/A</v>
      </c>
      <c r="G396" s="27"/>
      <c r="H396" s="30" t="s">
        <v>6790</v>
      </c>
      <c r="I396" s="13" t="e">
        <f>IF('Value Reference Tables - MR'!$I127="Value Missing","Value Missing",CONCATENATE("az2_",'Value Reference Tables - MR'!$I127))</f>
        <v>#REF!</v>
      </c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</row>
    <row r="397" spans="1:37" ht="19.5" customHeight="1">
      <c r="A397" s="7"/>
      <c r="B397" s="7"/>
      <c r="C397" s="7"/>
      <c r="D397" s="7"/>
      <c r="E397" s="30" t="s">
        <v>6907</v>
      </c>
      <c r="F397" s="13" t="str">
        <f>mgmt_az1_rtep_overlay_pg</f>
        <v>N/A</v>
      </c>
      <c r="G397" s="27"/>
      <c r="H397" s="30" t="s">
        <v>6793</v>
      </c>
      <c r="I397" s="13" t="e">
        <f>IF('Value Reference Tables - MR'!$I128="Value Missing","Value Missing",CONCATENATE("az2_",'Value Reference Tables - MR'!$I128))</f>
        <v>#REF!</v>
      </c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</row>
    <row r="398" spans="1:37" ht="19.5" customHeight="1">
      <c r="A398" s="7"/>
      <c r="B398" s="7"/>
      <c r="C398" s="7"/>
      <c r="D398" s="7"/>
      <c r="E398" s="7"/>
      <c r="F398" s="7"/>
      <c r="G398" s="27"/>
      <c r="H398" s="30" t="s">
        <v>6795</v>
      </c>
      <c r="I398" s="13" t="str">
        <f>mgmt_az2_host_overlay_pg</f>
        <v>N/A</v>
      </c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</row>
    <row r="399" spans="1:37" ht="19.5" customHeight="1">
      <c r="A399" s="7"/>
      <c r="B399" s="7"/>
      <c r="C399" s="7"/>
      <c r="D399" s="7"/>
      <c r="E399" s="83" t="s">
        <v>7115</v>
      </c>
      <c r="F399" s="50"/>
      <c r="G399" s="27"/>
      <c r="H399" s="30" t="s">
        <v>6811</v>
      </c>
      <c r="I399" s="13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</row>
    <row r="400" spans="1:37" ht="19.5" customHeight="1">
      <c r="A400" s="7"/>
      <c r="B400" s="27"/>
      <c r="C400" s="27"/>
      <c r="D400" s="7"/>
      <c r="E400" s="52" t="s">
        <v>6780</v>
      </c>
      <c r="F400" s="52" t="s">
        <v>7102</v>
      </c>
      <c r="G400" s="27"/>
      <c r="H400" s="30" t="s">
        <v>6802</v>
      </c>
      <c r="I400" s="13" t="e">
        <f>wld_cl01_az1_uplink01_pg</f>
        <v>#REF!</v>
      </c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</row>
    <row r="401" spans="1:37" ht="19.5" customHeight="1">
      <c r="A401" s="7"/>
      <c r="B401" s="27"/>
      <c r="C401" s="27"/>
      <c r="D401" s="7"/>
      <c r="E401" s="80" t="s">
        <v>6944</v>
      </c>
      <c r="F401" s="13" t="s">
        <v>7092</v>
      </c>
      <c r="G401" s="27"/>
      <c r="H401" s="30" t="s">
        <v>6804</v>
      </c>
      <c r="I401" s="13" t="e">
        <f>wld_cl01_az1_uplink02_pg</f>
        <v>#REF!</v>
      </c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</row>
    <row r="402" spans="1:37" ht="19.5" customHeight="1">
      <c r="A402" s="7"/>
      <c r="B402" s="27"/>
      <c r="C402" s="27"/>
      <c r="D402" s="7"/>
      <c r="E402" s="80" t="s">
        <v>6945</v>
      </c>
      <c r="F402" s="13" t="s">
        <v>7092</v>
      </c>
      <c r="G402" s="27"/>
      <c r="H402" s="39" t="s">
        <v>6806</v>
      </c>
      <c r="I402" s="13" t="str">
        <f>wld_az1_edge_overlay_pg</f>
        <v>N/A</v>
      </c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</row>
    <row r="403" spans="1:37" ht="19.5" customHeight="1">
      <c r="A403" s="7"/>
      <c r="B403" s="27"/>
      <c r="C403" s="27"/>
      <c r="D403" s="7"/>
      <c r="E403" s="80" t="s">
        <v>6946</v>
      </c>
      <c r="F403" s="13" t="s">
        <v>7092</v>
      </c>
      <c r="G403" s="27"/>
      <c r="H403" s="30" t="s">
        <v>6907</v>
      </c>
      <c r="I403" s="13" t="str">
        <f>mgmt_az1_rtep_overlay_pg</f>
        <v>N/A</v>
      </c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</row>
    <row r="404" spans="1:37" ht="19.5" customHeight="1">
      <c r="A404" s="7"/>
      <c r="B404" s="27"/>
      <c r="C404" s="27"/>
      <c r="D404" s="7"/>
      <c r="E404" s="80" t="s">
        <v>6947</v>
      </c>
      <c r="F404" s="13" t="s">
        <v>7092</v>
      </c>
      <c r="G404" s="8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</row>
    <row r="405" spans="1:37" ht="19.5" customHeight="1">
      <c r="A405" s="7"/>
      <c r="B405" s="27"/>
      <c r="C405" s="27"/>
      <c r="D405" s="7"/>
      <c r="E405" s="80" t="s">
        <v>6948</v>
      </c>
      <c r="F405" s="13" t="s">
        <v>7092</v>
      </c>
      <c r="G405" s="27"/>
      <c r="H405" s="83" t="s">
        <v>7116</v>
      </c>
      <c r="I405" s="50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</row>
    <row r="406" spans="1:37" ht="19.5" customHeight="1">
      <c r="A406" s="7"/>
      <c r="B406" s="27"/>
      <c r="C406" s="27"/>
      <c r="D406" s="7"/>
      <c r="E406" s="80" t="s">
        <v>6949</v>
      </c>
      <c r="F406" s="13" t="s">
        <v>7092</v>
      </c>
      <c r="G406" s="27"/>
      <c r="H406" s="52" t="s">
        <v>6780</v>
      </c>
      <c r="I406" s="52" t="s">
        <v>7102</v>
      </c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</row>
    <row r="407" spans="1:37" ht="19.5" customHeight="1">
      <c r="A407" s="7"/>
      <c r="B407" s="27"/>
      <c r="C407" s="27"/>
      <c r="D407" s="7"/>
      <c r="E407" s="39" t="s">
        <v>6950</v>
      </c>
      <c r="F407" s="13" t="e">
        <f>IF(ISBLANK(input_mgmt_az2_secondary_storage_pool_start_ip),"Value Missing",input_mgmt_az2_secondary_storage_pool_start_ip)</f>
        <v>#REF!</v>
      </c>
      <c r="G407" s="27"/>
      <c r="H407" s="80" t="s">
        <v>6944</v>
      </c>
      <c r="I407" s="13" t="e">
        <f>IF(ISBLANK(input_wld_az2_vmotion_pool_start_ip),"Value Missing",input_wld_az2_vmotion_pool_start_ip)</f>
        <v>#REF!</v>
      </c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</row>
    <row r="408" spans="1:37" ht="19.5" customHeight="1">
      <c r="A408" s="7"/>
      <c r="B408" s="27"/>
      <c r="C408" s="27"/>
      <c r="D408" s="7"/>
      <c r="E408" s="42" t="s">
        <v>6951</v>
      </c>
      <c r="F408" s="13" t="e">
        <f>IF(ISBLANK(input_mgmt_az2_secondary_storage_pool_end_ip),"Value Missing",input_mgmt_az2_secondary_storage_pool_end_ip)</f>
        <v>#REF!</v>
      </c>
      <c r="G408" s="27"/>
      <c r="H408" s="80" t="s">
        <v>6945</v>
      </c>
      <c r="I408" s="13" t="e">
        <f>IF(ISBLANK(input_wld_az2_vmotion_pool_end_ip),"Value Missing",input_wld_az2_vmotion_pool_end_ip)</f>
        <v>#REF!</v>
      </c>
      <c r="J408" s="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</row>
    <row r="409" spans="1:37" ht="19.5" customHeight="1">
      <c r="A409" s="7"/>
      <c r="B409" s="27"/>
      <c r="C409" s="27"/>
      <c r="D409" s="7"/>
      <c r="E409" s="80" t="s">
        <v>6954</v>
      </c>
      <c r="F409" s="13"/>
      <c r="G409" s="27"/>
      <c r="H409" s="80" t="s">
        <v>6946</v>
      </c>
      <c r="I409" s="13" t="e">
        <f>IF(ISBLANK(input_wld_az2_principal_storage_pool_start_ip),"Value Missing",input_wld_az2_principal_storage_pool_start_ip)</f>
        <v>#REF!</v>
      </c>
      <c r="J409" s="53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</row>
    <row r="410" spans="1:37" ht="19.5" customHeight="1">
      <c r="A410" s="7"/>
      <c r="B410" s="27"/>
      <c r="C410" s="27"/>
      <c r="D410" s="7"/>
      <c r="E410" s="80" t="s">
        <v>6955</v>
      </c>
      <c r="F410" s="13"/>
      <c r="G410" s="27"/>
      <c r="H410" s="80" t="s">
        <v>6947</v>
      </c>
      <c r="I410" s="13" t="e">
        <f>IF(ISBLANK(input_wld_az2_principal_storage_pool_end_ip),"Value Missing",input_wld_az2_principal_storage_pool_end_ip)</f>
        <v>#REF!</v>
      </c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</row>
    <row r="411" spans="1:37" ht="19.5" customHeight="1">
      <c r="A411" s="7"/>
      <c r="B411" s="27"/>
      <c r="C411" s="27"/>
      <c r="D411" s="7"/>
      <c r="E411" s="7"/>
      <c r="F411" s="7"/>
      <c r="G411" s="27"/>
      <c r="H411" s="80" t="s">
        <v>6948</v>
      </c>
      <c r="I411" s="13" t="s">
        <v>7092</v>
      </c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</row>
    <row r="412" spans="1:37" ht="19.5" customHeight="1">
      <c r="A412" s="7"/>
      <c r="B412" s="27"/>
      <c r="C412" s="27"/>
      <c r="D412" s="7"/>
      <c r="E412" s="83" t="s">
        <v>7117</v>
      </c>
      <c r="F412" s="50"/>
      <c r="G412" s="27"/>
      <c r="H412" s="80" t="s">
        <v>6949</v>
      </c>
      <c r="I412" s="13" t="s">
        <v>7092</v>
      </c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</row>
    <row r="413" spans="1:37" ht="19.5" customHeight="1">
      <c r="A413" s="7"/>
      <c r="B413" s="27"/>
      <c r="C413" s="27"/>
      <c r="D413" s="7"/>
      <c r="E413" s="52" t="s">
        <v>6780</v>
      </c>
      <c r="F413" s="52" t="s">
        <v>7102</v>
      </c>
      <c r="G413" s="27"/>
      <c r="H413" s="39" t="s">
        <v>6950</v>
      </c>
      <c r="I413" s="13" t="e">
        <f>IF(ISBLANK(input_wld_az2_secondary_storage_pool_start_ip),"Value Missing",input_wld_az2_secondary_storage_pool_start_ip)</f>
        <v>#REF!</v>
      </c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</row>
    <row r="414" spans="1:37" ht="19.5" customHeight="1">
      <c r="A414" s="7"/>
      <c r="B414" s="27"/>
      <c r="C414" s="27"/>
      <c r="D414" s="7"/>
      <c r="E414" s="80" t="s">
        <v>6966</v>
      </c>
      <c r="F414" s="13" t="e">
        <f>IF(ISBLANK(input_mgmt_az2_pool_name),"Value Missing",input_mgmt_az2_pool_name)</f>
        <v>#REF!</v>
      </c>
      <c r="G414" s="27"/>
      <c r="H414" s="42" t="s">
        <v>6951</v>
      </c>
      <c r="I414" s="13" t="e">
        <f>IF(ISBLANK(input_wld_az2_secondary_storage_pool_end_ip),"Value Missing",input_wld_az2_secondary_storage_pool_end_ip)</f>
        <v>#REF!</v>
      </c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</row>
    <row r="415" spans="1:37" ht="19.5" customHeight="1">
      <c r="A415" s="7"/>
      <c r="B415" s="27"/>
      <c r="C415" s="27"/>
      <c r="D415" s="7"/>
      <c r="E415" s="80" t="s">
        <v>6967</v>
      </c>
      <c r="F415" s="13" t="e">
        <f>IF(ISBLANK(input_mgmt_az2_host_overlay_network_profile_name),"Value Missing",input_mgmt_az2_host_overlay_network_profile_name)</f>
        <v>#REF!</v>
      </c>
      <c r="G415" s="27"/>
      <c r="H415" s="30" t="s">
        <v>6800</v>
      </c>
      <c r="I415" s="13" t="e">
        <f>IF(ISBLANK(input_wld_az2_storage_cluster_pool_start_ip),"Value Missing",input_wld_az2_storage_cluster_pool_start_ip)</f>
        <v>#REF!</v>
      </c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</row>
    <row r="416" spans="1:37" ht="19.5" customHeight="1">
      <c r="A416" s="27"/>
      <c r="B416" s="27"/>
      <c r="C416" s="27"/>
      <c r="D416" s="27"/>
      <c r="E416" s="80" t="s">
        <v>6970</v>
      </c>
      <c r="F416" s="13" t="e">
        <f>IF(ISBLANK(input_mgmt_az2_host_overlay_network_pool_name),"Value Missing",input_mgmt_az2_host_overlay_network_pool_name)</f>
        <v>#REF!</v>
      </c>
      <c r="G416" s="27"/>
      <c r="H416" s="30" t="s">
        <v>6800</v>
      </c>
      <c r="I416" s="13" t="e">
        <f>IF(ISBLANK(input_wld_az2_storage_cluster_pool_end_ip),"Value Missing",input_wld_az2_storage_cluster_pool_end_ip)</f>
        <v>#REF!</v>
      </c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</row>
    <row r="417" spans="1:37" ht="19.5" customHeight="1">
      <c r="A417" s="27"/>
      <c r="B417" s="27"/>
      <c r="C417" s="27"/>
      <c r="D417" s="27"/>
      <c r="E417" s="80" t="s">
        <v>6973</v>
      </c>
      <c r="F417" s="13" t="e">
        <f>IF(ISBLANK(input_mgmt_az2_host_overlay_uplink_profile_name),"Value Missing",input_mgmt_az2_host_overlay_uplink_profile_name)</f>
        <v>#REF!</v>
      </c>
      <c r="G417" s="27"/>
      <c r="H417" s="80" t="s">
        <v>6954</v>
      </c>
      <c r="I417" s="15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</row>
    <row r="418" spans="1:37" ht="19.5" customHeight="1">
      <c r="A418" s="27"/>
      <c r="B418" s="27"/>
      <c r="C418" s="27"/>
      <c r="D418" s="27"/>
      <c r="E418" s="51"/>
      <c r="F418" s="51"/>
      <c r="G418" s="27"/>
      <c r="H418" s="80" t="s">
        <v>6955</v>
      </c>
      <c r="I418" s="15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</row>
    <row r="419" spans="1:37" ht="19.5" customHeight="1">
      <c r="A419" s="27"/>
      <c r="B419" s="27"/>
      <c r="C419" s="27"/>
      <c r="D419" s="27"/>
      <c r="E419" s="206" t="s">
        <v>7118</v>
      </c>
      <c r="F419" s="200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</row>
    <row r="420" spans="1:37" ht="19.5" customHeight="1">
      <c r="A420" s="27"/>
      <c r="B420" s="27"/>
      <c r="C420" s="27"/>
      <c r="D420" s="27"/>
      <c r="E420" s="52" t="s">
        <v>6780</v>
      </c>
      <c r="F420" s="52" t="s">
        <v>7102</v>
      </c>
      <c r="G420" s="27"/>
      <c r="H420" s="83" t="s">
        <v>7119</v>
      </c>
      <c r="I420" s="50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</row>
    <row r="421" spans="1:37" ht="19.5" customHeight="1">
      <c r="A421" s="27"/>
      <c r="B421" s="27"/>
      <c r="C421" s="27"/>
      <c r="D421" s="27"/>
      <c r="E421" s="30" t="s">
        <v>6983</v>
      </c>
      <c r="F421" s="66"/>
      <c r="G421" s="27"/>
      <c r="H421" s="52" t="s">
        <v>6780</v>
      </c>
      <c r="I421" s="52" t="s">
        <v>7102</v>
      </c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</row>
    <row r="422" spans="1:37" ht="19.5" customHeight="1">
      <c r="A422" s="27"/>
      <c r="B422" s="27"/>
      <c r="C422" s="27"/>
      <c r="D422" s="27"/>
      <c r="E422" s="30" t="s">
        <v>6992</v>
      </c>
      <c r="F422" s="13"/>
      <c r="G422" s="27"/>
      <c r="H422" s="80" t="s">
        <v>6966</v>
      </c>
      <c r="I422" s="13" t="e">
        <f>IF(ISBLANK(input_wld_az2_pool_name),"Value Missing",input_wld_az2_pool_name)</f>
        <v>#REF!</v>
      </c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</row>
    <row r="423" spans="1:37" ht="19.5" customHeight="1">
      <c r="A423" s="27"/>
      <c r="B423" s="27"/>
      <c r="C423" s="27"/>
      <c r="D423" s="27"/>
      <c r="E423" s="30" t="s">
        <v>7120</v>
      </c>
      <c r="F423" s="13"/>
      <c r="G423" s="27"/>
      <c r="H423" s="80" t="s">
        <v>6967</v>
      </c>
      <c r="I423" s="13" t="e">
        <f>IF(ISBLANK(input_wld_az2_host_overlay_network_profile_name),"Value Missing",input_wld_az2_host_overlay_network_profile_name)</f>
        <v>#REF!</v>
      </c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</row>
    <row r="424" spans="1:37" ht="19.5" customHeight="1">
      <c r="A424" s="27"/>
      <c r="B424" s="27"/>
      <c r="C424" s="27"/>
      <c r="D424" s="27"/>
      <c r="E424" s="30" t="s">
        <v>7121</v>
      </c>
      <c r="F424" s="13"/>
      <c r="G424" s="27"/>
      <c r="H424" s="80" t="s">
        <v>6970</v>
      </c>
      <c r="I424" s="13" t="e">
        <f>IF(ISBLANK(input_wld_az2_host_overlay_network_pool_name),"Value Missing",input_wld_az2_host_overlay_network_pool_name)</f>
        <v>#REF!</v>
      </c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</row>
    <row r="425" spans="1:37" ht="19.5" customHeight="1">
      <c r="A425" s="27"/>
      <c r="B425" s="27"/>
      <c r="C425" s="27"/>
      <c r="D425" s="27"/>
      <c r="E425" s="30" t="s">
        <v>7122</v>
      </c>
      <c r="F425" s="13"/>
      <c r="G425" s="27"/>
      <c r="H425" s="80" t="s">
        <v>6973</v>
      </c>
      <c r="I425" s="13" t="e">
        <f>IF(ISBLANK(input_wld_az2_host_overlay_uplink_profile_name),"Value Missing",input_wld_az2_host_overlay_uplink_profile_name)</f>
        <v>#REF!</v>
      </c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</row>
    <row r="426" spans="1:37" ht="19.5" customHeight="1">
      <c r="A426" s="27"/>
      <c r="B426" s="27"/>
      <c r="C426" s="27"/>
      <c r="D426" s="27"/>
      <c r="E426" s="30" t="s">
        <v>7123</v>
      </c>
      <c r="F426" s="13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</row>
    <row r="427" spans="1:37" ht="19.5" customHeight="1">
      <c r="A427" s="27"/>
      <c r="B427" s="27"/>
      <c r="C427" s="27"/>
      <c r="D427" s="27"/>
      <c r="E427" s="30" t="s">
        <v>7124</v>
      </c>
      <c r="F427" s="13"/>
      <c r="G427" s="27"/>
      <c r="H427" s="206" t="s">
        <v>7125</v>
      </c>
      <c r="I427" s="200"/>
      <c r="J427" s="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</row>
    <row r="428" spans="1:37" ht="19.5" customHeight="1">
      <c r="A428" s="27"/>
      <c r="B428" s="27"/>
      <c r="C428" s="27"/>
      <c r="D428" s="27"/>
      <c r="E428" s="60"/>
      <c r="F428" s="60"/>
      <c r="G428" s="27"/>
      <c r="H428" s="52" t="s">
        <v>6780</v>
      </c>
      <c r="I428" s="52" t="s">
        <v>7102</v>
      </c>
      <c r="J428" s="53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</row>
    <row r="429" spans="1:37" ht="19.5" customHeight="1">
      <c r="A429" s="27"/>
      <c r="B429" s="27"/>
      <c r="C429" s="27"/>
      <c r="D429" s="27"/>
      <c r="E429" s="83" t="s">
        <v>7126</v>
      </c>
      <c r="F429" s="50"/>
      <c r="G429" s="7"/>
      <c r="H429" s="30" t="s">
        <v>6983</v>
      </c>
      <c r="I429" s="66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</row>
    <row r="430" spans="1:37" ht="19.5" customHeight="1">
      <c r="A430" s="27"/>
      <c r="B430" s="27"/>
      <c r="C430" s="27"/>
      <c r="D430" s="27"/>
      <c r="E430" s="52" t="s">
        <v>6780</v>
      </c>
      <c r="F430" s="52" t="s">
        <v>7102</v>
      </c>
      <c r="G430" s="7"/>
      <c r="H430" s="30" t="s">
        <v>6992</v>
      </c>
      <c r="I430" s="13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</row>
    <row r="431" spans="1:37" ht="19.5" customHeight="1">
      <c r="A431" s="27"/>
      <c r="B431" s="27"/>
      <c r="C431" s="27"/>
      <c r="D431" s="27"/>
      <c r="E431" s="30" t="s">
        <v>7009</v>
      </c>
      <c r="F431" s="13" t="e">
        <f>IF(ISBLANK(input_mgmt_az2_host1_mgmt_ip),"Value Missing",input_mgmt_az2_host1_mgmt_ip)</f>
        <v>#REF!</v>
      </c>
      <c r="G431" s="7"/>
      <c r="H431" s="30" t="s">
        <v>7120</v>
      </c>
      <c r="I431" s="13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</row>
    <row r="432" spans="1:37" ht="19.5" customHeight="1">
      <c r="A432" s="27"/>
      <c r="B432" s="27"/>
      <c r="C432" s="27"/>
      <c r="D432" s="27"/>
      <c r="E432" s="30" t="s">
        <v>7010</v>
      </c>
      <c r="F432" s="13" t="e">
        <f>IF(ISBLANK(input_mgmt_az2_host2_mgmt_ip),"Value Missing",input_mgmt_az2_host2_mgmt_ip)</f>
        <v>#REF!</v>
      </c>
      <c r="G432" s="7"/>
      <c r="H432" s="30" t="s">
        <v>7121</v>
      </c>
      <c r="I432" s="13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</row>
    <row r="433" spans="1:37" ht="19.5" customHeight="1">
      <c r="A433" s="27"/>
      <c r="B433" s="27"/>
      <c r="C433" s="27"/>
      <c r="D433" s="27"/>
      <c r="E433" s="30" t="s">
        <v>7011</v>
      </c>
      <c r="F433" s="13" t="e">
        <f>IF(ISBLANK(input_mgmt_az2_host3_mgmt_ip),"Value Missing",input_mgmt_az2_host3_mgmt_ip)</f>
        <v>#REF!</v>
      </c>
      <c r="G433" s="7"/>
      <c r="H433" s="30" t="s">
        <v>7122</v>
      </c>
      <c r="I433" s="13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</row>
    <row r="434" spans="1:37" ht="19.5" customHeight="1">
      <c r="A434" s="27"/>
      <c r="B434" s="27"/>
      <c r="C434" s="27"/>
      <c r="D434" s="27"/>
      <c r="E434" s="30" t="s">
        <v>7012</v>
      </c>
      <c r="F434" s="13" t="e">
        <f>IF(ISBLANK(input_mgmt_az2_host4_mgmt_ip),"Value Missing",input_mgmt_az2_host4_mgmt_ip)</f>
        <v>#REF!</v>
      </c>
      <c r="G434" s="7"/>
      <c r="H434" s="30" t="s">
        <v>7123</v>
      </c>
      <c r="I434" s="13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</row>
    <row r="435" spans="1:37" ht="19.5" customHeight="1">
      <c r="A435" s="27"/>
      <c r="B435" s="27"/>
      <c r="C435" s="27"/>
      <c r="D435" s="27"/>
      <c r="E435" s="30" t="s">
        <v>7013</v>
      </c>
      <c r="F435" s="13" t="e">
        <f>IF(ISBLANK(input_mgmt_az2_host5_mgmt_ip),"Value Missing",input_mgmt_az2_host5_mgmt_ip)</f>
        <v>#REF!</v>
      </c>
      <c r="G435" s="7"/>
      <c r="H435" s="30" t="s">
        <v>7124</v>
      </c>
      <c r="I435" s="13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</row>
    <row r="436" spans="1:37" ht="19.5" customHeight="1">
      <c r="A436" s="27"/>
      <c r="B436" s="27"/>
      <c r="C436" s="27"/>
      <c r="D436" s="27"/>
      <c r="E436" s="30" t="s">
        <v>7014</v>
      </c>
      <c r="F436" s="13" t="e">
        <f>IF(ISBLANK(input_mgmt_az2_host6_mgmt_ip),"Value Missing",input_mgmt_az2_host6_mgmt_ip)</f>
        <v>#REF!</v>
      </c>
      <c r="G436" s="7"/>
      <c r="H436" s="60"/>
      <c r="I436" s="60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</row>
    <row r="437" spans="1:37" ht="19.5" customHeight="1">
      <c r="A437" s="27"/>
      <c r="B437" s="27"/>
      <c r="C437" s="27"/>
      <c r="D437" s="27"/>
      <c r="E437" s="30" t="s">
        <v>7015</v>
      </c>
      <c r="F437" s="13" t="e">
        <f>IF(ISBLANK(input_mgmt_az2_host7_mgmt_ip),"Value Missing",input_mgmt_az2_host7_mgmt_ip)</f>
        <v>#REF!</v>
      </c>
      <c r="G437" s="7"/>
      <c r="H437" s="83" t="s">
        <v>7127</v>
      </c>
      <c r="I437" s="50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</row>
    <row r="438" spans="1:37" ht="19.5" customHeight="1">
      <c r="A438" s="27"/>
      <c r="B438" s="27"/>
      <c r="C438" s="27"/>
      <c r="D438" s="27"/>
      <c r="E438" s="30" t="s">
        <v>7016</v>
      </c>
      <c r="F438" s="13" t="e">
        <f>IF(ISBLANK(input_mgmt_az2_host8_mgmt_ip),"Value Missing",input_mgmt_az2_host8_mgmt_ip)</f>
        <v>#REF!</v>
      </c>
      <c r="G438" s="7"/>
      <c r="H438" s="52" t="s">
        <v>6780</v>
      </c>
      <c r="I438" s="52" t="s">
        <v>7102</v>
      </c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</row>
    <row r="439" spans="1:37" ht="19.5" customHeight="1">
      <c r="A439" s="27"/>
      <c r="B439" s="27"/>
      <c r="C439" s="27"/>
      <c r="D439" s="27"/>
      <c r="E439" s="30" t="s">
        <v>7017</v>
      </c>
      <c r="F439" s="13" t="e">
        <f>IF(ISBLANK(input_mgmt_az2_host9_mgmt_ip),"Value Missing",input_mgmt_az2_host9_mgmt_ip)</f>
        <v>#REF!</v>
      </c>
      <c r="G439" s="53"/>
      <c r="H439" s="30" t="s">
        <v>7009</v>
      </c>
      <c r="I439" s="13" t="s">
        <v>7092</v>
      </c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</row>
    <row r="440" spans="1:37" ht="19.5" customHeight="1">
      <c r="A440" s="27"/>
      <c r="B440" s="27"/>
      <c r="C440" s="27"/>
      <c r="D440" s="27"/>
      <c r="E440" s="30" t="s">
        <v>7018</v>
      </c>
      <c r="F440" s="13" t="e">
        <f>IF(ISBLANK(input_mgmt_az2_host10_mgmt_ip),"Value Missing",input_mgmt_az2_host10_mgmt_ip)</f>
        <v>#REF!</v>
      </c>
      <c r="G440" s="7"/>
      <c r="H440" s="30" t="s">
        <v>7010</v>
      </c>
      <c r="I440" s="13" t="s">
        <v>7092</v>
      </c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</row>
    <row r="441" spans="1:37" ht="19.5" customHeight="1">
      <c r="A441" s="27"/>
      <c r="B441" s="27"/>
      <c r="C441" s="27"/>
      <c r="D441" s="27"/>
      <c r="E441" s="30" t="s">
        <v>7019</v>
      </c>
      <c r="F441" s="13" t="e">
        <f>IF(ISBLANK(input_mgmt_az2_host11_mgmt_ip),"Value Missing",input_mgmt_az2_host11_mgmt_ip)</f>
        <v>#REF!</v>
      </c>
      <c r="G441" s="7"/>
      <c r="H441" s="30" t="s">
        <v>7011</v>
      </c>
      <c r="I441" s="13" t="s">
        <v>7092</v>
      </c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</row>
    <row r="442" spans="1:37" ht="19.5" customHeight="1">
      <c r="A442" s="27"/>
      <c r="B442" s="27"/>
      <c r="C442" s="27"/>
      <c r="D442" s="27"/>
      <c r="E442" s="30" t="s">
        <v>7020</v>
      </c>
      <c r="F442" s="13" t="e">
        <f>IF(ISBLANK(input_mgmt_az2_host12_mgmt_ip),"Value Missing",input_mgmt_az2_host12_mgmt_ip)</f>
        <v>#REF!</v>
      </c>
      <c r="G442" s="7"/>
      <c r="H442" s="30" t="s">
        <v>7012</v>
      </c>
      <c r="I442" s="13" t="s">
        <v>7092</v>
      </c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</row>
    <row r="443" spans="1:37" ht="19.5" customHeight="1">
      <c r="A443" s="27"/>
      <c r="B443" s="27"/>
      <c r="C443" s="27"/>
      <c r="D443" s="27"/>
      <c r="E443" s="30" t="s">
        <v>7021</v>
      </c>
      <c r="F443" s="13" t="e">
        <f>IF(ISBLANK(input_mgmt_az2_host13_mgmt_ip),"Value Missing",input_mgmt_az2_host13_mgmt_ip)</f>
        <v>#REF!</v>
      </c>
      <c r="G443" s="7"/>
      <c r="H443" s="30" t="s">
        <v>7013</v>
      </c>
      <c r="I443" s="13" t="s">
        <v>7092</v>
      </c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</row>
    <row r="444" spans="1:37" ht="19.5" customHeight="1">
      <c r="A444" s="27"/>
      <c r="B444" s="27"/>
      <c r="C444" s="27"/>
      <c r="D444" s="27"/>
      <c r="E444" s="30" t="s">
        <v>7022</v>
      </c>
      <c r="F444" s="13" t="e">
        <f>IF(ISBLANK(input_mgmt_az2_host14_mgmt_ip),"Value Missing",input_mgmt_az2_host14_mgmt_ip)</f>
        <v>#REF!</v>
      </c>
      <c r="G444" s="7"/>
      <c r="H444" s="30" t="s">
        <v>7014</v>
      </c>
      <c r="I444" s="13" t="s">
        <v>7092</v>
      </c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</row>
    <row r="445" spans="1:37" ht="19.5" customHeight="1">
      <c r="A445" s="27"/>
      <c r="B445" s="27"/>
      <c r="C445" s="27"/>
      <c r="D445" s="27"/>
      <c r="E445" s="30" t="s">
        <v>7023</v>
      </c>
      <c r="F445" s="13" t="e">
        <f>IF(ISBLANK(input_mgmt_az2_host15_mgmt_ip),"Value Missing",input_mgmt_az2_host15_mgmt_ip)</f>
        <v>#REF!</v>
      </c>
      <c r="G445" s="7"/>
      <c r="H445" s="30" t="s">
        <v>7015</v>
      </c>
      <c r="I445" s="13" t="s">
        <v>7092</v>
      </c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</row>
    <row r="446" spans="1:37" ht="19.5" customHeight="1">
      <c r="A446" s="27"/>
      <c r="B446" s="27"/>
      <c r="C446" s="27"/>
      <c r="D446" s="27"/>
      <c r="E446" s="30" t="s">
        <v>7024</v>
      </c>
      <c r="F446" s="13" t="e">
        <f>IF(ISBLANK(input_mgmt_az2_host16_mgmt_ip),"Value Missing",input_mgmt_az2_host16_mgmt_ip)</f>
        <v>#REF!</v>
      </c>
      <c r="G446" s="7"/>
      <c r="H446" s="30" t="s">
        <v>7016</v>
      </c>
      <c r="I446" s="13" t="s">
        <v>7092</v>
      </c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</row>
    <row r="447" spans="1:37" ht="19.5" customHeight="1">
      <c r="A447" s="27"/>
      <c r="B447" s="27"/>
      <c r="C447" s="27"/>
      <c r="D447" s="27"/>
      <c r="E447" s="30" t="s">
        <v>7025</v>
      </c>
      <c r="F447" s="13" t="str">
        <f>IF(ISBLANK('Site Protection &amp; DR'!D193),"Value Missing",'Site Protection &amp; DR'!D193)</f>
        <v>Value Missing</v>
      </c>
      <c r="G447" s="7"/>
      <c r="H447" s="30" t="s">
        <v>7017</v>
      </c>
      <c r="I447" s="13" t="s">
        <v>7092</v>
      </c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</row>
    <row r="448" spans="1:37" ht="19.5" customHeight="1">
      <c r="A448" s="27"/>
      <c r="B448" s="27"/>
      <c r="C448" s="27"/>
      <c r="D448" s="27"/>
      <c r="E448" s="30" t="s">
        <v>7026</v>
      </c>
      <c r="F448" s="13" t="str">
        <f>IF(ISBLANK('Site Protection &amp; DR'!D194),"Value Missing",'Site Protection &amp; DR'!D194)</f>
        <v>Value Missing</v>
      </c>
      <c r="G448" s="7"/>
      <c r="H448" s="30" t="s">
        <v>7018</v>
      </c>
      <c r="I448" s="13" t="s">
        <v>7092</v>
      </c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</row>
    <row r="449" spans="1:37" ht="19.5" customHeight="1">
      <c r="A449" s="27"/>
      <c r="B449" s="27"/>
      <c r="C449" s="27"/>
      <c r="D449" s="27"/>
      <c r="E449" s="30" t="s">
        <v>7034</v>
      </c>
      <c r="F449" s="13" t="str">
        <f>IF(ISBLANK('Site Protection &amp; DR'!D195),"Value Missing",'Site Protection &amp; DR'!D195)</f>
        <v>Value Missing</v>
      </c>
      <c r="G449" s="7"/>
      <c r="H449" s="30" t="s">
        <v>7019</v>
      </c>
      <c r="I449" s="13" t="s">
        <v>7092</v>
      </c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</row>
    <row r="450" spans="1:37" ht="19.5" customHeight="1">
      <c r="A450" s="27"/>
      <c r="B450" s="27"/>
      <c r="C450" s="27"/>
      <c r="D450" s="27"/>
      <c r="E450" s="30" t="s">
        <v>7035</v>
      </c>
      <c r="F450" s="13" t="str">
        <f>IF(ISBLANK('Site Protection &amp; DR'!D196),"Value Missing",'Site Protection &amp; DR'!D196)</f>
        <v>Value Missing</v>
      </c>
      <c r="G450" s="7"/>
      <c r="H450" s="30" t="s">
        <v>7020</v>
      </c>
      <c r="I450" s="13" t="s">
        <v>7092</v>
      </c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</row>
    <row r="451" spans="1:37" ht="19.5" customHeight="1">
      <c r="A451" s="27"/>
      <c r="B451" s="27"/>
      <c r="C451" s="27"/>
      <c r="D451" s="27"/>
      <c r="E451" s="30" t="s">
        <v>7037</v>
      </c>
      <c r="F451" s="13" t="str">
        <f>IF(ISBLANK('Site Protection &amp; DR'!D197),"Value Missing",'Site Protection &amp; DR'!D197)</f>
        <v>Value Missing</v>
      </c>
      <c r="G451" s="7"/>
      <c r="H451" s="30" t="s">
        <v>7021</v>
      </c>
      <c r="I451" s="13" t="s">
        <v>7092</v>
      </c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</row>
    <row r="452" spans="1:37" ht="19.5" customHeight="1">
      <c r="A452" s="27"/>
      <c r="B452" s="27"/>
      <c r="C452" s="27"/>
      <c r="D452" s="27"/>
      <c r="E452" s="30" t="s">
        <v>7039</v>
      </c>
      <c r="F452" s="13" t="str">
        <f>IF(ISBLANK('Site Protection &amp; DR'!D198),"Value Missing",'Site Protection &amp; DR'!D198)</f>
        <v>Value Missing</v>
      </c>
      <c r="G452" s="7"/>
      <c r="H452" s="30" t="s">
        <v>7022</v>
      </c>
      <c r="I452" s="13" t="s">
        <v>7092</v>
      </c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</row>
    <row r="453" spans="1:37" ht="19.5" customHeight="1">
      <c r="A453" s="27"/>
      <c r="B453" s="27"/>
      <c r="C453" s="27"/>
      <c r="D453" s="27"/>
      <c r="E453" s="30" t="s">
        <v>7041</v>
      </c>
      <c r="F453" s="13" t="str">
        <f>IF(ISBLANK('Site Protection &amp; DR'!D199),"Value Missing",'Site Protection &amp; DR'!D199)</f>
        <v>Value Missing</v>
      </c>
      <c r="G453" s="7"/>
      <c r="H453" s="30" t="s">
        <v>7023</v>
      </c>
      <c r="I453" s="13" t="s">
        <v>7092</v>
      </c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</row>
    <row r="454" spans="1:37" ht="19.5" customHeight="1">
      <c r="A454" s="27"/>
      <c r="B454" s="27"/>
      <c r="C454" s="27"/>
      <c r="D454" s="27"/>
      <c r="E454" s="30" t="s">
        <v>7043</v>
      </c>
      <c r="F454" s="13" t="str">
        <f>IF(ISBLANK('Site Protection &amp; DR'!D200),"Value Missing",'Site Protection &amp; DR'!D200)</f>
        <v>Value Missing</v>
      </c>
      <c r="G454" s="7"/>
      <c r="H454" s="30" t="s">
        <v>7024</v>
      </c>
      <c r="I454" s="13" t="s">
        <v>7092</v>
      </c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</row>
    <row r="455" spans="1:37" ht="19.5" customHeight="1">
      <c r="A455" s="27"/>
      <c r="B455" s="27"/>
      <c r="C455" s="27"/>
      <c r="D455" s="27"/>
      <c r="E455" s="30" t="s">
        <v>7045</v>
      </c>
      <c r="F455" s="13" t="str">
        <f>IF(ISBLANK('Site Protection &amp; DR'!D201),"Value Missing",'Site Protection &amp; DR'!D201)</f>
        <v>Value Missing</v>
      </c>
      <c r="G455" s="7"/>
      <c r="H455" s="30" t="s">
        <v>7025</v>
      </c>
      <c r="I455" s="13" t="str">
        <f>IF(ISBLANK('Dumping Ground'!D310),"Value Missing",'Dumping Ground'!D310)</f>
        <v>Value Missing</v>
      </c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</row>
    <row r="456" spans="1:37" ht="19.5" customHeight="1">
      <c r="A456" s="27"/>
      <c r="B456" s="27"/>
      <c r="C456" s="27"/>
      <c r="D456" s="27"/>
      <c r="E456" s="30" t="s">
        <v>7047</v>
      </c>
      <c r="F456" s="13" t="str">
        <f>IF(ISBLANK('Site Protection &amp; DR'!D202),"Value Missing",'Site Protection &amp; DR'!D202)</f>
        <v>Value Missing</v>
      </c>
      <c r="G456" s="7"/>
      <c r="H456" s="30" t="s">
        <v>7026</v>
      </c>
      <c r="I456" s="13" t="str">
        <f>IF(ISBLANK('Dumping Ground'!D311),"Value Missing",'Dumping Ground'!D311)</f>
        <v>Value Missing</v>
      </c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</row>
    <row r="457" spans="1:37" ht="19.5" customHeight="1">
      <c r="A457" s="27"/>
      <c r="B457" s="27"/>
      <c r="C457" s="27"/>
      <c r="D457" s="27"/>
      <c r="E457" s="30" t="s">
        <v>7049</v>
      </c>
      <c r="F457" s="13" t="str">
        <f>IF(ISBLANK('Site Protection &amp; DR'!D203),"Value Missing",'Site Protection &amp; DR'!D203)</f>
        <v>Value Missing</v>
      </c>
      <c r="G457" s="7"/>
      <c r="H457" s="30" t="s">
        <v>7034</v>
      </c>
      <c r="I457" s="13" t="str">
        <f>IF(ISBLANK('Dumping Ground'!D312),"Value Missing",'Dumping Ground'!D312)</f>
        <v>Value Missing</v>
      </c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</row>
    <row r="458" spans="1:37" ht="19.5" customHeight="1">
      <c r="A458" s="27"/>
      <c r="B458" s="27"/>
      <c r="C458" s="27"/>
      <c r="D458" s="27"/>
      <c r="E458" s="30" t="s">
        <v>7051</v>
      </c>
      <c r="F458" s="13" t="str">
        <f>IF(ISBLANK('Site Protection &amp; DR'!D204),"Value Missing",'Site Protection &amp; DR'!D204)</f>
        <v>Value Missing</v>
      </c>
      <c r="G458" s="53"/>
      <c r="H458" s="30" t="s">
        <v>7035</v>
      </c>
      <c r="I458" s="13" t="str">
        <f>IF(ISBLANK('Dumping Ground'!D313),"Value Missing",'Dumping Ground'!D313)</f>
        <v>Value Missing</v>
      </c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</row>
    <row r="459" spans="1:37" ht="19.5" customHeight="1">
      <c r="A459" s="27"/>
      <c r="B459" s="27"/>
      <c r="C459" s="27"/>
      <c r="D459" s="27"/>
      <c r="E459" s="30" t="s">
        <v>7053</v>
      </c>
      <c r="F459" s="13" t="str">
        <f>IF(ISBLANK('Site Protection &amp; DR'!D205),"Value Missing",'Site Protection &amp; DR'!D205)</f>
        <v>Value Missing</v>
      </c>
      <c r="G459" s="7"/>
      <c r="H459" s="30" t="s">
        <v>7037</v>
      </c>
      <c r="I459" s="13" t="str">
        <f>IF(ISBLANK('Dumping Ground'!D314),"Value Missing",'Dumping Ground'!D314)</f>
        <v>Value Missing</v>
      </c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</row>
    <row r="460" spans="1:37" ht="19.5" customHeight="1">
      <c r="A460" s="27"/>
      <c r="B460" s="27"/>
      <c r="C460" s="27"/>
      <c r="D460" s="27"/>
      <c r="E460" s="30" t="s">
        <v>7055</v>
      </c>
      <c r="F460" s="13" t="str">
        <f>IF(ISBLANK('Site Protection &amp; DR'!D206),"Value Missing",'Site Protection &amp; DR'!D206)</f>
        <v>Value Missing</v>
      </c>
      <c r="G460" s="7"/>
      <c r="H460" s="30" t="s">
        <v>7039</v>
      </c>
      <c r="I460" s="13" t="str">
        <f>IF(ISBLANK('Dumping Ground'!D315),"Value Missing",'Dumping Ground'!D315)</f>
        <v>Value Missing</v>
      </c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</row>
    <row r="461" spans="1:37" ht="19.5" customHeight="1">
      <c r="A461" s="27"/>
      <c r="B461" s="27"/>
      <c r="C461" s="27"/>
      <c r="D461" s="27"/>
      <c r="E461" s="30" t="s">
        <v>7057</v>
      </c>
      <c r="F461" s="13" t="str">
        <f>IF(ISBLANK('Site Protection &amp; DR'!D207),"Value Missing",'Site Protection &amp; DR'!D207)</f>
        <v>Value Missing</v>
      </c>
      <c r="G461" s="7"/>
      <c r="H461" s="30" t="s">
        <v>7041</v>
      </c>
      <c r="I461" s="13" t="str">
        <f>IF(ISBLANK('Dumping Ground'!D316),"Value Missing",'Dumping Ground'!D316)</f>
        <v>Value Missing</v>
      </c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</row>
    <row r="462" spans="1:37" ht="19.5" customHeight="1">
      <c r="A462" s="27"/>
      <c r="B462" s="27"/>
      <c r="C462" s="27"/>
      <c r="D462" s="27"/>
      <c r="E462" s="30" t="s">
        <v>7059</v>
      </c>
      <c r="F462" s="13" t="str">
        <f>IF(ISBLANK('Site Protection &amp; DR'!D208),"Value Missing",'Site Protection &amp; DR'!D208)</f>
        <v>Value Missing</v>
      </c>
      <c r="G462" s="7"/>
      <c r="H462" s="30" t="s">
        <v>7043</v>
      </c>
      <c r="I462" s="13" t="str">
        <f>IF(ISBLANK('Dumping Ground'!D317),"Value Missing",'Dumping Ground'!D317)</f>
        <v>Value Missing</v>
      </c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</row>
    <row r="463" spans="1:37" ht="19.5" customHeight="1">
      <c r="A463" s="27"/>
      <c r="B463" s="27"/>
      <c r="C463" s="27"/>
      <c r="D463" s="27"/>
      <c r="E463" s="7"/>
      <c r="F463" s="7"/>
      <c r="G463" s="7"/>
      <c r="H463" s="30" t="s">
        <v>7045</v>
      </c>
      <c r="I463" s="13" t="str">
        <f>IF(ISBLANK('Dumping Ground'!D318),"Value Missing",'Dumping Ground'!D318)</f>
        <v>Value Missing</v>
      </c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</row>
    <row r="464" spans="1:37" ht="19.5" customHeight="1">
      <c r="A464" s="27"/>
      <c r="B464" s="27"/>
      <c r="C464" s="27"/>
      <c r="D464" s="27"/>
      <c r="E464" s="206" t="s">
        <v>7128</v>
      </c>
      <c r="F464" s="200"/>
      <c r="G464" s="7"/>
      <c r="H464" s="30" t="s">
        <v>7047</v>
      </c>
      <c r="I464" s="13" t="str">
        <f>IF(ISBLANK('Dumping Ground'!D319),"Value Missing",'Dumping Ground'!D319)</f>
        <v>Value Missing</v>
      </c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</row>
    <row r="465" spans="1:37" ht="19.5" customHeight="1">
      <c r="A465" s="27"/>
      <c r="B465" s="27"/>
      <c r="C465" s="27"/>
      <c r="D465" s="27"/>
      <c r="E465" s="52" t="s">
        <v>6780</v>
      </c>
      <c r="F465" s="52" t="s">
        <v>7102</v>
      </c>
      <c r="G465" s="7"/>
      <c r="H465" s="30" t="s">
        <v>7049</v>
      </c>
      <c r="I465" s="13" t="str">
        <f>IF(ISBLANK('Dumping Ground'!D320),"Value Missing",'Dumping Ground'!D320)</f>
        <v>Value Missing</v>
      </c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</row>
    <row r="466" spans="1:37" ht="19.5" customHeight="1">
      <c r="A466" s="27"/>
      <c r="B466" s="27"/>
      <c r="C466" s="27"/>
      <c r="D466" s="27"/>
      <c r="E466" s="30" t="s">
        <v>7036</v>
      </c>
      <c r="F466" s="13" t="e">
        <f>IF(mgmt_az2_host1_fqdn="Value Missing",mgmt_az2_host1_fqdn,LEFT(mgmt_az2_host1_fqdn,FIND(".",mgmt_az2_host1_fqdn)-1))</f>
        <v>#REF!</v>
      </c>
      <c r="G466" s="7"/>
      <c r="H466" s="30" t="s">
        <v>7051</v>
      </c>
      <c r="I466" s="13" t="str">
        <f>IF(ISBLANK('Dumping Ground'!D321),"Value Missing",'Dumping Ground'!D321)</f>
        <v>Value Missing</v>
      </c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</row>
    <row r="467" spans="1:37" ht="19.5" customHeight="1">
      <c r="A467" s="27"/>
      <c r="B467" s="27"/>
      <c r="C467" s="27"/>
      <c r="D467" s="27"/>
      <c r="E467" s="30" t="s">
        <v>7038</v>
      </c>
      <c r="F467" s="13" t="e">
        <f>IF(mgmt_az2_host2_fqdn="Value Missing",mgmt_az2_host2_fqdn,LEFT(mgmt_az2_host2_fqdn,FIND(".",mgmt_az2_host2_fqdn)-1))</f>
        <v>#REF!</v>
      </c>
      <c r="G467" s="7"/>
      <c r="H467" s="30" t="s">
        <v>7053</v>
      </c>
      <c r="I467" s="13" t="str">
        <f>IF(ISBLANK('Dumping Ground'!D322),"Value Missing",'Dumping Ground'!D322)</f>
        <v>Value Missing</v>
      </c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</row>
    <row r="468" spans="1:37" ht="19.5" customHeight="1">
      <c r="A468" s="27"/>
      <c r="B468" s="27"/>
      <c r="C468" s="27"/>
      <c r="D468" s="27"/>
      <c r="E468" s="30" t="s">
        <v>7040</v>
      </c>
      <c r="F468" s="13" t="e">
        <f>IF(mgmt_az2_host3_fqdn="Value Missing",mgmt_az2_host3_fqdn,LEFT(mgmt_az2_host3_fqdn,FIND(".",mgmt_az2_host3_fqdn)-1))</f>
        <v>#REF!</v>
      </c>
      <c r="G468" s="7"/>
      <c r="H468" s="30" t="s">
        <v>7055</v>
      </c>
      <c r="I468" s="13" t="str">
        <f>IF(ISBLANK('Dumping Ground'!D323),"Value Missing",'Dumping Ground'!D323)</f>
        <v>Value Missing</v>
      </c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</row>
    <row r="469" spans="1:37" ht="19.5" customHeight="1">
      <c r="A469" s="27"/>
      <c r="B469" s="27"/>
      <c r="C469" s="27"/>
      <c r="D469" s="27"/>
      <c r="E469" s="30" t="s">
        <v>7042</v>
      </c>
      <c r="F469" s="13" t="e">
        <f>IF(mgmt_az2_host4_fqdn="Value Missing",mgmt_az2_host4_fqdn,LEFT(mgmt_az2_host4_fqdn,FIND(".",mgmt_az2_host4_fqdn)-1))</f>
        <v>#REF!</v>
      </c>
      <c r="G469" s="7"/>
      <c r="H469" s="30" t="s">
        <v>7057</v>
      </c>
      <c r="I469" s="13" t="str">
        <f>IF(ISBLANK('Dumping Ground'!D324),"Value Missing",'Dumping Ground'!D324)</f>
        <v>Value Missing</v>
      </c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</row>
    <row r="470" spans="1:37" ht="19.5" customHeight="1">
      <c r="A470" s="27"/>
      <c r="B470" s="27"/>
      <c r="C470" s="27"/>
      <c r="D470" s="27"/>
      <c r="E470" s="30" t="s">
        <v>7044</v>
      </c>
      <c r="F470" s="13" t="e">
        <f>IF(mgmt_az2_host5_fqdn="Value Missing",mgmt_az2_host5_fqdn,LEFT(mgmt_az2_host5_fqdn,FIND(".",mgmt_az2_host5_fqdn)-1))</f>
        <v>#REF!</v>
      </c>
      <c r="G470" s="7"/>
      <c r="H470" s="30" t="s">
        <v>7059</v>
      </c>
      <c r="I470" s="13" t="str">
        <f>IF(ISBLANK('Dumping Ground'!D325),"Value Missing",'Dumping Ground'!D325)</f>
        <v>Value Missing</v>
      </c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</row>
    <row r="471" spans="1:37" ht="19.5" customHeight="1">
      <c r="A471" s="27"/>
      <c r="B471" s="27"/>
      <c r="C471" s="27"/>
      <c r="D471" s="27"/>
      <c r="E471" s="30" t="s">
        <v>7046</v>
      </c>
      <c r="F471" s="13" t="e">
        <f>IF(mgmt_az2_host6_fqdn="Value Missing",mgmt_az2_host6_fqdn,LEFT(mgmt_az2_host6_fqdn,FIND(".",mgmt_az2_host6_fqdn)-1))</f>
        <v>#REF!</v>
      </c>
      <c r="G471" s="7"/>
      <c r="H471" s="27"/>
      <c r="I471" s="68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</row>
    <row r="472" spans="1:37" ht="19.5" customHeight="1">
      <c r="A472" s="27"/>
      <c r="B472" s="27"/>
      <c r="C472" s="27"/>
      <c r="D472" s="27"/>
      <c r="E472" s="30" t="s">
        <v>7048</v>
      </c>
      <c r="F472" s="13" t="e">
        <f>IF(mgmt_az2_host7_fqdn="Value Missing",mgmt_az2_host7_fqdn,LEFT(mgmt_az2_host7_fqdn,FIND(".",mgmt_az2_host7_fqdn)-1))</f>
        <v>#REF!</v>
      </c>
      <c r="G472" s="7"/>
      <c r="H472" s="206" t="s">
        <v>7129</v>
      </c>
      <c r="I472" s="200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</row>
    <row r="473" spans="1:37" ht="19.5" customHeight="1">
      <c r="A473" s="27"/>
      <c r="B473" s="27"/>
      <c r="C473" s="27"/>
      <c r="D473" s="27"/>
      <c r="E473" s="30" t="s">
        <v>7050</v>
      </c>
      <c r="F473" s="13" t="e">
        <f>IF(mgmt_az2_host8_fqdn="Value Missing",mgmt_az2_host8_fqdn,LEFT(mgmt_az2_host8_fqdn,FIND(".",mgmt_az2_host8_fqdn)-1))</f>
        <v>#REF!</v>
      </c>
      <c r="G473" s="7"/>
      <c r="H473" s="52" t="s">
        <v>6780</v>
      </c>
      <c r="I473" s="52" t="s">
        <v>7102</v>
      </c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</row>
    <row r="474" spans="1:37" ht="19.5" customHeight="1">
      <c r="A474" s="27"/>
      <c r="B474" s="27"/>
      <c r="C474" s="27"/>
      <c r="D474" s="27"/>
      <c r="E474" s="30" t="s">
        <v>7052</v>
      </c>
      <c r="F474" s="13" t="e">
        <f>IF(mgmt_az2_host9_fqdn="Value Missing",mgmt_az2_host9_fqdn,LEFT(mgmt_az2_host9_fqdn,FIND(".",mgmt_az2_host9_fqdn)-1))</f>
        <v>#REF!</v>
      </c>
      <c r="G474" s="7"/>
      <c r="H474" s="30" t="s">
        <v>7036</v>
      </c>
      <c r="I474" s="13" t="e">
        <f>IF(wld_az2_host1_fqdn="Value Missing",wld_az2_host1_fqdn,LEFT(wld_az2_host1_fqdn,FIND(".",wld_az2_host1_fqdn)-1))</f>
        <v>#REF!</v>
      </c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</row>
    <row r="475" spans="1:37" ht="19.5" customHeight="1">
      <c r="A475" s="27"/>
      <c r="B475" s="27"/>
      <c r="C475" s="27"/>
      <c r="D475" s="27"/>
      <c r="E475" s="30" t="s">
        <v>7054</v>
      </c>
      <c r="F475" s="13" t="e">
        <f>IF(mgmt_az2_host10_fqdn="Value Missing",mgmt_az2_host10_fqdn,LEFT(mgmt_az2_host10_fqdn,FIND(".",mgmt_az2_host10_fqdn)-1))</f>
        <v>#REF!</v>
      </c>
      <c r="G475" s="27"/>
      <c r="H475" s="30" t="s">
        <v>7038</v>
      </c>
      <c r="I475" s="13" t="e">
        <f>IF(wld_az2_host2_fqdn="Value Missing",wld_az2_host2_fqdn,LEFT(wld_az2_host2_fqdn,FIND(".",wld_az2_host2_fqdn)-1))</f>
        <v>#REF!</v>
      </c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</row>
    <row r="476" spans="1:37" ht="19.5" customHeight="1">
      <c r="A476" s="27"/>
      <c r="B476" s="27"/>
      <c r="C476" s="27"/>
      <c r="D476" s="27"/>
      <c r="E476" s="30" t="s">
        <v>7056</v>
      </c>
      <c r="F476" s="13" t="e">
        <f>IF(mgmt_az2_host11_fqdn="Value Missing",mgmt_az2_host11_fqdn,LEFT(mgmt_az2_host11_fqdn,FIND(".",mgmt_az2_host11_fqdn)-1))</f>
        <v>#REF!</v>
      </c>
      <c r="G476" s="27"/>
      <c r="H476" s="30" t="s">
        <v>7040</v>
      </c>
      <c r="I476" s="13" t="e">
        <f>IF(wld_az2_host3_fqdn="Value Missing",wld_az2_host3_fqdn,LEFT(wld_az2_host3_fqdn,FIND(".",wld_az2_host3_fqdn)-1))</f>
        <v>#REF!</v>
      </c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</row>
    <row r="477" spans="1:37" ht="19.5" customHeight="1">
      <c r="A477" s="27"/>
      <c r="B477" s="27"/>
      <c r="C477" s="27"/>
      <c r="D477" s="27"/>
      <c r="E477" s="30" t="s">
        <v>7058</v>
      </c>
      <c r="F477" s="13" t="e">
        <f>IF(mgmt_az2_host12_fqdn="Value Missing",mgmt_az2_host12_fqdn,LEFT(mgmt_az2_host12_fqdn,FIND(".",mgmt_az2_host12_fqdn)-1))</f>
        <v>#REF!</v>
      </c>
      <c r="G477" s="27"/>
      <c r="H477" s="30" t="s">
        <v>7042</v>
      </c>
      <c r="I477" s="13" t="e">
        <f>IF(wld_az2_host4_fqdn="Value Missing",wld_az2_host4_fqdn,LEFT(wld_az2_host4_fqdn,FIND(".",wld_az2_host4_fqdn)-1))</f>
        <v>#REF!</v>
      </c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</row>
    <row r="478" spans="1:37" ht="19.5" customHeight="1">
      <c r="A478" s="27"/>
      <c r="B478" s="27"/>
      <c r="C478" s="27"/>
      <c r="D478" s="27"/>
      <c r="E478" s="30" t="s">
        <v>7060</v>
      </c>
      <c r="F478" s="13" t="e">
        <f>IF(mgmt_az2_host13_fqdn="Value Missing",mgmt_az2_host13_fqdn,LEFT(mgmt_az2_host13_fqdn,FIND(".",mgmt_az2_host13_fqdn)-1))</f>
        <v>#REF!</v>
      </c>
      <c r="G478" s="27"/>
      <c r="H478" s="30" t="s">
        <v>7044</v>
      </c>
      <c r="I478" s="13" t="e">
        <f>IF(wld_az2_host5_fqdn="Value Missing",wld_az2_host5_fqdn,LEFT(wld_az2_host5_fqdn,FIND(".",wld_az2_host5_fqdn)-1))</f>
        <v>#REF!</v>
      </c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</row>
    <row r="479" spans="1:37" ht="19.5" customHeight="1">
      <c r="A479" s="27"/>
      <c r="B479" s="27"/>
      <c r="C479" s="27"/>
      <c r="D479" s="27"/>
      <c r="E479" s="30" t="s">
        <v>7061</v>
      </c>
      <c r="F479" s="13" t="e">
        <f>IF(mgmt_az2_host14_fqdn="Value Missing",mgmt_az2_host14_fqdn,LEFT(mgmt_az2_host14_fqdn,FIND(".",mgmt_az2_host14_fqdn)-1))</f>
        <v>#REF!</v>
      </c>
      <c r="G479" s="27"/>
      <c r="H479" s="30" t="s">
        <v>7046</v>
      </c>
      <c r="I479" s="13" t="e">
        <f>IF(wld_az2_host6_fqdn="Value Missing",wld_az2_host6_fqdn,LEFT(wld_az2_host6_fqdn,FIND(".",wld_az2_host6_fqdn)-1))</f>
        <v>#REF!</v>
      </c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</row>
    <row r="480" spans="1:37" ht="19.5" customHeight="1">
      <c r="A480" s="27"/>
      <c r="B480" s="27"/>
      <c r="C480" s="27"/>
      <c r="D480" s="27"/>
      <c r="E480" s="30" t="s">
        <v>7064</v>
      </c>
      <c r="F480" s="13" t="e">
        <f>IF(mgmt_az2_host15_fqdn="Value Missing",mgmt_az2_host15_fqdn,LEFT(mgmt_az2_host15_fqdn,FIND(".",mgmt_az2_host15_fqdn)-1))</f>
        <v>#REF!</v>
      </c>
      <c r="G480" s="27"/>
      <c r="H480" s="30" t="s">
        <v>7048</v>
      </c>
      <c r="I480" s="13" t="e">
        <f>IF(wld_az2_host7_fqdn="Value Missing",wld_az2_host7_fqdn,LEFT(wld_az2_host7_fqdn,FIND(".",wld_az2_host7_fqdn)-1))</f>
        <v>#REF!</v>
      </c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</row>
    <row r="481" spans="1:37" ht="19.5" customHeight="1">
      <c r="A481" s="27"/>
      <c r="B481" s="27"/>
      <c r="C481" s="27"/>
      <c r="D481" s="27"/>
      <c r="E481" s="30" t="s">
        <v>7065</v>
      </c>
      <c r="F481" s="13" t="e">
        <f>IF(mgmt_az2_host16_fqdn="Value Missing",mgmt_az2_host16_fqdn,LEFT(mgmt_az2_host16_fqdn,FIND(".",mgmt_az2_host16_fqdn)-1))</f>
        <v>#REF!</v>
      </c>
      <c r="G481" s="27"/>
      <c r="H481" s="30" t="s">
        <v>7050</v>
      </c>
      <c r="I481" s="13" t="e">
        <f>IF(wld_az2_host8_fqdn="Value Missing",wld_az2_host8_fqdn,LEFT(wld_az2_host8_fqdn,FIND(".",wld_az2_host8_fqdn)-1))</f>
        <v>#REF!</v>
      </c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</row>
    <row r="482" spans="1:37" ht="19.5" customHeight="1">
      <c r="A482" s="27"/>
      <c r="B482" s="27"/>
      <c r="C482" s="27"/>
      <c r="D482" s="27"/>
      <c r="E482" s="7"/>
      <c r="F482" s="7"/>
      <c r="G482" s="27"/>
      <c r="H482" s="30" t="s">
        <v>7052</v>
      </c>
      <c r="I482" s="13" t="e">
        <f>IF(wld_az2_host9_fqdn="Value Missing",wld_az2_host9_fqdn,LEFT(wld_az2_host9_fqdn,FIND(".",wld_az2_host9_fqdn)-1))</f>
        <v>#REF!</v>
      </c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</row>
    <row r="483" spans="1:37" ht="19.5" customHeight="1">
      <c r="A483" s="27"/>
      <c r="B483" s="27"/>
      <c r="C483" s="27"/>
      <c r="D483" s="27"/>
      <c r="E483" s="49" t="s">
        <v>7130</v>
      </c>
      <c r="F483" s="111"/>
      <c r="G483" s="27"/>
      <c r="H483" s="30" t="s">
        <v>7054</v>
      </c>
      <c r="I483" s="13" t="e">
        <f>IF(wld_az2_host10_fqdn="Value Missing",wld_az2_host10_fqdn,LEFT(wld_az2_host10_fqdn,FIND(".",wld_az2_host10_fqdn)-1))</f>
        <v>#REF!</v>
      </c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</row>
    <row r="484" spans="1:37" ht="19.5" customHeight="1">
      <c r="A484" s="27"/>
      <c r="B484" s="27"/>
      <c r="C484" s="27"/>
      <c r="D484" s="27"/>
      <c r="E484" s="52" t="s">
        <v>6780</v>
      </c>
      <c r="F484" s="52" t="s">
        <v>7102</v>
      </c>
      <c r="G484" s="27"/>
      <c r="H484" s="30" t="s">
        <v>7056</v>
      </c>
      <c r="I484" s="13" t="e">
        <f>IF(wld_az2_host11_fqdn="Value Missing",wld_az2_host11_fqdn,LEFT(wld_az2_host11_fqdn,FIND(".",wld_az2_host11_fqdn)-1))</f>
        <v>#REF!</v>
      </c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</row>
    <row r="485" spans="1:37" ht="19.5" customHeight="1">
      <c r="A485" s="27"/>
      <c r="B485" s="27"/>
      <c r="C485" s="27"/>
      <c r="D485" s="27"/>
      <c r="E485" s="30" t="s">
        <v>7036</v>
      </c>
      <c r="F485" s="13" t="e">
        <f>IF(ISBLANK(input_mgmt_az2_host1_fqdn),"Value Missing",input_mgmt_az2_host1_fqdn)</f>
        <v>#REF!</v>
      </c>
      <c r="G485" s="27"/>
      <c r="H485" s="30" t="s">
        <v>7058</v>
      </c>
      <c r="I485" s="13" t="e">
        <f>IF(wld_az2_host12_fqdn="Value Missing",wld_az2_host12_fqdn,LEFT(wld_az2_host12_fqdn,FIND(".",wld_az2_host12_fqdn)-1))</f>
        <v>#REF!</v>
      </c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</row>
    <row r="486" spans="1:37" ht="19.5" customHeight="1">
      <c r="A486" s="27"/>
      <c r="B486" s="27"/>
      <c r="C486" s="27"/>
      <c r="D486" s="27"/>
      <c r="E486" s="30" t="s">
        <v>7038</v>
      </c>
      <c r="F486" s="13" t="e">
        <f>IF(ISBLANK(input_mgmt_az2_host2_fqdn),"Value Missing",input_mgmt_az2_host2_fqdn)</f>
        <v>#REF!</v>
      </c>
      <c r="G486" s="27"/>
      <c r="H486" s="30" t="s">
        <v>7060</v>
      </c>
      <c r="I486" s="13" t="e">
        <f>IF(wld_az2_host13_fqdn="Value Missing",wld_az2_host13_fqdn,LEFT(wld_az2_host13_fqdn,FIND(".",wld_az2_host13_fqdn)-1))</f>
        <v>#REF!</v>
      </c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</row>
    <row r="487" spans="1:37" ht="19.5" customHeight="1">
      <c r="A487" s="27"/>
      <c r="B487" s="27"/>
      <c r="C487" s="27"/>
      <c r="D487" s="27"/>
      <c r="E487" s="30" t="s">
        <v>7040</v>
      </c>
      <c r="F487" s="13" t="e">
        <f>IF(ISBLANK(input_mgmt_az2_host3_fqdn),"Value Missing",input_mgmt_az2_host3_fqdn)</f>
        <v>#REF!</v>
      </c>
      <c r="G487" s="27"/>
      <c r="H487" s="30" t="s">
        <v>7061</v>
      </c>
      <c r="I487" s="13" t="e">
        <f>IF(wld_az2_host14_fqdn="Value Missing",wld_az2_host14_fqdn,LEFT(wld_az2_host14_fqdn,FIND(".",wld_az2_host14_fqdn)-1))</f>
        <v>#REF!</v>
      </c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</row>
    <row r="488" spans="1:37" ht="19.5" customHeight="1">
      <c r="A488" s="27"/>
      <c r="B488" s="27"/>
      <c r="C488" s="27"/>
      <c r="D488" s="27"/>
      <c r="E488" s="30" t="s">
        <v>7042</v>
      </c>
      <c r="F488" s="13" t="e">
        <f>IF(ISBLANK(input_mgmt_az2_host4_fqdn),"Value Missing",input_mgmt_az2_host4_fqdn)</f>
        <v>#REF!</v>
      </c>
      <c r="G488" s="27"/>
      <c r="H488" s="30" t="s">
        <v>7064</v>
      </c>
      <c r="I488" s="13" t="e">
        <f>IF(wld_az2_host15_fqdn="Value Missing",wld_az2_host15_fqdn,LEFT(wld_az2_host15_fqdn,FIND(".",wld_az2_host15_fqdn)-1))</f>
        <v>#REF!</v>
      </c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</row>
    <row r="489" spans="1:37" ht="19.5" customHeight="1">
      <c r="A489" s="27"/>
      <c r="B489" s="27"/>
      <c r="C489" s="27"/>
      <c r="D489" s="27"/>
      <c r="E489" s="30" t="s">
        <v>7044</v>
      </c>
      <c r="F489" s="13" t="e">
        <f>IF(ISBLANK(input_mgmt_az2_host5_fqdn),"Value Missing",input_mgmt_az2_host5_fqdn)</f>
        <v>#REF!</v>
      </c>
      <c r="G489" s="27"/>
      <c r="H489" s="30" t="s">
        <v>7065</v>
      </c>
      <c r="I489" s="13" t="e">
        <f>IF(wld_az2_host16_fqdn="Value Missing",wld_az2_host16_fqdn,LEFT(wld_az2_host16_fqdn,FIND(".",wld_az2_host16_fqdn)-1))</f>
        <v>#REF!</v>
      </c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</row>
    <row r="490" spans="1:37" ht="19.5" customHeight="1">
      <c r="A490" s="27"/>
      <c r="B490" s="27"/>
      <c r="C490" s="27"/>
      <c r="D490" s="27"/>
      <c r="E490" s="30" t="s">
        <v>7046</v>
      </c>
      <c r="F490" s="13" t="e">
        <f>IF(ISBLANK(input_mgmt_az2_host6_fqdn),"Value Missing",input_mgmt_az2_host6_fqdn)</f>
        <v>#REF!</v>
      </c>
      <c r="G490" s="27"/>
      <c r="H490" s="27"/>
      <c r="I490" s="68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</row>
    <row r="491" spans="1:37" ht="19.5" customHeight="1">
      <c r="A491" s="27"/>
      <c r="B491" s="27"/>
      <c r="C491" s="27"/>
      <c r="D491" s="27"/>
      <c r="E491" s="30" t="s">
        <v>7048</v>
      </c>
      <c r="F491" s="13" t="e">
        <f>IF(ISBLANK(input_mgmt_az2_host7_fqdn),"Value Missing",input_mgmt_az2_host7_fqdn)</f>
        <v>#REF!</v>
      </c>
      <c r="G491" s="27"/>
      <c r="H491" s="49" t="s">
        <v>7074</v>
      </c>
      <c r="I491" s="111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</row>
    <row r="492" spans="1:37" ht="19.5" customHeight="1">
      <c r="A492" s="27"/>
      <c r="B492" s="27"/>
      <c r="C492" s="27"/>
      <c r="D492" s="27"/>
      <c r="E492" s="30" t="s">
        <v>7050</v>
      </c>
      <c r="F492" s="13" t="e">
        <f>IF(ISBLANK(input_mgmt_az2_host8_fqdn),"Value Missing",input_mgmt_az2_host8_fqdn)</f>
        <v>#REF!</v>
      </c>
      <c r="G492" s="27"/>
      <c r="H492" s="52" t="s">
        <v>6780</v>
      </c>
      <c r="I492" s="52" t="s">
        <v>7102</v>
      </c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</row>
    <row r="493" spans="1:37" ht="19.5" customHeight="1">
      <c r="A493" s="27"/>
      <c r="B493" s="27"/>
      <c r="C493" s="27"/>
      <c r="D493" s="27"/>
      <c r="E493" s="30" t="s">
        <v>7052</v>
      </c>
      <c r="F493" s="13" t="e">
        <f>IF(ISBLANK(input_mgmt_az2_host9_fqdn),"Value Missing",input_mgmt_az2_host9_fqdn)</f>
        <v>#REF!</v>
      </c>
      <c r="G493" s="27"/>
      <c r="H493" s="30" t="s">
        <v>7036</v>
      </c>
      <c r="I493" s="13" t="e">
        <f>IF(ISBLANK(input_wld_az2_host1_fqdn),"Value Missing",input_wld_az2_host1_fqdn)</f>
        <v>#REF!</v>
      </c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</row>
    <row r="494" spans="1:37" ht="19.5" customHeight="1">
      <c r="A494" s="27"/>
      <c r="B494" s="27"/>
      <c r="C494" s="27"/>
      <c r="D494" s="27"/>
      <c r="E494" s="30" t="s">
        <v>7054</v>
      </c>
      <c r="F494" s="13" t="e">
        <f>IF(ISBLANK(input_mgmt_az2_host10_fqdn),"Value Missing",input_mgmt_az2_host10_fqdn)</f>
        <v>#REF!</v>
      </c>
      <c r="G494" s="27"/>
      <c r="H494" s="30" t="s">
        <v>7038</v>
      </c>
      <c r="I494" s="13" t="e">
        <f>IF(ISBLANK(input_wld_az2_host2_fqdn),"Value Missing",input_wld_az2_host2_fqdn)</f>
        <v>#REF!</v>
      </c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</row>
    <row r="495" spans="1:37" ht="19.5" customHeight="1">
      <c r="A495" s="27"/>
      <c r="B495" s="27"/>
      <c r="C495" s="27"/>
      <c r="D495" s="27"/>
      <c r="E495" s="30" t="s">
        <v>7056</v>
      </c>
      <c r="F495" s="13" t="e">
        <f>IF(ISBLANK(input_mgmt_az2_host11_fqdn),"Value Missing",input_mgmt_az2_host11_fqdn)</f>
        <v>#REF!</v>
      </c>
      <c r="G495" s="27"/>
      <c r="H495" s="30" t="s">
        <v>7040</v>
      </c>
      <c r="I495" s="13" t="e">
        <f>IF(ISBLANK(input_wld_az2_host3_fqdn),"Value Missing",input_wld_az2_host3_fqdn)</f>
        <v>#REF!</v>
      </c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</row>
    <row r="496" spans="1:37" ht="19.5" customHeight="1">
      <c r="A496" s="27"/>
      <c r="B496" s="27"/>
      <c r="C496" s="27"/>
      <c r="D496" s="27"/>
      <c r="E496" s="30" t="s">
        <v>7058</v>
      </c>
      <c r="F496" s="13" t="e">
        <f>IF(ISBLANK(input_mgmt_az2_host12_fqdn),"Value Missing",input_mgmt_az2_host12_fqdn)</f>
        <v>#REF!</v>
      </c>
      <c r="G496" s="27"/>
      <c r="H496" s="30" t="s">
        <v>7042</v>
      </c>
      <c r="I496" s="13" t="e">
        <f>IF(ISBLANK(input_wld_az2_host4_fqdn),"Value Missing",input_wld_az2_host4_fqdn)</f>
        <v>#REF!</v>
      </c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</row>
    <row r="497" spans="1:37" ht="19.5" customHeight="1">
      <c r="A497" s="27"/>
      <c r="B497" s="27"/>
      <c r="C497" s="27"/>
      <c r="D497" s="27"/>
      <c r="E497" s="30" t="s">
        <v>7060</v>
      </c>
      <c r="F497" s="13" t="e">
        <f>IF(ISBLANK(input_mgmt_az2_host13_fqdn),"Value Missing",input_mgmt_az2_host13_fqdn)</f>
        <v>#REF!</v>
      </c>
      <c r="G497" s="27"/>
      <c r="H497" s="30" t="s">
        <v>7044</v>
      </c>
      <c r="I497" s="13" t="e">
        <f>IF(ISBLANK(input_wld_az2_host5_fqdn),"Value Missing",input_wld_az2_host5_fqdn)</f>
        <v>#REF!</v>
      </c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</row>
    <row r="498" spans="1:37" ht="19.5" customHeight="1">
      <c r="A498" s="27"/>
      <c r="B498" s="27"/>
      <c r="C498" s="27"/>
      <c r="D498" s="27"/>
      <c r="E498" s="30" t="s">
        <v>7061</v>
      </c>
      <c r="F498" s="13" t="e">
        <f>IF(ISBLANK(input_mgmt_az2_host14_fqdn),"Value Missing",input_mgmt_az2_host14_fqdn)</f>
        <v>#REF!</v>
      </c>
      <c r="G498" s="27"/>
      <c r="H498" s="30" t="s">
        <v>7046</v>
      </c>
      <c r="I498" s="13" t="e">
        <f>IF(ISBLANK(input_wld_az2_host6_fqdn),"Value Missing",input_wld_az2_host6_fqdn)</f>
        <v>#REF!</v>
      </c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</row>
    <row r="499" spans="1:37" ht="19.5" customHeight="1">
      <c r="A499" s="27"/>
      <c r="B499" s="27"/>
      <c r="C499" s="27"/>
      <c r="D499" s="27"/>
      <c r="E499" s="30" t="s">
        <v>7064</v>
      </c>
      <c r="F499" s="13" t="e">
        <f>IF(ISBLANK(input_mgmt_az2_host15_fqdn),"Value Missing",input_mgmt_az2_host15_fqdn)</f>
        <v>#REF!</v>
      </c>
      <c r="G499" s="27"/>
      <c r="H499" s="30" t="s">
        <v>7048</v>
      </c>
      <c r="I499" s="13" t="e">
        <f>IF(ISBLANK(input_wld_az2_host7_fqdn),"Value Missing",input_wld_az2_host7_fqdn)</f>
        <v>#REF!</v>
      </c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</row>
    <row r="500" spans="1:37" ht="19.5" customHeight="1">
      <c r="A500" s="27"/>
      <c r="B500" s="27"/>
      <c r="C500" s="27"/>
      <c r="D500" s="27"/>
      <c r="E500" s="30" t="s">
        <v>7065</v>
      </c>
      <c r="F500" s="13" t="e">
        <f>IF(ISBLANK(input_mgmt_az2_host16_fqdn),"Value Missing",input_mgmt_az2_host16_fqdn)</f>
        <v>#REF!</v>
      </c>
      <c r="G500" s="27"/>
      <c r="H500" s="30" t="s">
        <v>7050</v>
      </c>
      <c r="I500" s="13" t="e">
        <f>IF(ISBLANK(input_wld_az2_host8_fqdn),"Value Missing",input_wld_az2_host8_fqdn)</f>
        <v>#REF!</v>
      </c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</row>
    <row r="501" spans="1:37" ht="19.5" customHeight="1">
      <c r="A501" s="27"/>
      <c r="B501" s="27"/>
      <c r="C501" s="27"/>
      <c r="D501" s="27"/>
      <c r="E501" s="7"/>
      <c r="F501" s="7"/>
      <c r="G501" s="27"/>
      <c r="H501" s="30" t="s">
        <v>7052</v>
      </c>
      <c r="I501" s="13" t="e">
        <f>IF(ISBLANK(input_wld_az2_host9_fqdn),"Value Missing",input_wld_az2_host9_fqdn)</f>
        <v>#REF!</v>
      </c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</row>
    <row r="502" spans="1:37" ht="19.5" customHeight="1">
      <c r="A502" s="27"/>
      <c r="B502" s="27"/>
      <c r="C502" s="27"/>
      <c r="D502" s="27"/>
      <c r="E502" s="27"/>
      <c r="F502" s="27"/>
      <c r="G502" s="27"/>
      <c r="H502" s="30" t="s">
        <v>7054</v>
      </c>
      <c r="I502" s="13" t="e">
        <f>IF(ISBLANK(input_wld_az2_host10_fqdn),"Value Missing",input_wld_az2_host10_fqdn)</f>
        <v>#REF!</v>
      </c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</row>
    <row r="503" spans="1:37" ht="19.5" customHeight="1">
      <c r="A503" s="27"/>
      <c r="B503" s="27"/>
      <c r="C503" s="27"/>
      <c r="D503" s="27"/>
      <c r="E503" s="27"/>
      <c r="F503" s="27"/>
      <c r="G503" s="27"/>
      <c r="H503" s="30" t="s">
        <v>7056</v>
      </c>
      <c r="I503" s="13" t="e">
        <f>IF(ISBLANK(input_wld_az2_host11_fqdn),"Value Missing",input_wld_az2_host11_fqdn)</f>
        <v>#REF!</v>
      </c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</row>
    <row r="504" spans="1:37" ht="19.5" customHeight="1">
      <c r="A504" s="27"/>
      <c r="B504" s="27"/>
      <c r="C504" s="27"/>
      <c r="D504" s="27"/>
      <c r="E504" s="27"/>
      <c r="F504" s="27"/>
      <c r="G504" s="27"/>
      <c r="H504" s="30" t="s">
        <v>7058</v>
      </c>
      <c r="I504" s="13" t="e">
        <f>IF(ISBLANK(input_wld_az2_host12_fqdn),"Value Missing",input_wld_az2_host12_fqdn)</f>
        <v>#REF!</v>
      </c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</row>
    <row r="505" spans="1:37" ht="19.5" customHeight="1">
      <c r="A505" s="27"/>
      <c r="B505" s="27"/>
      <c r="C505" s="27"/>
      <c r="D505" s="27"/>
      <c r="E505" s="27"/>
      <c r="F505" s="27"/>
      <c r="G505" s="27"/>
      <c r="H505" s="30" t="s">
        <v>7060</v>
      </c>
      <c r="I505" s="13" t="e">
        <f>IF(ISBLANK(input_wld_az2_host13_fqdn),"Value Missing",input_wld_az2_host13_fqdn)</f>
        <v>#REF!</v>
      </c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</row>
    <row r="506" spans="1:37" ht="19.5" customHeight="1">
      <c r="A506" s="27"/>
      <c r="B506" s="27"/>
      <c r="C506" s="27"/>
      <c r="D506" s="27"/>
      <c r="E506" s="27"/>
      <c r="F506" s="27"/>
      <c r="G506" s="27"/>
      <c r="H506" s="30" t="s">
        <v>7061</v>
      </c>
      <c r="I506" s="13" t="e">
        <f>IF(ISBLANK(input_wld_az2_host14_fqdn),"Value Missing",input_wld_az2_host14_fqdn)</f>
        <v>#REF!</v>
      </c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</row>
    <row r="507" spans="1:37" ht="19.5" customHeight="1">
      <c r="A507" s="27"/>
      <c r="B507" s="27"/>
      <c r="C507" s="27"/>
      <c r="D507" s="27"/>
      <c r="E507" s="27"/>
      <c r="F507" s="27"/>
      <c r="G507" s="27"/>
      <c r="H507" s="30" t="s">
        <v>7064</v>
      </c>
      <c r="I507" s="13" t="e">
        <f>IF(ISBLANK(input_wld_az2_host15_fqdn),"Value Missing",input_wld_az2_host15_fqdn)</f>
        <v>#REF!</v>
      </c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</row>
    <row r="508" spans="1:37" ht="19.5" customHeight="1">
      <c r="A508" s="27"/>
      <c r="B508" s="27"/>
      <c r="C508" s="27"/>
      <c r="D508" s="27"/>
      <c r="E508" s="27"/>
      <c r="F508" s="27"/>
      <c r="G508" s="27"/>
      <c r="H508" s="30" t="s">
        <v>7065</v>
      </c>
      <c r="I508" s="13" t="e">
        <f>IF(ISBLANK(input_wld_az2_host16_fqdn),"Value Missing",input_wld_az2_host16_fqdn)</f>
        <v>#REF!</v>
      </c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</row>
    <row r="509" spans="1:37" ht="19.5" customHeight="1">
      <c r="A509" s="27"/>
      <c r="B509" s="27"/>
      <c r="C509" s="27"/>
      <c r="D509" s="27"/>
      <c r="E509" s="27"/>
      <c r="F509" s="27"/>
      <c r="G509" s="27"/>
      <c r="H509" s="27"/>
      <c r="I509" s="68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</row>
    <row r="510" spans="1:37" ht="19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</row>
    <row r="511" spans="1:37" ht="19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</row>
    <row r="512" spans="1:37" ht="19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</row>
    <row r="513" spans="1:37" ht="19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</row>
    <row r="514" spans="1:37" ht="19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</row>
    <row r="515" spans="1:37" ht="19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</row>
    <row r="516" spans="1:37" ht="19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</row>
    <row r="517" spans="1:37" ht="19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</row>
    <row r="518" spans="1:37" ht="19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</row>
    <row r="519" spans="1:37" ht="19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</row>
    <row r="520" spans="1:37" ht="19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</row>
    <row r="521" spans="1:37" ht="19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</row>
    <row r="522" spans="1:37" ht="19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</row>
    <row r="523" spans="1:37" ht="19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</row>
    <row r="524" spans="1:37" ht="19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</row>
    <row r="525" spans="1:37" ht="19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</row>
    <row r="526" spans="1:37" ht="19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</row>
    <row r="527" spans="1:37" ht="19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</row>
    <row r="528" spans="1:37" ht="19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</row>
    <row r="529" spans="1:37" ht="19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</row>
    <row r="530" spans="1:37" ht="19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</row>
    <row r="531" spans="1:37" ht="19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</row>
    <row r="532" spans="1:37" ht="19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</row>
    <row r="533" spans="1:37" ht="19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</row>
    <row r="534" spans="1:37" ht="19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</row>
    <row r="535" spans="1:37" ht="19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</row>
    <row r="536" spans="1:37" ht="19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</row>
    <row r="537" spans="1:37" ht="19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</row>
    <row r="538" spans="1:37" ht="19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</row>
    <row r="539" spans="1:37" ht="19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</row>
    <row r="540" spans="1:37" ht="19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</row>
    <row r="541" spans="1:37" ht="19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</row>
    <row r="542" spans="1:37" ht="19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</row>
    <row r="543" spans="1:37" ht="19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</row>
    <row r="544" spans="1:37" ht="19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</row>
    <row r="545" spans="1:37" ht="19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</row>
    <row r="546" spans="1:37" ht="19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</row>
    <row r="547" spans="1:37" ht="19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</row>
    <row r="548" spans="1:37" ht="19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</row>
    <row r="549" spans="1:37" ht="19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</row>
    <row r="550" spans="1:37" ht="19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</row>
    <row r="551" spans="1:37" ht="19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</row>
    <row r="552" spans="1:37" ht="19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</row>
    <row r="553" spans="1:37" ht="19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</row>
    <row r="554" spans="1:37" ht="19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</row>
    <row r="555" spans="1:37" ht="19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</row>
    <row r="556" spans="1:37" ht="19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</row>
    <row r="557" spans="1:37" ht="19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</row>
    <row r="558" spans="1:37" ht="19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</row>
    <row r="559" spans="1:37" ht="19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</row>
    <row r="560" spans="1:37" ht="19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</row>
    <row r="561" spans="1:37" ht="19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</row>
    <row r="562" spans="1:37" ht="19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</row>
    <row r="563" spans="1:37" ht="19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</row>
    <row r="564" spans="1:37" ht="19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</row>
    <row r="565" spans="1:37" ht="19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</row>
    <row r="566" spans="1:37" ht="19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</row>
    <row r="567" spans="1:37" ht="19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</row>
    <row r="568" spans="1:37" ht="19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</row>
    <row r="569" spans="1:37" ht="19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</row>
    <row r="570" spans="1:37" ht="19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</row>
    <row r="571" spans="1:37" ht="19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</row>
    <row r="572" spans="1:37" ht="19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</row>
    <row r="573" spans="1:37" ht="19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</row>
    <row r="574" spans="1:37" ht="19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</row>
    <row r="575" spans="1:37" ht="19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</row>
    <row r="576" spans="1:37" ht="19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</row>
    <row r="577" spans="1:37" ht="19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</row>
    <row r="578" spans="1:37" ht="19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</row>
    <row r="579" spans="1:37" ht="19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</row>
    <row r="580" spans="1:37" ht="19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</row>
    <row r="581" spans="1:37" ht="19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</row>
    <row r="582" spans="1:37" ht="19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</row>
    <row r="583" spans="1:37" ht="19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</row>
    <row r="584" spans="1:37" ht="19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</row>
    <row r="585" spans="1:37" ht="19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</row>
    <row r="586" spans="1:37" ht="19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</row>
    <row r="587" spans="1:37" ht="19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</row>
    <row r="588" spans="1:37" ht="19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</row>
    <row r="589" spans="1:37" ht="19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</row>
    <row r="590" spans="1:37" ht="19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</row>
    <row r="591" spans="1:37" ht="19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</row>
    <row r="592" spans="1:37" ht="19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</row>
    <row r="593" spans="1:37" ht="19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</row>
    <row r="594" spans="1:37" ht="19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</row>
    <row r="595" spans="1:37" ht="19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</row>
    <row r="596" spans="1:37" ht="19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</row>
    <row r="597" spans="1:37" ht="19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</row>
    <row r="598" spans="1:37" ht="19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</row>
    <row r="599" spans="1:37" ht="19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</row>
    <row r="600" spans="1:37" ht="19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</row>
    <row r="601" spans="1:37" ht="19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</row>
    <row r="602" spans="1:37" ht="19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</row>
    <row r="603" spans="1:37" ht="19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</row>
    <row r="604" spans="1:37" ht="19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</row>
    <row r="605" spans="1:37" ht="19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</row>
    <row r="606" spans="1:37" ht="19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</row>
    <row r="607" spans="1:37" ht="19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</row>
    <row r="608" spans="1:37" ht="19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</row>
    <row r="609" spans="1:37" ht="19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</row>
    <row r="610" spans="1:37" ht="19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</row>
    <row r="611" spans="1:37" ht="19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</row>
    <row r="612" spans="1:37" ht="19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</row>
    <row r="613" spans="1:37" ht="19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</row>
    <row r="614" spans="1:37" ht="19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</row>
    <row r="615" spans="1:37" ht="19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</row>
    <row r="616" spans="1:37" ht="19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</row>
    <row r="617" spans="1:37" ht="19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</row>
    <row r="618" spans="1:37" ht="19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</row>
    <row r="619" spans="1:37" ht="19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</row>
    <row r="620" spans="1:37" ht="19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</row>
    <row r="621" spans="1:37" ht="19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</row>
    <row r="622" spans="1:37" ht="19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</row>
    <row r="623" spans="1:37" ht="19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</row>
    <row r="624" spans="1:37" ht="19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</row>
    <row r="625" spans="1:37" ht="19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</row>
    <row r="626" spans="1:37" ht="19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</row>
    <row r="627" spans="1:37" ht="19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</row>
    <row r="628" spans="1:37" ht="19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</row>
    <row r="629" spans="1:37" ht="19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</row>
    <row r="630" spans="1:37" ht="19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</row>
    <row r="631" spans="1:37" ht="19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</row>
    <row r="632" spans="1:37" ht="19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</row>
    <row r="633" spans="1:37" ht="19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</row>
    <row r="634" spans="1:37" ht="19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</row>
    <row r="635" spans="1:37" ht="19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</row>
    <row r="636" spans="1:37" ht="19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</row>
    <row r="637" spans="1:37" ht="19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</row>
    <row r="638" spans="1:37" ht="19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</row>
    <row r="639" spans="1:37" ht="19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</row>
    <row r="640" spans="1:37" ht="19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</row>
    <row r="641" spans="1:37" ht="19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</row>
    <row r="642" spans="1:37" ht="19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</row>
    <row r="643" spans="1:37" ht="19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</row>
    <row r="644" spans="1:37" ht="19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</row>
    <row r="645" spans="1:37" ht="19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</row>
    <row r="646" spans="1:37" ht="19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</row>
    <row r="647" spans="1:37" ht="19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</row>
    <row r="648" spans="1:37" ht="19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</row>
    <row r="649" spans="1:37" ht="19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</row>
    <row r="650" spans="1:37" ht="19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</row>
    <row r="651" spans="1:37" ht="19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</row>
    <row r="652" spans="1:37" ht="19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</row>
    <row r="653" spans="1:37" ht="19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</row>
    <row r="654" spans="1:37" ht="19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</row>
    <row r="655" spans="1:37" ht="19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</row>
    <row r="656" spans="1:37" ht="19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</row>
    <row r="657" spans="1:37" ht="19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</row>
    <row r="658" spans="1:37" ht="19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</row>
    <row r="659" spans="1:37" ht="19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</row>
    <row r="660" spans="1:37" ht="19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</row>
    <row r="661" spans="1:37" ht="19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</row>
    <row r="662" spans="1:37" ht="19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</row>
    <row r="663" spans="1:37" ht="19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</row>
    <row r="664" spans="1:37" ht="19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</row>
    <row r="665" spans="1:37" ht="19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</row>
    <row r="666" spans="1:37" ht="19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</row>
    <row r="667" spans="1:37" ht="19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</row>
    <row r="668" spans="1:37" ht="19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</row>
    <row r="669" spans="1:37" ht="19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</row>
    <row r="670" spans="1:37" ht="19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</row>
    <row r="671" spans="1:37" ht="19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</row>
    <row r="672" spans="1:37" ht="19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</row>
    <row r="673" spans="1:37" ht="19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</row>
    <row r="674" spans="1:37" ht="19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</row>
    <row r="675" spans="1:37" ht="19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</row>
    <row r="676" spans="1:37" ht="19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</row>
    <row r="677" spans="1:37" ht="19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</row>
    <row r="678" spans="1:37" ht="19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</row>
    <row r="679" spans="1:37" ht="19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</row>
    <row r="680" spans="1:37" ht="19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</row>
    <row r="681" spans="1:37" ht="19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</row>
    <row r="682" spans="1:37" ht="19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</row>
    <row r="683" spans="1:37" ht="19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</row>
    <row r="684" spans="1:37" ht="19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</row>
    <row r="685" spans="1:37" ht="19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</row>
    <row r="686" spans="1:37" ht="19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</row>
    <row r="687" spans="1:37" ht="19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</row>
    <row r="688" spans="1:37" ht="19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</row>
    <row r="689" spans="1:37" ht="19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</row>
    <row r="690" spans="1:37" ht="19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</row>
    <row r="691" spans="1:37" ht="19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</row>
    <row r="692" spans="1:37" ht="19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</row>
    <row r="693" spans="1:37" ht="19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</row>
    <row r="694" spans="1:37" ht="19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</row>
    <row r="695" spans="1:37" ht="19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</row>
    <row r="696" spans="1:37" ht="19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</row>
    <row r="697" spans="1:37" ht="19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</row>
    <row r="698" spans="1:37" ht="19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</row>
    <row r="699" spans="1:37" ht="19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</row>
    <row r="700" spans="1:37" ht="19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</row>
    <row r="701" spans="1:37" ht="19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</row>
    <row r="702" spans="1:37" ht="19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</row>
    <row r="703" spans="1:37" ht="19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</row>
    <row r="704" spans="1:37" ht="19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</row>
    <row r="705" spans="1:37" ht="19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</row>
    <row r="706" spans="1:37" ht="19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</row>
    <row r="707" spans="1:37" ht="19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</row>
    <row r="708" spans="1:37" ht="19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</row>
    <row r="709" spans="1:37" ht="19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</row>
    <row r="710" spans="1:37" ht="19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</row>
    <row r="711" spans="1:37" ht="19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</row>
    <row r="712" spans="1:37" ht="19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</row>
    <row r="713" spans="1:37" ht="19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</row>
    <row r="714" spans="1:37" ht="19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</row>
    <row r="715" spans="1:37" ht="19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</row>
    <row r="716" spans="1:37" ht="19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</row>
    <row r="717" spans="1:37" ht="19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</row>
    <row r="718" spans="1:37" ht="19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</row>
    <row r="719" spans="1:37" ht="19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</row>
    <row r="720" spans="1:37" ht="19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</row>
    <row r="721" spans="1:37" ht="19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</row>
    <row r="722" spans="1:37" ht="19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</row>
    <row r="723" spans="1:37" ht="19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</row>
    <row r="724" spans="1:37" ht="19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</row>
    <row r="725" spans="1:37" ht="19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</row>
    <row r="726" spans="1:37" ht="19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</row>
    <row r="727" spans="1:37" ht="19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</row>
    <row r="728" spans="1:37" ht="19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</row>
    <row r="729" spans="1:37" ht="19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</row>
    <row r="730" spans="1:37" ht="19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</row>
    <row r="731" spans="1:37" ht="19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</row>
    <row r="732" spans="1:37" ht="19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</row>
    <row r="733" spans="1:37" ht="19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</row>
    <row r="734" spans="1:37" ht="19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</row>
    <row r="735" spans="1:37" ht="19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</row>
    <row r="736" spans="1:37" ht="19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</row>
    <row r="737" spans="1:37" ht="19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</row>
    <row r="738" spans="1:37" ht="19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</row>
    <row r="739" spans="1:37" ht="19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</row>
    <row r="740" spans="1:37" ht="19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</row>
    <row r="741" spans="1:37" ht="19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</row>
    <row r="742" spans="1:37" ht="19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</row>
    <row r="743" spans="1:37" ht="19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</row>
    <row r="744" spans="1:37" ht="19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</row>
    <row r="745" spans="1:37" ht="19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</row>
    <row r="746" spans="1:37" ht="19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</row>
    <row r="747" spans="1:37" ht="19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</row>
    <row r="748" spans="1:37" ht="19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</row>
    <row r="749" spans="1:37" ht="19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</row>
    <row r="750" spans="1:37" ht="19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</row>
    <row r="751" spans="1:37" ht="19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</row>
    <row r="752" spans="1:37" ht="19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</row>
    <row r="753" spans="1:37" ht="19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</row>
    <row r="754" spans="1:37" ht="19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</row>
    <row r="755" spans="1:37" ht="19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</row>
    <row r="756" spans="1:37" ht="19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</row>
    <row r="757" spans="1:37" ht="19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</row>
    <row r="758" spans="1:37" ht="19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</row>
    <row r="759" spans="1:37" ht="19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</row>
    <row r="760" spans="1:37" ht="19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</row>
    <row r="761" spans="1:37" ht="19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</row>
    <row r="762" spans="1:37" ht="19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</row>
    <row r="763" spans="1:37" ht="19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</row>
    <row r="764" spans="1:37" ht="19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</row>
    <row r="765" spans="1:37" ht="19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</row>
    <row r="766" spans="1:37" ht="19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</row>
    <row r="767" spans="1:37" ht="19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</row>
    <row r="768" spans="1:37" ht="19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</row>
    <row r="769" spans="1:37" ht="19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</row>
    <row r="770" spans="1:37" ht="19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</row>
    <row r="771" spans="1:37" ht="19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</row>
    <row r="772" spans="1:37" ht="19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</row>
    <row r="773" spans="1:37" ht="19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</row>
    <row r="774" spans="1:37" ht="19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</row>
    <row r="775" spans="1:37" ht="19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</row>
    <row r="776" spans="1:37" ht="19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</row>
    <row r="777" spans="1:37" ht="19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</row>
    <row r="778" spans="1:37" ht="19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</row>
    <row r="779" spans="1:37" ht="19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</row>
    <row r="780" spans="1:37" ht="19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</row>
    <row r="781" spans="1:37" ht="19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</row>
    <row r="782" spans="1:37" ht="19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</row>
    <row r="783" spans="1:37" ht="19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</row>
    <row r="784" spans="1:37" ht="19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</row>
    <row r="785" spans="1:37" ht="19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</row>
    <row r="786" spans="1:37" ht="19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</row>
    <row r="787" spans="1:37" ht="19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</row>
    <row r="788" spans="1:37" ht="19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</row>
    <row r="789" spans="1:37" ht="19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</row>
    <row r="790" spans="1:37" ht="19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</row>
    <row r="791" spans="1:37" ht="19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</row>
    <row r="792" spans="1:37" ht="19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</row>
    <row r="793" spans="1:37" ht="19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</row>
    <row r="794" spans="1:37" ht="19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</row>
    <row r="795" spans="1:37" ht="19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</row>
    <row r="796" spans="1:37" ht="19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</row>
    <row r="797" spans="1:37" ht="19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</row>
    <row r="798" spans="1:37" ht="19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</row>
    <row r="799" spans="1:37" ht="19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</row>
    <row r="800" spans="1:37" ht="19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</row>
    <row r="801" spans="1:37" ht="19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</row>
    <row r="802" spans="1:37" ht="19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</row>
    <row r="803" spans="1:37" ht="19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</row>
    <row r="804" spans="1:37" ht="19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</row>
    <row r="805" spans="1:37" ht="19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</row>
    <row r="806" spans="1:37" ht="19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</row>
    <row r="807" spans="1:37" ht="19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</row>
    <row r="808" spans="1:37" ht="19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</row>
    <row r="809" spans="1:37" ht="19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</row>
    <row r="810" spans="1:37" ht="19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</row>
    <row r="811" spans="1:37" ht="19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</row>
    <row r="812" spans="1:37" ht="19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</row>
    <row r="813" spans="1:37" ht="19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</row>
    <row r="814" spans="1:37" ht="19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</row>
    <row r="815" spans="1:37" ht="19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</row>
    <row r="816" spans="1:37" ht="19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</row>
    <row r="817" spans="1:37" ht="19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</row>
    <row r="818" spans="1:37" ht="19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</row>
    <row r="819" spans="1:37" ht="19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</row>
    <row r="820" spans="1:37" ht="19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</row>
    <row r="821" spans="1:37" ht="19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</row>
    <row r="822" spans="1:37" ht="19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</row>
    <row r="823" spans="1:37" ht="19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</row>
    <row r="824" spans="1:37" ht="19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</row>
    <row r="825" spans="1:37" ht="19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</row>
    <row r="826" spans="1:37" ht="19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</row>
    <row r="827" spans="1:37" ht="19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</row>
    <row r="828" spans="1:37" ht="19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</row>
    <row r="829" spans="1:37" ht="19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</row>
    <row r="830" spans="1:37" ht="19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</row>
    <row r="831" spans="1:37" ht="19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</row>
    <row r="832" spans="1:37" ht="19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</row>
    <row r="833" spans="1:37" ht="19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</row>
    <row r="834" spans="1:37" ht="19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</row>
    <row r="835" spans="1:37" ht="19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</row>
    <row r="836" spans="1:37" ht="19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</row>
    <row r="837" spans="1:37" ht="19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</row>
    <row r="838" spans="1:37" ht="19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</row>
    <row r="839" spans="1:37" ht="19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</row>
    <row r="840" spans="1:37" ht="19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</row>
    <row r="841" spans="1:37" ht="19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</row>
    <row r="842" spans="1:37" ht="19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</row>
    <row r="843" spans="1:37" ht="19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</row>
    <row r="844" spans="1:37" ht="19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</row>
    <row r="845" spans="1:37" ht="19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</row>
    <row r="846" spans="1:37" ht="19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</row>
    <row r="847" spans="1:37" ht="19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</row>
    <row r="848" spans="1:37" ht="19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</row>
    <row r="849" spans="1:37" ht="19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</row>
    <row r="850" spans="1:37" ht="19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</row>
    <row r="851" spans="1:37" ht="19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</row>
    <row r="852" spans="1:37" ht="19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</row>
    <row r="853" spans="1:37" ht="19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</row>
    <row r="854" spans="1:37" ht="19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</row>
    <row r="855" spans="1:37" ht="19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</row>
    <row r="856" spans="1:37" ht="19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</row>
    <row r="857" spans="1:37" ht="19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</row>
    <row r="858" spans="1:37" ht="19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</row>
    <row r="859" spans="1:37" ht="19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</row>
    <row r="860" spans="1:37" ht="19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</row>
    <row r="861" spans="1:37" ht="19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</row>
    <row r="862" spans="1:37" ht="19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</row>
    <row r="863" spans="1:37" ht="19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</row>
    <row r="864" spans="1:37" ht="19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</row>
    <row r="865" spans="1:37" ht="19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</row>
    <row r="866" spans="1:37" ht="19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</row>
    <row r="867" spans="1:37" ht="19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</row>
    <row r="868" spans="1:37" ht="19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</row>
    <row r="869" spans="1:37" ht="19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</row>
    <row r="870" spans="1:37" ht="19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</row>
    <row r="871" spans="1:37" ht="19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</row>
    <row r="872" spans="1:37" ht="19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</row>
    <row r="873" spans="1:37" ht="19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</row>
    <row r="874" spans="1:37" ht="19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</row>
    <row r="875" spans="1:37" ht="19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</row>
    <row r="876" spans="1:37" ht="19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</row>
    <row r="877" spans="1:37" ht="19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</row>
    <row r="878" spans="1:37" ht="19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</row>
    <row r="879" spans="1:37" ht="19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</row>
    <row r="880" spans="1:37" ht="19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</row>
    <row r="881" spans="1:37" ht="19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</row>
    <row r="882" spans="1:37" ht="19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</row>
    <row r="883" spans="1:37" ht="19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</row>
    <row r="884" spans="1:37" ht="19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</row>
    <row r="885" spans="1:37" ht="19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</row>
    <row r="886" spans="1:37" ht="19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</row>
    <row r="887" spans="1:37" ht="19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</row>
    <row r="888" spans="1:37" ht="19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</row>
    <row r="889" spans="1:37" ht="19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</row>
    <row r="890" spans="1:37" ht="19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</row>
    <row r="891" spans="1:37" ht="19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</row>
    <row r="892" spans="1:37" ht="19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</row>
    <row r="893" spans="1:37" ht="19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</row>
    <row r="894" spans="1:37" ht="19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</row>
    <row r="895" spans="1:37" ht="19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</row>
    <row r="896" spans="1:37" ht="19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</row>
    <row r="897" spans="1:37" ht="19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</row>
    <row r="898" spans="1:37" ht="19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</row>
    <row r="899" spans="1:37" ht="19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</row>
    <row r="900" spans="1:37" ht="19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</row>
    <row r="901" spans="1:37" ht="19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</row>
    <row r="902" spans="1:37" ht="19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</row>
    <row r="903" spans="1:37" ht="19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</row>
    <row r="904" spans="1:37" ht="19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</row>
    <row r="905" spans="1:37" ht="19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</row>
    <row r="906" spans="1:37" ht="19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</row>
    <row r="907" spans="1:37" ht="19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</row>
    <row r="908" spans="1:37" ht="19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</row>
    <row r="909" spans="1:37" ht="19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</row>
    <row r="910" spans="1:37" ht="19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</row>
    <row r="911" spans="1:37" ht="19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</row>
    <row r="912" spans="1:37" ht="19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</row>
    <row r="913" spans="1:37" ht="19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</row>
    <row r="914" spans="1:37" ht="19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</row>
    <row r="915" spans="1:37" ht="19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</row>
    <row r="916" spans="1:37" ht="19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</row>
    <row r="917" spans="1:37" ht="19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</row>
    <row r="918" spans="1:37" ht="19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</row>
    <row r="919" spans="1:37" ht="19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</row>
    <row r="920" spans="1:37" ht="19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</row>
    <row r="921" spans="1:37" ht="19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</row>
    <row r="922" spans="1:37" ht="19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</row>
    <row r="923" spans="1:37" ht="19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</row>
    <row r="924" spans="1:37" ht="19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</row>
    <row r="925" spans="1:37" ht="19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</row>
    <row r="926" spans="1:37" ht="19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</row>
    <row r="927" spans="1:37" ht="19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</row>
    <row r="928" spans="1:37" ht="19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</row>
    <row r="929" spans="1:37" ht="19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</row>
    <row r="930" spans="1:37" ht="19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</row>
    <row r="931" spans="1:37" ht="19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</row>
    <row r="932" spans="1:37" ht="19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</row>
    <row r="933" spans="1:37" ht="19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</row>
    <row r="934" spans="1:37" ht="19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</row>
    <row r="935" spans="1:37" ht="19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</row>
    <row r="936" spans="1:37" ht="19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</row>
    <row r="937" spans="1:37" ht="19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</row>
    <row r="938" spans="1:37" ht="19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</row>
    <row r="939" spans="1:37" ht="19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</row>
    <row r="940" spans="1:37" ht="19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</row>
    <row r="941" spans="1:37" ht="19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</row>
    <row r="942" spans="1:37" ht="19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</row>
    <row r="943" spans="1:37" ht="19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</row>
    <row r="944" spans="1:37" ht="19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</row>
    <row r="945" spans="1:37" ht="19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</row>
    <row r="946" spans="1:37" ht="19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</row>
    <row r="947" spans="1:37" ht="19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</row>
    <row r="948" spans="1:37" ht="19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</row>
    <row r="949" spans="1:37" ht="19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</row>
    <row r="950" spans="1:37" ht="19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</row>
    <row r="951" spans="1:37" ht="19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</row>
    <row r="952" spans="1:37" ht="19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</row>
    <row r="953" spans="1:37" ht="19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</row>
    <row r="954" spans="1:37" ht="19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</row>
    <row r="955" spans="1:37" ht="19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</row>
    <row r="956" spans="1:37" ht="19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</row>
    <row r="957" spans="1:37" ht="19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</row>
    <row r="958" spans="1:37" ht="19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</row>
    <row r="959" spans="1:37" ht="19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</row>
    <row r="960" spans="1:37" ht="19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</row>
    <row r="961" spans="1:37" ht="19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</row>
    <row r="962" spans="1:37" ht="19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</row>
    <row r="963" spans="1:37" ht="19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</row>
    <row r="964" spans="1:37" ht="19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</row>
    <row r="965" spans="1:37" ht="19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</row>
    <row r="966" spans="1:37" ht="19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</row>
    <row r="967" spans="1:37" ht="19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</row>
    <row r="968" spans="1:37" ht="19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</row>
    <row r="969" spans="1:37" ht="19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</row>
    <row r="970" spans="1:37" ht="19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</row>
    <row r="971" spans="1:37" ht="19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</row>
    <row r="972" spans="1:37" ht="19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</row>
    <row r="973" spans="1:37" ht="19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</row>
    <row r="974" spans="1:37" ht="19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</row>
    <row r="975" spans="1:37" ht="19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</row>
    <row r="976" spans="1:37" ht="19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</row>
    <row r="977" spans="1:37" ht="19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</row>
    <row r="978" spans="1:37" ht="19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</row>
    <row r="979" spans="1:37" ht="19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</row>
    <row r="980" spans="1:37" ht="19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</row>
    <row r="981" spans="1:37" ht="19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</row>
    <row r="982" spans="1:37" ht="19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</row>
    <row r="983" spans="1:37" ht="19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</row>
    <row r="984" spans="1:37" ht="19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</row>
    <row r="985" spans="1:37" ht="19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</row>
    <row r="986" spans="1:37" ht="19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</row>
    <row r="987" spans="1:37" ht="19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</row>
    <row r="988" spans="1:37" ht="19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</row>
    <row r="989" spans="1:37" ht="19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</row>
    <row r="990" spans="1:37" ht="19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</row>
    <row r="991" spans="1:37" ht="19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</row>
    <row r="992" spans="1:37" ht="19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</row>
    <row r="993" spans="1:37" ht="19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</row>
    <row r="994" spans="1:37" ht="19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</row>
    <row r="995" spans="1:37" ht="19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</row>
    <row r="996" spans="1:37" ht="19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</row>
    <row r="997" spans="1:37" ht="19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</row>
    <row r="998" spans="1:37" ht="19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</row>
    <row r="999" spans="1:37" ht="19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</row>
    <row r="1000" spans="1:37" ht="19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</row>
  </sheetData>
  <mergeCells count="33">
    <mergeCell ref="K216:L216"/>
    <mergeCell ref="H472:I472"/>
    <mergeCell ref="B30:C30"/>
    <mergeCell ref="B42:C42"/>
    <mergeCell ref="B50:C50"/>
    <mergeCell ref="B58:C58"/>
    <mergeCell ref="H192:I192"/>
    <mergeCell ref="E232:F232"/>
    <mergeCell ref="H232:I232"/>
    <mergeCell ref="E419:F419"/>
    <mergeCell ref="H427:I427"/>
    <mergeCell ref="E464:F464"/>
    <mergeCell ref="AG17:AH17"/>
    <mergeCell ref="B21:C21"/>
    <mergeCell ref="Q216:R216"/>
    <mergeCell ref="T216:U216"/>
    <mergeCell ref="W216:X216"/>
    <mergeCell ref="Z216:AA216"/>
    <mergeCell ref="N192:O192"/>
    <mergeCell ref="Q192:R192"/>
    <mergeCell ref="T192:U192"/>
    <mergeCell ref="W192:X192"/>
    <mergeCell ref="Z192:AA192"/>
    <mergeCell ref="AC192:AD192"/>
    <mergeCell ref="N216:O216"/>
    <mergeCell ref="AC216:AD216"/>
    <mergeCell ref="E192:F192"/>
    <mergeCell ref="K192:L192"/>
    <mergeCell ref="E2:M2"/>
    <mergeCell ref="E3:M3"/>
    <mergeCell ref="B6:C6"/>
    <mergeCell ref="E6:F6"/>
    <mergeCell ref="AG6:AH6"/>
  </mergeCells>
  <conditionalFormatting sqref="C8:C19 C33:C35 C37:C40 C44:C48 C52:C56 C60">
    <cfRule type="notContainsBlanks" dxfId="402" priority="1">
      <formula>LEN(TRIM(C8))&gt;0</formula>
    </cfRule>
  </conditionalFormatting>
  <conditionalFormatting sqref="C23:C28">
    <cfRule type="notContainsBlanks" dxfId="401" priority="2">
      <formula>LEN(TRIM(C23))&gt;0</formula>
    </cfRule>
  </conditionalFormatting>
  <conditionalFormatting sqref="F135:F136">
    <cfRule type="notContainsBlanks" dxfId="400" priority="3">
      <formula>LEN(TRIM(F135))&gt;0</formula>
    </cfRule>
    <cfRule type="containsBlanks" dxfId="399" priority="4">
      <formula>LEN(TRIM(F135))=0</formula>
    </cfRule>
  </conditionalFormatting>
  <conditionalFormatting sqref="F150:F151">
    <cfRule type="notContainsBlanks" dxfId="398" priority="5">
      <formula>LEN(TRIM(F150))&gt;0</formula>
    </cfRule>
    <cfRule type="containsBlanks" dxfId="397" priority="6">
      <formula>LEN(TRIM(F150))=0</formula>
    </cfRule>
  </conditionalFormatting>
  <conditionalFormatting sqref="F161">
    <cfRule type="notContainsBlanks" dxfId="396" priority="7">
      <formula>LEN(TRIM(F161))&gt;0</formula>
    </cfRule>
    <cfRule type="containsBlanks" dxfId="395" priority="8">
      <formula>LEN(TRIM(F161))=0</formula>
    </cfRule>
  </conditionalFormatting>
  <conditionalFormatting sqref="F186">
    <cfRule type="notContainsBlanks" dxfId="394" priority="13">
      <formula>LEN(TRIM(F186))&gt;0</formula>
    </cfRule>
    <cfRule type="containsBlanks" dxfId="393" priority="10">
      <formula>LEN(TRIM(F186))=0</formula>
    </cfRule>
    <cfRule type="expression" dxfId="392" priority="11">
      <formula>(VROPS_Result="Excluded")</formula>
    </cfRule>
    <cfRule type="expression" dxfId="391" priority="12">
      <formula>AND((VRLI_Result="Excluded"),(VROPS_Result="Excluded"),(VRA_Result="Excluded"))</formula>
    </cfRule>
    <cfRule type="notContainsBlanks" dxfId="390" priority="9">
      <formula>LEN(TRIM(F186))&gt;0</formula>
    </cfRule>
    <cfRule type="containsBlanks" dxfId="389" priority="14">
      <formula>LEN(TRIM(F186))=0</formula>
    </cfRule>
    <cfRule type="expression" dxfId="388" priority="15">
      <formula>(VROPS_Result="Excluded")</formula>
    </cfRule>
    <cfRule type="expression" dxfId="387" priority="16">
      <formula>AND((VRLI_Result="Excluded"),(VROPS_Result="Excluded"),(VRA_Result="Excluded"))</formula>
    </cfRule>
  </conditionalFormatting>
  <conditionalFormatting sqref="I156">
    <cfRule type="notContainsBlanks" dxfId="386" priority="17">
      <formula>LEN(TRIM(I156))&gt;0</formula>
    </cfRule>
    <cfRule type="containsBlanks" dxfId="385" priority="18">
      <formula>LEN(TRIM(I156))=0</formula>
    </cfRule>
    <cfRule type="expression" dxfId="384" priority="19">
      <formula>(VROPS_Result="Excluded")</formula>
    </cfRule>
    <cfRule type="expression" dxfId="383" priority="20">
      <formula>AND((VRLI_Result="Excluded"),(VROPS_Result="Excluded"),(VRA_Result="Excluded"))</formula>
    </cfRule>
  </conditionalFormatting>
  <conditionalFormatting sqref="L276:L281 N276:N281 P276:P281">
    <cfRule type="notContainsBlanks" dxfId="382" priority="21" stopIfTrue="1">
      <formula>LEN(TRIM(L276))&gt;0</formula>
    </cfRule>
    <cfRule type="containsBlanks" dxfId="381" priority="22">
      <formula>LEN(TRIM(L276))=0</formula>
    </cfRule>
  </conditionalFormatting>
  <conditionalFormatting sqref="R276:R281">
    <cfRule type="notContainsBlanks" dxfId="380" priority="33" stopIfTrue="1">
      <formula>LEN(TRIM(R276))&gt;0</formula>
    </cfRule>
    <cfRule type="containsBlanks" dxfId="379" priority="34" stopIfTrue="1">
      <formula>LEN(TRIM(R276))=0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000"/>
  <sheetViews>
    <sheetView showGridLines="0" workbookViewId="0"/>
  </sheetViews>
  <sheetFormatPr baseColWidth="10" defaultColWidth="12.6640625" defaultRowHeight="13"/>
  <cols>
    <col min="1" max="1" width="3.1640625" customWidth="1"/>
    <col min="2" max="2" width="64.1640625" customWidth="1"/>
    <col min="3" max="3" width="50.33203125" customWidth="1"/>
    <col min="4" max="4" width="3.1640625" customWidth="1"/>
    <col min="5" max="5" width="82.83203125" customWidth="1"/>
    <col min="6" max="6" width="51" customWidth="1"/>
    <col min="7" max="7" width="3.1640625" customWidth="1"/>
    <col min="8" max="8" width="65.6640625" customWidth="1"/>
    <col min="9" max="9" width="47" customWidth="1"/>
    <col min="10" max="10" width="3.1640625" customWidth="1"/>
    <col min="11" max="11" width="64.1640625" customWidth="1"/>
    <col min="12" max="12" width="83" customWidth="1"/>
    <col min="13" max="13" width="3.1640625" customWidth="1"/>
    <col min="14" max="14" width="83" customWidth="1"/>
    <col min="15" max="15" width="57.1640625" customWidth="1"/>
    <col min="16" max="16" width="3.1640625" customWidth="1"/>
    <col min="17" max="17" width="80.6640625" customWidth="1"/>
    <col min="18" max="18" width="64.83203125" customWidth="1"/>
    <col min="19" max="19" width="3.1640625" customWidth="1"/>
    <col min="20" max="20" width="96" customWidth="1"/>
    <col min="21" max="21" width="81.83203125" customWidth="1"/>
    <col min="22" max="22" width="3.1640625" customWidth="1"/>
    <col min="23" max="23" width="77.6640625" customWidth="1"/>
    <col min="24" max="24" width="66.6640625" customWidth="1"/>
    <col min="25" max="25" width="3.1640625" customWidth="1"/>
    <col min="26" max="26" width="62.6640625" customWidth="1"/>
    <col min="27" max="27" width="55.83203125" customWidth="1"/>
    <col min="28" max="28" width="3.1640625" customWidth="1"/>
    <col min="29" max="29" width="55.83203125" customWidth="1"/>
    <col min="30" max="31" width="21.5" customWidth="1"/>
    <col min="32" max="32" width="3.1640625" customWidth="1"/>
  </cols>
  <sheetData>
    <row r="1" spans="1:32" ht="15.75" customHeight="1">
      <c r="A1" s="7"/>
      <c r="B1" s="7"/>
      <c r="C1" s="7"/>
      <c r="D1" s="7"/>
      <c r="E1" s="7"/>
      <c r="F1" s="7"/>
      <c r="G1" s="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54" customHeight="1">
      <c r="A2" s="7"/>
      <c r="B2" s="7"/>
      <c r="C2" s="7"/>
      <c r="D2" s="7"/>
      <c r="E2" s="7"/>
      <c r="F2" s="7"/>
      <c r="G2" s="7"/>
      <c r="H2" s="27"/>
      <c r="I2" s="27"/>
      <c r="J2" s="7"/>
      <c r="K2" s="7"/>
      <c r="L2" s="7"/>
      <c r="M2" s="7"/>
      <c r="N2" s="7"/>
      <c r="O2" s="7"/>
      <c r="P2" s="7"/>
      <c r="Q2" s="207"/>
      <c r="R2" s="200"/>
      <c r="S2" s="74"/>
      <c r="T2" s="74"/>
      <c r="U2" s="74"/>
      <c r="V2" s="208"/>
      <c r="W2" s="183"/>
      <c r="X2" s="183"/>
      <c r="Y2" s="183"/>
      <c r="Z2" s="181"/>
      <c r="AA2" s="7"/>
      <c r="AB2" s="7"/>
      <c r="AC2" s="7"/>
      <c r="AD2" s="7"/>
      <c r="AE2" s="7"/>
      <c r="AF2" s="7"/>
    </row>
    <row r="3" spans="1:32" ht="19.5" customHeight="1">
      <c r="A3" s="7"/>
      <c r="B3" s="7"/>
      <c r="C3" s="7"/>
      <c r="D3" s="7"/>
      <c r="E3" s="7"/>
      <c r="F3" s="7"/>
      <c r="G3" s="7"/>
      <c r="H3" s="27"/>
      <c r="I3" s="27"/>
      <c r="J3" s="7"/>
      <c r="K3" s="7"/>
      <c r="L3" s="7"/>
      <c r="M3" s="7"/>
      <c r="N3" s="7"/>
      <c r="O3" s="7"/>
      <c r="P3" s="7"/>
      <c r="Q3" s="209" t="s">
        <v>6768</v>
      </c>
      <c r="R3" s="210"/>
      <c r="S3" s="210"/>
      <c r="T3" s="210"/>
      <c r="U3" s="210"/>
      <c r="V3" s="210"/>
      <c r="W3" s="210"/>
      <c r="X3" s="210"/>
      <c r="Y3" s="210"/>
      <c r="Z3" s="211"/>
      <c r="AA3" s="7"/>
      <c r="AB3" s="7"/>
      <c r="AC3" s="7"/>
      <c r="AD3" s="7"/>
      <c r="AE3" s="7"/>
      <c r="AF3" s="7"/>
    </row>
    <row r="4" spans="1:32" ht="19.5" customHeight="1">
      <c r="A4" s="7"/>
      <c r="B4" s="7"/>
      <c r="C4" s="7"/>
      <c r="D4" s="7"/>
      <c r="E4" s="7"/>
      <c r="F4" s="7"/>
      <c r="G4" s="7"/>
      <c r="H4" s="27"/>
      <c r="I4" s="2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9"/>
      <c r="X4" s="7"/>
      <c r="Y4" s="7"/>
      <c r="Z4" s="7"/>
      <c r="AA4" s="7"/>
      <c r="AB4" s="7"/>
      <c r="AC4" s="7"/>
      <c r="AD4" s="7"/>
      <c r="AE4" s="7"/>
      <c r="AF4" s="7"/>
    </row>
    <row r="5" spans="1:32" ht="19.5" customHeight="1">
      <c r="A5" s="7"/>
      <c r="B5" s="7"/>
      <c r="C5" s="7"/>
      <c r="D5" s="7"/>
      <c r="E5" s="7"/>
      <c r="F5" s="7"/>
      <c r="G5" s="7"/>
      <c r="H5" s="27"/>
      <c r="I5" s="2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W5" s="9"/>
      <c r="X5" s="7"/>
      <c r="Y5" s="7"/>
      <c r="Z5" s="7"/>
      <c r="AA5" s="7"/>
      <c r="AB5" s="7"/>
      <c r="AC5" s="7"/>
      <c r="AD5" s="7"/>
      <c r="AE5" s="7"/>
      <c r="AF5" s="7"/>
    </row>
    <row r="6" spans="1:32" ht="19.5" customHeight="1">
      <c r="A6" s="7"/>
      <c r="B6" s="75" t="s">
        <v>7131</v>
      </c>
      <c r="C6" s="75"/>
      <c r="D6" s="7"/>
      <c r="E6" s="75" t="s">
        <v>7132</v>
      </c>
      <c r="F6" s="75"/>
      <c r="G6" s="7"/>
      <c r="H6" s="75" t="s">
        <v>7133</v>
      </c>
      <c r="I6" s="75"/>
      <c r="J6" s="7"/>
      <c r="K6" s="180" t="s">
        <v>7134</v>
      </c>
      <c r="L6" s="181"/>
      <c r="M6" s="7"/>
      <c r="N6" s="76" t="s">
        <v>7135</v>
      </c>
      <c r="O6" s="76"/>
      <c r="P6" s="7"/>
      <c r="Q6" s="212" t="s">
        <v>7136</v>
      </c>
      <c r="R6" s="181"/>
      <c r="S6" s="7"/>
      <c r="T6" s="180" t="s">
        <v>7137</v>
      </c>
      <c r="U6" s="181"/>
      <c r="V6" s="8"/>
      <c r="W6" s="77" t="s">
        <v>7138</v>
      </c>
      <c r="X6" s="78"/>
      <c r="Y6" s="7"/>
      <c r="Z6" s="180" t="s">
        <v>7139</v>
      </c>
      <c r="AA6" s="200"/>
      <c r="AB6" s="7"/>
      <c r="AC6" s="180" t="s">
        <v>7140</v>
      </c>
      <c r="AD6" s="183"/>
      <c r="AE6" s="181"/>
      <c r="AF6" s="7"/>
    </row>
    <row r="7" spans="1:32" ht="19.5" customHeight="1">
      <c r="A7" s="7"/>
      <c r="B7" s="30" t="s">
        <v>7141</v>
      </c>
      <c r="C7" s="13" t="e">
        <f>IF(ISBLANK(mgmt_vcf_installer_location_chosen),"Value Missing",mgmt_vcf_installer_location_chosen)</f>
        <v>#REF!</v>
      </c>
      <c r="D7" s="7"/>
      <c r="E7" s="30" t="s">
        <v>7142</v>
      </c>
      <c r="F7" s="13">
        <v>1</v>
      </c>
      <c r="G7" s="7"/>
      <c r="H7" s="52" t="s">
        <v>6780</v>
      </c>
      <c r="I7" s="52" t="s">
        <v>6943</v>
      </c>
      <c r="J7" s="7"/>
      <c r="K7" s="12" t="s">
        <v>6780</v>
      </c>
      <c r="L7" s="79" t="s">
        <v>6943</v>
      </c>
      <c r="M7" s="7"/>
      <c r="N7" s="12" t="s">
        <v>6780</v>
      </c>
      <c r="O7" s="79" t="s">
        <v>6943</v>
      </c>
      <c r="P7" s="7"/>
      <c r="Q7" s="52" t="s">
        <v>6780</v>
      </c>
      <c r="R7" s="52" t="s">
        <v>6943</v>
      </c>
      <c r="S7" s="7"/>
      <c r="T7" s="12" t="s">
        <v>6780</v>
      </c>
      <c r="U7" s="79" t="s">
        <v>6943</v>
      </c>
      <c r="V7" s="7"/>
      <c r="W7" s="12" t="s">
        <v>6780</v>
      </c>
      <c r="X7" s="79" t="s">
        <v>6943</v>
      </c>
      <c r="Y7" s="7"/>
      <c r="Z7" s="12" t="s">
        <v>6780</v>
      </c>
      <c r="AA7" s="79" t="s">
        <v>6943</v>
      </c>
      <c r="AB7" s="7"/>
      <c r="AC7" s="12" t="s">
        <v>6780</v>
      </c>
      <c r="AD7" s="79" t="s">
        <v>6781</v>
      </c>
      <c r="AE7" s="79" t="s">
        <v>7102</v>
      </c>
      <c r="AF7" s="7"/>
    </row>
    <row r="8" spans="1:32" ht="19.5" customHeight="1">
      <c r="A8" s="7"/>
      <c r="B8" s="30" t="s">
        <v>7143</v>
      </c>
      <c r="C8" s="13" t="e">
        <f>CONCATENATE(this_instance,"-ins01.",sample_child_dns_zone)</f>
        <v>#REF!</v>
      </c>
      <c r="D8" s="7"/>
      <c r="E8" s="30" t="s">
        <v>7144</v>
      </c>
      <c r="F8" s="13" t="e">
        <f>wld_compute_hosts_per_rack_chosen</f>
        <v>#REF!</v>
      </c>
      <c r="G8" s="7"/>
      <c r="H8" s="30" t="s">
        <v>7145</v>
      </c>
      <c r="I8" s="13" t="s">
        <v>6316</v>
      </c>
      <c r="J8" s="7"/>
      <c r="K8" s="30" t="s">
        <v>7146</v>
      </c>
      <c r="L8" s="13" t="e">
        <f>IF(ISBLANK(input_ca_administrator_username),"Value Missing",input_ca_administrator_username)</f>
        <v>#REF!</v>
      </c>
      <c r="M8" s="7"/>
      <c r="N8" s="30" t="s">
        <v>7147</v>
      </c>
      <c r="O8" s="13" t="e">
        <f>IF(ISBLANK(input_mgmt_sddc_domain),"Value Missing",input_mgmt_sddc_domain)</f>
        <v>#REF!</v>
      </c>
      <c r="P8" s="7"/>
      <c r="Q8" s="39" t="s">
        <v>7148</v>
      </c>
      <c r="R8" s="13" t="e">
        <f>IF(ISBLANK(input_xreg_vrslcm_ip),"Value Missing",input_xreg_vrslcm_ip)</f>
        <v>#REF!</v>
      </c>
      <c r="S8" s="7"/>
      <c r="T8" s="80" t="s">
        <v>6316</v>
      </c>
      <c r="U8" s="13" t="e">
        <f>IF(mgmt_consolidated_result="Included",mgmt_sddc_domain,wld_sddc_domain)</f>
        <v>#REF!</v>
      </c>
      <c r="V8" s="7"/>
      <c r="W8" s="30" t="s">
        <v>7149</v>
      </c>
      <c r="X8" s="13" t="str">
        <f>IF(ISBLANK('Private AI Ready Infrastructure'!D19),"Value Missing",'Private AI Ready Infrastructure'!D19)</f>
        <v>Value Missing</v>
      </c>
      <c r="Y8" s="7"/>
      <c r="Z8" s="30" t="s">
        <v>7150</v>
      </c>
      <c r="AA8" s="13" t="e">
        <f>IF(ISBLANK(input_wld_witnessaz_mgmt_cidr),"Value Missing",VLOOKUP(INT(RIGHT(input_wld_witnessaz_mgmt_cidr,LEN(input_wld_witnessaz_mgmt_cidr)-FIND("/",input_wld_witnessaz_mgmt_cidr))),table_cidr_to_mask,2,FALSE))</f>
        <v>#REF!</v>
      </c>
      <c r="AB8" s="7"/>
      <c r="AC8" s="30" t="s">
        <v>7151</v>
      </c>
      <c r="AD8" s="13" t="e">
        <f>'Value Reference Tables - MR'!F9</f>
        <v>#REF!</v>
      </c>
      <c r="AE8" s="13" t="e">
        <f>'Value Reference Tables - MR'!F295</f>
        <v>#REF!</v>
      </c>
      <c r="AF8" s="7"/>
    </row>
    <row r="9" spans="1:32" ht="19.5" customHeight="1">
      <c r="A9" s="7"/>
      <c r="B9" s="30" t="s">
        <v>7152</v>
      </c>
      <c r="C9" s="13" t="s">
        <v>7153</v>
      </c>
      <c r="D9" s="7"/>
      <c r="E9" s="30" t="s">
        <v>7154</v>
      </c>
      <c r="F9" s="13" t="e">
        <f>IF(vcf_granular_option_chosen="Create Cluster",PRODUCT(cluster_compute_hosts_per_rack_chosen,wld_multi_rack_count_chosen),PRODUCT(wld_compute_hosts_per_rack,wld_multi_rack_count_chosen))</f>
        <v>#REF!</v>
      </c>
      <c r="G9" s="7"/>
      <c r="H9" s="30" t="s">
        <v>7155</v>
      </c>
      <c r="I9" s="13" t="e">
        <f>IF(ISBLANK(input_cluster_domain_name),"Value Missing",input_cluster_domain_name)</f>
        <v>#REF!</v>
      </c>
      <c r="J9" s="7"/>
      <c r="K9" s="30" t="s">
        <v>7156</v>
      </c>
      <c r="L9" s="13"/>
      <c r="M9" s="7"/>
      <c r="N9" s="30" t="s">
        <v>7157</v>
      </c>
      <c r="O9" s="13"/>
      <c r="P9" s="7"/>
      <c r="Q9" s="7"/>
      <c r="R9" s="7"/>
      <c r="S9" s="7"/>
      <c r="T9" s="80" t="s">
        <v>7158</v>
      </c>
      <c r="U9" s="13" t="e">
        <f>IF(mgmt_consolidated_result="Included",mgmt_vc_fqdn,wld_vc_fqdn)</f>
        <v>#REF!</v>
      </c>
      <c r="V9" s="7"/>
      <c r="W9" s="7"/>
      <c r="X9" s="7"/>
      <c r="Y9" s="7"/>
      <c r="Z9" s="30" t="s">
        <v>7159</v>
      </c>
      <c r="AA9" s="13" t="e">
        <f>IF(ISBLANK(input_mgmt_az1_uplink01_cidr),"Value Missing",VLOOKUP(INT(RIGHT(input_mgmt_az1_uplink01_cidr,LEN(input_mgmt_az1_uplink01_cidr)-FIND("/",input_mgmt_az1_uplink01_cidr))),table_cidr_to_mask,2,FALSE))</f>
        <v>#REF!</v>
      </c>
      <c r="AB9" s="7"/>
      <c r="AC9" s="7"/>
      <c r="AD9" s="7"/>
      <c r="AE9" s="7"/>
      <c r="AF9" s="7"/>
    </row>
    <row r="10" spans="1:32" ht="19.5" customHeight="1">
      <c r="A10" s="7"/>
      <c r="B10" s="13" t="s">
        <v>7160</v>
      </c>
      <c r="C10" s="13" t="e">
        <f>CONCATENATE(this_instance,".rainpole.io")</f>
        <v>#REF!</v>
      </c>
      <c r="D10" s="7"/>
      <c r="E10" s="13" t="e">
        <f>IF(OR(wld_domain_chosen="Deploy Workload Domain with a Multi-Rack Layer 3 Cluster",cluster_chosen="Deploy a Multi-Rack Layer 3 Cluster",),"Include","Exclude")</f>
        <v>#REF!</v>
      </c>
      <c r="F10" s="13" t="e">
        <f>IF(mgmt_domain_deployment_type_chosen="VMware vSphere Foundation","Excluded",
IF(AND(vcf_granular_option_chosen&lt;&gt;"Deploy a new VCF fleet",vcf_granular_option_chosen&lt;&gt;"Deploy a VCF Instance in an existing VCF fleet",vcf_granular_option_chosen&lt;&gt;"Create Workload Domain",vcf_granular_option_chosen&lt;&gt;"Create Cluster"),"Excluded",
IF(AND(wld_domain_chosen&lt;&gt;"Deploy Workload Domain with a Multi-Rack Layer 3 Cluster",cluster_chosen&lt;&gt;"Deploy a Multi-Rack Layer 3 Cluster"),"Excluded",
IF(AND(wld_multi_rack_count_chosen="Exclude",wld_compute_hosts_per_rack_chosen="Exclude",cluster_compute_hosts_per_rack_chosen="Exclude"),"Excluded",
IF(OR(wld_principal_storage_chosen="vSAN-ESA",wld_principal_storage_chosen="vSAN-OSA",wld_principal_storage_chosen="vSAN Compute Cluster"),
IF(wld_multirack_calc="Include","Included","Excluded"),"Excluded")))))</f>
        <v>#REF!</v>
      </c>
      <c r="G10" s="7"/>
      <c r="H10" s="30" t="s">
        <v>7161</v>
      </c>
      <c r="I10" s="13" t="e">
        <f>cluster_principal_storage_chosen</f>
        <v>#REF!</v>
      </c>
      <c r="J10" s="7"/>
      <c r="K10" s="7"/>
      <c r="L10" s="7"/>
      <c r="M10" s="7"/>
      <c r="N10" s="30" t="s">
        <v>7162</v>
      </c>
      <c r="O10" s="13" t="e">
        <v>#REF!</v>
      </c>
      <c r="P10" s="7"/>
      <c r="Q10" s="212" t="s">
        <v>7163</v>
      </c>
      <c r="R10" s="181"/>
      <c r="S10" s="7"/>
      <c r="T10" s="80" t="s">
        <v>7164</v>
      </c>
      <c r="U10" s="13" t="e">
        <f>IF(mgmt_consolidated_result="Included",mgmt_datacenter,wld_datacenter)</f>
        <v>#REF!</v>
      </c>
      <c r="V10" s="7"/>
      <c r="W10" s="77" t="s">
        <v>7165</v>
      </c>
      <c r="X10" s="78"/>
      <c r="Y10" s="7"/>
      <c r="Z10" s="30" t="s">
        <v>7166</v>
      </c>
      <c r="AA10" s="13" t="e">
        <f>IF(ISBLANK(input_mgmt_az1_uplink02_cidr),"Value Missing",VLOOKUP(INT(RIGHT(input_mgmt_az1_uplink02_cidr,LEN(input_mgmt_az1_uplink02_cidr)-FIND("/",input_mgmt_az1_uplink02_cidr))),table_cidr_to_mask,2,FALSE))</f>
        <v>#REF!</v>
      </c>
      <c r="AB10" s="7"/>
      <c r="AC10" s="77" t="s">
        <v>7167</v>
      </c>
      <c r="AD10" s="78"/>
      <c r="AE10" s="78"/>
      <c r="AF10" s="7"/>
    </row>
    <row r="11" spans="1:32" ht="19.5" customHeight="1">
      <c r="A11" s="7"/>
      <c r="B11" s="7" t="s">
        <v>7168</v>
      </c>
      <c r="C11" s="7" t="e">
        <f t="array" aca="1" ref="C11" ca="1">INDIRECT("'Version History'!B8")</f>
        <v>#REF!</v>
      </c>
      <c r="D11" s="7"/>
      <c r="E11" s="7"/>
      <c r="F11" s="7"/>
      <c r="G11" s="7"/>
      <c r="H11" s="213" t="s">
        <v>7169</v>
      </c>
      <c r="I11" s="181"/>
      <c r="J11" s="7"/>
      <c r="K11" s="77" t="s">
        <v>7170</v>
      </c>
      <c r="L11" s="78"/>
      <c r="M11" s="7"/>
      <c r="N11" s="30" t="s">
        <v>6849</v>
      </c>
      <c r="O11" s="13" t="e">
        <v>#REF!</v>
      </c>
      <c r="P11" s="7"/>
      <c r="Q11" s="52" t="s">
        <v>6780</v>
      </c>
      <c r="R11" s="52" t="s">
        <v>6943</v>
      </c>
      <c r="S11" s="7"/>
      <c r="T11" s="80" t="s">
        <v>7171</v>
      </c>
      <c r="U11" s="13" t="e">
        <f>IF(mgmt_consolidated_result="Included",mgmt_cl01_cluster,wld_cl01_cluster)</f>
        <v>#REF!</v>
      </c>
      <c r="V11" s="7"/>
      <c r="W11" s="12" t="s">
        <v>6780</v>
      </c>
      <c r="X11" s="79" t="s">
        <v>6943</v>
      </c>
      <c r="Y11" s="7"/>
      <c r="Z11" s="30" t="s">
        <v>7172</v>
      </c>
      <c r="AA11" s="13" t="e">
        <f>IF(ISBLANK(input_wld_az1_mgmt_cidr),"Value Missing",VLOOKUP(INT(RIGHT(input_wld_az1_mgmt_cidr,LEN(input_wld_az1_mgmt_cidr)-FIND("/",input_wld_az1_mgmt_cidr))),table_cidr_to_mask,2,FALSE))</f>
        <v>#NAME?</v>
      </c>
      <c r="AB11" s="7"/>
      <c r="AC11" s="12" t="s">
        <v>6780</v>
      </c>
      <c r="AD11" s="79" t="s">
        <v>6781</v>
      </c>
      <c r="AE11" s="79" t="s">
        <v>7102</v>
      </c>
      <c r="AF11" s="7"/>
    </row>
    <row r="12" spans="1:32" ht="19.5" customHeight="1">
      <c r="A12" s="7"/>
      <c r="B12" s="75" t="s">
        <v>7173</v>
      </c>
      <c r="C12" s="75"/>
      <c r="D12" s="7"/>
      <c r="E12" s="75" t="s">
        <v>7174</v>
      </c>
      <c r="F12" s="75"/>
      <c r="G12" s="7"/>
      <c r="H12" s="30" t="s">
        <v>7175</v>
      </c>
      <c r="I12" s="13" t="e">
        <f>IF(ISBLANK(input_cluster_az1_mgmt_vlan),"Value Missing",input_cluster_az1_mgmt_vlan)</f>
        <v>#REF!</v>
      </c>
      <c r="J12" s="7"/>
      <c r="K12" s="12" t="s">
        <v>6780</v>
      </c>
      <c r="L12" s="79" t="s">
        <v>6943</v>
      </c>
      <c r="M12" s="7"/>
      <c r="N12" s="30" t="s">
        <v>7176</v>
      </c>
      <c r="O12" s="13" t="e">
        <v>#REF!</v>
      </c>
      <c r="P12" s="7"/>
      <c r="Q12" s="39" t="s">
        <v>7148</v>
      </c>
      <c r="R12" s="13" t="e">
        <f>IF(xreg_vrslcm_fqdn="Value Missing",xreg_vrslcm_fqdn,LEFT(xreg_vrslcm_fqdn,FIND(".",xreg_vrslcm_fqdn)-1))</f>
        <v>#REF!</v>
      </c>
      <c r="S12" s="7"/>
      <c r="T12" s="80" t="s">
        <v>7177</v>
      </c>
      <c r="U12" s="13" t="e">
        <f>IF(mgmt_consolidated_result="Included",mgmt_cl01_vds01_name,wld_cl01_vds01_name)</f>
        <v>#REF!</v>
      </c>
      <c r="V12" s="7"/>
      <c r="W12" s="30" t="s">
        <v>7178</v>
      </c>
      <c r="X12" s="13" t="e">
        <f>IF(ISBLANK(input_mgmt_witnessaz_mgmt_vlan),"Value Missing",input_mgmt_witnessaz_mgmt_vlan)</f>
        <v>#REF!</v>
      </c>
      <c r="Y12" s="7"/>
      <c r="Z12" s="30" t="s">
        <v>7179</v>
      </c>
      <c r="AA12" s="13" t="e">
        <f>IF(ISBLANK(input_wld_witnessaz_mgmt_cidr),"Value Missing",VLOOKUP(INT(RIGHT(input_wld_witnessaz_mgmt_cidr,LEN(input_wld_witnessaz_mgmt_cidr)-FIND("/",input_wld_witnessaz_mgmt_cidr))),table_cidr_to_mask,2,FALSE))</f>
        <v>#REF!</v>
      </c>
      <c r="AB12" s="7"/>
      <c r="AC12" s="7"/>
      <c r="AD12" s="7"/>
      <c r="AE12" s="7"/>
      <c r="AF12" s="7"/>
    </row>
    <row r="13" spans="1:32" ht="19.5" customHeight="1">
      <c r="A13" s="7"/>
      <c r="B13" s="52" t="s">
        <v>6780</v>
      </c>
      <c r="C13" s="52" t="s">
        <v>6943</v>
      </c>
      <c r="D13" s="7"/>
      <c r="E13" s="52" t="s">
        <v>6780</v>
      </c>
      <c r="F13" s="52" t="s">
        <v>6943</v>
      </c>
      <c r="G13" s="7"/>
      <c r="H13" s="30" t="s">
        <v>7180</v>
      </c>
      <c r="I13" s="13" t="e">
        <f>IF(ISBLANK(input_cluster_az1_mgmt_gateway_ip),"Value Missing",input_cluster_az1_mgmt_gateway_ip)</f>
        <v>#REF!</v>
      </c>
      <c r="J13" s="7"/>
      <c r="K13" s="30" t="s">
        <v>7181</v>
      </c>
      <c r="L13" s="13" t="e">
        <f>IF(ISBLANK(input_esxi_root_password),"Value Missing",input_esxi_root_password)</f>
        <v>#REF!</v>
      </c>
      <c r="M13" s="7"/>
      <c r="N13" s="30" t="s">
        <v>7182</v>
      </c>
      <c r="O13" s="13" t="e">
        <f>IF(ISBLANK(mgmt_ceip_status_chosen),"Value Missing",mgmt_ceip_status_chosen)</f>
        <v>#REF!</v>
      </c>
      <c r="P13" s="7"/>
      <c r="Q13" s="7"/>
      <c r="R13" s="7"/>
      <c r="S13" s="7"/>
      <c r="T13" s="30" t="s">
        <v>7183</v>
      </c>
      <c r="U13" s="13" t="e">
        <f>IF(mgmt_consolidated_result="Included",mgmt_cl01_vsan_datastore,wld_cl01_vsan_datastore)</f>
        <v>#REF!</v>
      </c>
      <c r="V13" s="7"/>
      <c r="W13" s="7"/>
      <c r="X13" s="7"/>
      <c r="Y13" s="7"/>
      <c r="Z13" s="30" t="s">
        <v>7184</v>
      </c>
      <c r="AA13" s="13" t="e">
        <f>IF(ISBLANK(input_wld_az1_uplink01_cidr),"Value Missing",VLOOKUP(INT(RIGHT(input_wld_az1_uplink01_cidr,LEN(input_wld_az1_uplink01_cidr)-FIND("/",input_wld_az1_uplink01_cidr))),table_cidr_to_mask,2,FALSE))</f>
        <v>#REF!</v>
      </c>
      <c r="AB13" s="7"/>
      <c r="AC13" s="77" t="s">
        <v>7185</v>
      </c>
      <c r="AD13" s="78"/>
      <c r="AE13" s="78"/>
      <c r="AF13" s="7"/>
    </row>
    <row r="14" spans="1:32" ht="19.5" customHeight="1">
      <c r="A14" s="7"/>
      <c r="B14" s="30" t="s">
        <v>7186</v>
      </c>
      <c r="C14" s="13" t="e">
        <f>IF(ISBLANK(input_vcf_installer_ip),"Value Missing",input_vcf_installer_ip)</f>
        <v>#REF!</v>
      </c>
      <c r="D14" s="7"/>
      <c r="E14" s="30" t="s">
        <v>7187</v>
      </c>
      <c r="F14" s="13" t="e">
        <f>IF(ISBLANK(input_wld_vc_ip),"Value Missing",input_wld_vc_ip)</f>
        <v>#REF!</v>
      </c>
      <c r="G14" s="7"/>
      <c r="H14" s="30" t="s">
        <v>7188</v>
      </c>
      <c r="I14" s="13" t="e">
        <f>IF(ISBLANK(input_cluster_az1_mgmt_cidr),"Value Missing",input_cluster_az1_mgmt_cidr)</f>
        <v>#REF!</v>
      </c>
      <c r="J14" s="7"/>
      <c r="K14" s="39" t="s">
        <v>7189</v>
      </c>
      <c r="L14" s="13" t="e">
        <f>IF(ISBLANK(input_administrator_vsphere_local_password),"Value Missing",input_administrator_vsphere_local_password)</f>
        <v>#REF!</v>
      </c>
      <c r="M14" s="7"/>
      <c r="N14" s="30" t="s">
        <v>7190</v>
      </c>
      <c r="O14" s="13" t="e">
        <v>#REF!</v>
      </c>
      <c r="P14" s="7"/>
      <c r="Q14" s="212" t="s">
        <v>7191</v>
      </c>
      <c r="R14" s="181"/>
      <c r="S14" s="7"/>
      <c r="T14" s="80" t="s">
        <v>7192</v>
      </c>
      <c r="U14" s="13" t="e">
        <f>IF(mgmt_consolidated_result="Included",mgmt_nsxt_vip_fqdn,wld_nsxt_vip_fqdn)</f>
        <v>#REF!</v>
      </c>
      <c r="V14" s="7"/>
      <c r="W14" s="77" t="s">
        <v>7193</v>
      </c>
      <c r="X14" s="78"/>
      <c r="Y14" s="7"/>
      <c r="Z14" s="30" t="s">
        <v>7194</v>
      </c>
      <c r="AA14" s="13" t="e">
        <f>IF(ISBLANK(input_wld_az1_uplink02_cidr),"Value Missing",VLOOKUP(INT(RIGHT(input_wld_az1_uplink02_cidr,LEN(input_wld_az1_uplink02_cidr)-FIND("/",input_wld_az1_uplink02_cidr))),table_cidr_to_mask,2,FALSE))</f>
        <v>#REF!</v>
      </c>
      <c r="AB14" s="7"/>
      <c r="AC14" s="12" t="s">
        <v>6780</v>
      </c>
      <c r="AD14" s="79" t="s">
        <v>6781</v>
      </c>
      <c r="AE14" s="79" t="s">
        <v>7102</v>
      </c>
      <c r="AF14" s="7"/>
    </row>
    <row r="15" spans="1:32" ht="19.5" customHeight="1">
      <c r="A15" s="7"/>
      <c r="B15" s="30" t="s">
        <v>5983</v>
      </c>
      <c r="C15" s="13" t="s">
        <v>7092</v>
      </c>
      <c r="D15" s="7"/>
      <c r="E15" s="30" t="s">
        <v>7195</v>
      </c>
      <c r="F15" s="13" t="e">
        <v>#REF!</v>
      </c>
      <c r="G15" s="7"/>
      <c r="H15" s="30" t="s">
        <v>7196</v>
      </c>
      <c r="I15" s="13" t="e">
        <f>IF(ISBLANK(input_cluster_az1_mgmt_mtu),"Value Missing",input_cluster_az1_mgmt_mtu)</f>
        <v>#REF!</v>
      </c>
      <c r="J15" s="7"/>
      <c r="K15" s="39" t="s">
        <v>7197</v>
      </c>
      <c r="L15" s="13" t="e">
        <f>IF(ISBLANK(input_vcenter_root_password),"Value Missing",input_vcenter_root_password)</f>
        <v>#REF!</v>
      </c>
      <c r="M15" s="7"/>
      <c r="N15" s="30" t="s">
        <v>7198</v>
      </c>
      <c r="O15" s="13" t="e">
        <v>#REF!</v>
      </c>
      <c r="P15" s="7"/>
      <c r="Q15" s="52" t="s">
        <v>6780</v>
      </c>
      <c r="R15" s="52" t="s">
        <v>6943</v>
      </c>
      <c r="S15" s="7"/>
      <c r="T15" s="30" t="s">
        <v>7199</v>
      </c>
      <c r="U15" s="13" t="e">
        <f>IF(mgmt_consolidated_result="Included",mgmt_tier0_name,wld_tier0_name)</f>
        <v>#REF!</v>
      </c>
      <c r="V15" s="9"/>
      <c r="W15" s="12" t="s">
        <v>6780</v>
      </c>
      <c r="X15" s="79" t="s">
        <v>6943</v>
      </c>
      <c r="Y15" s="7"/>
      <c r="Z15" s="30" t="s">
        <v>7200</v>
      </c>
      <c r="AA15" s="13" t="str">
        <f>IF(ISBLANK(input_wld_az1_vrms_cidr),"Value Missing",VLOOKUP(INT(RIGHT(input_wld_az1_vrms_cidr,LEN(input_wld_az1_vrms_cidr)-FIND("/",input_wld_az1_vrms_cidr))),table_cidr_to_mask,2,FALSE))</f>
        <v>Value Missing</v>
      </c>
      <c r="AB15" s="7"/>
      <c r="AC15" s="30" t="s">
        <v>7151</v>
      </c>
      <c r="AD15" s="13" t="e">
        <f>'Value Reference Tables - MR'!F24</f>
        <v>#REF!</v>
      </c>
      <c r="AE15" s="13" t="e">
        <f>'Value Reference Tables - MR'!F309</f>
        <v>#REF!</v>
      </c>
      <c r="AF15" s="7"/>
    </row>
    <row r="16" spans="1:32" ht="19.5" customHeight="1">
      <c r="A16" s="7"/>
      <c r="B16" s="30" t="s">
        <v>7187</v>
      </c>
      <c r="C16" s="13" t="s">
        <v>7092</v>
      </c>
      <c r="D16" s="7"/>
      <c r="E16" s="30" t="s">
        <v>7201</v>
      </c>
      <c r="F16" s="13" t="e">
        <v>#REF!</v>
      </c>
      <c r="G16" s="7"/>
      <c r="H16" s="213" t="s">
        <v>7202</v>
      </c>
      <c r="I16" s="181"/>
      <c r="J16" s="7"/>
      <c r="K16" s="39" t="s">
        <v>7203</v>
      </c>
      <c r="L16" s="13" t="e">
        <f>IF(ISBLANK(input_nsxt_lm_root_password),"Value Missing",input_nsxt_lm_root_password)</f>
        <v>#REF!</v>
      </c>
      <c r="M16" s="7"/>
      <c r="N16" s="30" t="s">
        <v>7204</v>
      </c>
      <c r="O16" s="13" t="e">
        <v>#REF!</v>
      </c>
      <c r="P16" s="7"/>
      <c r="Q16" s="39" t="s">
        <v>7148</v>
      </c>
      <c r="R16" s="13" t="e">
        <f>IF(ISBLANK(input_xreg_vrslcm_fqdn),"Value Missing",input_xreg_vrslcm_fqdn)</f>
        <v>#REF!</v>
      </c>
      <c r="S16" s="7"/>
      <c r="T16" s="30" t="s">
        <v>7205</v>
      </c>
      <c r="U16" s="13" t="e">
        <f>IF(mgmt_consolidated_result="Included",CONCATENATE("overlay-tz-",mgmt_nsxt_hostname),CONCATENATE("overlay-tz-",wld_nsxt_hostname))</f>
        <v>#REF!</v>
      </c>
      <c r="V16" s="9"/>
      <c r="W16" s="30" t="s">
        <v>7178</v>
      </c>
      <c r="X16" s="13" t="e">
        <f>IF(ISBLANK(input_mgmt_witness_mgmt_pg),"Value Missing",input_mgmt_witness_mgmt_pg)</f>
        <v>#REF!</v>
      </c>
      <c r="Y16" s="7"/>
      <c r="Z16" s="7"/>
      <c r="AA16" s="7"/>
      <c r="AB16" s="7"/>
      <c r="AC16" s="7"/>
      <c r="AD16" s="7"/>
      <c r="AE16" s="7"/>
      <c r="AF16" s="7"/>
    </row>
    <row r="17" spans="1:32" ht="19.5" customHeight="1">
      <c r="A17" s="7"/>
      <c r="B17" s="30" t="s">
        <v>7195</v>
      </c>
      <c r="C17" s="13" t="s">
        <v>7092</v>
      </c>
      <c r="D17" s="7"/>
      <c r="E17" s="30" t="s">
        <v>7206</v>
      </c>
      <c r="F17" s="13" t="e">
        <v>#REF!</v>
      </c>
      <c r="G17" s="7"/>
      <c r="H17" s="30" t="s">
        <v>7175</v>
      </c>
      <c r="I17" s="13" t="e">
        <f>IF(ISBLANK(input_cluster_az1_vmotion_vlan),"Value Missing",input_cluster_az1_vmotion_vlan)</f>
        <v>#REF!</v>
      </c>
      <c r="J17" s="7"/>
      <c r="K17" s="39" t="s">
        <v>7207</v>
      </c>
      <c r="L17" s="13" t="e">
        <f>IF(ISBLANK(input_nsxt_lm_admin_password),"Value Missing",input_nsxt_lm_admin_password)</f>
        <v>#REF!</v>
      </c>
      <c r="M17" s="7"/>
      <c r="N17" s="30" t="s">
        <v>7208</v>
      </c>
      <c r="O17" s="13" t="e">
        <v>#REF!</v>
      </c>
      <c r="P17" s="7"/>
      <c r="Q17" s="7"/>
      <c r="R17" s="7"/>
      <c r="S17" s="7"/>
      <c r="T17" s="30" t="s">
        <v>7209</v>
      </c>
      <c r="U17" s="13" t="str">
        <f>IF(ISBLANK('Private AI Ready Infrastructure'!D19),"Value Missing",'Private AI Ready Infrastructure'!D19)</f>
        <v>Value Missing</v>
      </c>
      <c r="V17" s="9"/>
      <c r="W17" s="7"/>
      <c r="X17" s="7"/>
      <c r="Y17" s="7"/>
      <c r="Z17" s="180" t="s">
        <v>6779</v>
      </c>
      <c r="AA17" s="181"/>
      <c r="AB17" s="7"/>
      <c r="AC17" s="77" t="s">
        <v>7210</v>
      </c>
      <c r="AD17" s="78"/>
      <c r="AE17" s="78"/>
      <c r="AF17" s="7"/>
    </row>
    <row r="18" spans="1:32" ht="19.5" customHeight="1">
      <c r="A18" s="7"/>
      <c r="B18" s="30" t="s">
        <v>7201</v>
      </c>
      <c r="C18" s="13" t="s">
        <v>7092</v>
      </c>
      <c r="D18" s="7"/>
      <c r="E18" s="30" t="s">
        <v>7211</v>
      </c>
      <c r="F18" s="13" t="e">
        <v>#REF!</v>
      </c>
      <c r="G18" s="7"/>
      <c r="H18" s="30" t="s">
        <v>7196</v>
      </c>
      <c r="I18" s="13" t="e">
        <f>IF(ISBLANK(input_cluster_az1_vmotion_mtu),"Value Missing",input_cluster_az1_vmotion_mtu)</f>
        <v>#REF!</v>
      </c>
      <c r="J18" s="7"/>
      <c r="K18" s="39" t="s">
        <v>7212</v>
      </c>
      <c r="L18" s="13" t="e">
        <f>IF(ISBLANK(input_nsxt_lm_audit_password),"Value Missing",input_nsxt_lm_audit_password)</f>
        <v>#REF!</v>
      </c>
      <c r="M18" s="7"/>
      <c r="N18" s="30" t="s">
        <v>7213</v>
      </c>
      <c r="O18" s="13" t="str">
        <f>IF(ISBLANK('Value Reference Tables'!U208),"Value Missing",'Value Reference Tables'!U208)</f>
        <v>Value Missing</v>
      </c>
      <c r="P18" s="7"/>
      <c r="Q18" s="76" t="s">
        <v>7214</v>
      </c>
      <c r="R18" s="78"/>
      <c r="S18" s="7"/>
      <c r="T18" s="30" t="s">
        <v>7215</v>
      </c>
      <c r="U18" s="13" t="str">
        <f>IF(ISBLANK(input_k8s_ip_prefixlist),"Value Missing",input_k8s_ip_prefixlist)</f>
        <v>Value Missing</v>
      </c>
      <c r="V18" s="7"/>
      <c r="W18" s="77" t="s">
        <v>7216</v>
      </c>
      <c r="X18" s="78"/>
      <c r="Y18" s="7"/>
      <c r="Z18" s="12" t="s">
        <v>6780</v>
      </c>
      <c r="AA18" s="79" t="s">
        <v>6943</v>
      </c>
      <c r="AB18" s="7"/>
      <c r="AC18" s="12" t="s">
        <v>6780</v>
      </c>
      <c r="AD18" s="79" t="s">
        <v>6781</v>
      </c>
      <c r="AE18" s="79" t="s">
        <v>7102</v>
      </c>
      <c r="AF18" s="7"/>
    </row>
    <row r="19" spans="1:32" ht="19.5" customHeight="1">
      <c r="A19" s="7"/>
      <c r="B19" s="30" t="s">
        <v>7206</v>
      </c>
      <c r="C19" s="13" t="s">
        <v>7092</v>
      </c>
      <c r="D19" s="7"/>
      <c r="E19" s="30" t="s">
        <v>7217</v>
      </c>
      <c r="F19" s="13" t="e">
        <v>#REF!</v>
      </c>
      <c r="G19" s="7"/>
      <c r="H19" s="30" t="s">
        <v>334</v>
      </c>
      <c r="I19" s="13" t="e">
        <f>IF(cluster_az1_vmotion_gateway_cidr="Value Missing","Value Missing",CONCATENATE(_xludf.TEXTBEFORE(cluster_az1_vmotion_gateway_cidr,".",3),".0"))</f>
        <v>#REF!</v>
      </c>
      <c r="J19" s="7"/>
      <c r="K19" s="39" t="s">
        <v>7218</v>
      </c>
      <c r="L19" s="13" t="e">
        <f>IF(ISBLANK(input_mgmt_nsxt_en_root_password),"Value Missing",input_mgmt_nsxt_en_root_password)</f>
        <v>#REF!</v>
      </c>
      <c r="M19" s="7"/>
      <c r="N19" s="30" t="s">
        <v>7219</v>
      </c>
      <c r="O19" s="13" t="e">
        <f>IF(ISBLANK(input_mgmt_nsxt_global_mgr_vmca_signed_thumbprint),"Value Missing",input_mgmt_nsxt_global_mgr_vmca_signed_thumbprint)</f>
        <v>#REF!</v>
      </c>
      <c r="P19" s="7"/>
      <c r="Q19" s="12" t="s">
        <v>6780</v>
      </c>
      <c r="R19" s="79" t="s">
        <v>6943</v>
      </c>
      <c r="S19" s="7"/>
      <c r="T19" s="39" t="s">
        <v>7220</v>
      </c>
      <c r="U19" s="13" t="str">
        <f>IF(ISBLANK(input_k8s_ip_routemap),"Value Missing",input_k8s_ip_routemap)</f>
        <v>Value Missing</v>
      </c>
      <c r="V19" s="7"/>
      <c r="W19" s="12" t="s">
        <v>6780</v>
      </c>
      <c r="X19" s="79" t="s">
        <v>6943</v>
      </c>
      <c r="Y19" s="7"/>
      <c r="Z19" s="30" t="s">
        <v>7221</v>
      </c>
      <c r="AA19" s="13" t="e">
        <f>IF(mgmt_domain_chosen="First Instance","sfo","lax")</f>
        <v>#REF!</v>
      </c>
      <c r="AB19" s="7"/>
      <c r="AC19" s="30" t="s">
        <v>7151</v>
      </c>
      <c r="AD19" s="13" t="e">
        <f>'Value Reference Tables - MR'!F86</f>
        <v>#REF!</v>
      </c>
      <c r="AE19" s="13" t="e">
        <f>'Value Reference Tables - MR'!F351</f>
        <v>#REF!</v>
      </c>
      <c r="AF19" s="7"/>
    </row>
    <row r="20" spans="1:32" ht="19.5" customHeight="1">
      <c r="A20" s="7"/>
      <c r="B20" s="30" t="s">
        <v>7211</v>
      </c>
      <c r="C20" s="13" t="s">
        <v>7092</v>
      </c>
      <c r="D20" s="7"/>
      <c r="E20" s="30" t="s">
        <v>7222</v>
      </c>
      <c r="F20" s="13" t="e">
        <v>#REF!</v>
      </c>
      <c r="G20" s="7"/>
      <c r="H20" s="30" t="s">
        <v>7223</v>
      </c>
      <c r="I20" s="13" t="e">
        <f>IF(cluster_az1_vmotion_gateway_cidr="Value Missing",cluster_az1_vmotion_gateway_cidr,VLOOKUP(INT(RIGHT(cluster_az1_vmotion_gateway_cidr,LEN(cluster_az1_vmotion_gateway_cidr)-FIND("/",cluster_az1_vmotion_gateway_cidr))),table_cidr_to_mask,2,FALSE))</f>
        <v>#REF!</v>
      </c>
      <c r="J20" s="7"/>
      <c r="K20" s="39" t="s">
        <v>7224</v>
      </c>
      <c r="L20" s="13" t="e">
        <f>IF(ISBLANK(input_mgmt_nsxt_en_admin_password),"Value Missing",input_mgmt_nsxt_en_admin_password)</f>
        <v>#REF!</v>
      </c>
      <c r="M20" s="7"/>
      <c r="N20" s="30" t="s">
        <v>7225</v>
      </c>
      <c r="O20" s="13" t="e">
        <f>IF(ISBLANK(input_mgmt_nsxt_global_mgr_cluster_id),"Value Missing",input_mgmt_nsxt_global_mgr_cluster_id)</f>
        <v>#REF!</v>
      </c>
      <c r="P20" s="7"/>
      <c r="Q20" s="30"/>
      <c r="R20" s="13" t="str">
        <f>IF(ISBLANK('Private AI Ready Infrastructure'!D72),"Value Missing",'Private AI Ready Infrastructure'!D72)</f>
        <v>Value Missing</v>
      </c>
      <c r="S20" s="7"/>
      <c r="T20" s="30" t="s">
        <v>7226</v>
      </c>
      <c r="U20" s="13" t="e">
        <f>IF(mgmt_consolidated_result="Included",mgmt_ec_name,wld_ec_name)</f>
        <v>#REF!</v>
      </c>
      <c r="V20" s="9"/>
      <c r="W20" s="30" t="s">
        <v>7178</v>
      </c>
      <c r="X20" s="13" t="e">
        <f>IF(ISBLANK(input_mgmt_witnessaz_mgmt_cidr),"Value Missing",input_mgmt_witnessaz_mgmt_cidr)</f>
        <v>#REF!</v>
      </c>
      <c r="Y20" s="7"/>
      <c r="Z20" s="30" t="s">
        <v>7227</v>
      </c>
      <c r="AA20" s="13" t="e">
        <f>IF(this_instance="sfo","lax","sfo")</f>
        <v>#REF!</v>
      </c>
      <c r="AB20" s="7"/>
      <c r="AC20" s="7"/>
      <c r="AD20" s="7"/>
      <c r="AE20" s="7"/>
      <c r="AF20" s="7"/>
    </row>
    <row r="21" spans="1:32" ht="19.5" customHeight="1">
      <c r="A21" s="7"/>
      <c r="B21" s="30" t="s">
        <v>7217</v>
      </c>
      <c r="C21" s="13" t="e">
        <v>#REF!</v>
      </c>
      <c r="D21" s="7"/>
      <c r="E21" s="30" t="s">
        <v>7228</v>
      </c>
      <c r="F21" s="13" t="e">
        <v>#REF!</v>
      </c>
      <c r="G21" s="7"/>
      <c r="H21" s="30" t="s">
        <v>6410</v>
      </c>
      <c r="I21" s="13" t="e">
        <f>IF(OR(cluster_az1_vmotion_network="Value Missing",cluster_az1_vmotion_mask="Value Missing"),"Value Missing",(CONCATENATE(cluster_az1_vmotion_network,"/",VLOOKUP(cluster_az1_vmotion_mask,table_mask_to_cidr,2,FALSE))))</f>
        <v>#REF!</v>
      </c>
      <c r="J21" s="7"/>
      <c r="K21" s="39" t="s">
        <v>7229</v>
      </c>
      <c r="L21" s="13" t="e">
        <f>IF(ISBLANK(input_nsxt_gm_root_password),"Value Missing",input_nsxt_gm_root_password)</f>
        <v>#REF!</v>
      </c>
      <c r="M21" s="7"/>
      <c r="N21" s="30" t="s">
        <v>7230</v>
      </c>
      <c r="O21" s="13" t="e">
        <v>#REF!</v>
      </c>
      <c r="P21" s="7"/>
      <c r="Q21" s="30"/>
      <c r="R21" s="13" t="str">
        <f>IF(ISBLANK('Private AI Ready Infrastructure'!D71),"Value Missing",'Private AI Ready Infrastructure'!D71)</f>
        <v>Value Missing</v>
      </c>
      <c r="S21" s="7"/>
      <c r="T21" s="39" t="s">
        <v>7231</v>
      </c>
      <c r="U21" s="13">
        <v>28</v>
      </c>
      <c r="V21" s="9"/>
      <c r="W21" s="7"/>
      <c r="X21" s="7"/>
      <c r="Y21" s="7"/>
      <c r="Z21" s="30" t="s">
        <v>7232</v>
      </c>
      <c r="AA21" s="13" t="e">
        <f>IF(mgmt_consolidated_result="Included","m01",CONCATENATE("w0",wld_domain_number_chosen))</f>
        <v>#REF!</v>
      </c>
      <c r="AB21" s="7"/>
      <c r="AC21" s="77" t="s">
        <v>7233</v>
      </c>
      <c r="AD21" s="78"/>
      <c r="AE21" s="78"/>
      <c r="AF21" s="7"/>
    </row>
    <row r="22" spans="1:32" ht="19.5" customHeight="1">
      <c r="A22" s="7"/>
      <c r="B22" s="30" t="s">
        <v>7222</v>
      </c>
      <c r="C22" s="13" t="e">
        <v>#REF!</v>
      </c>
      <c r="D22" s="7"/>
      <c r="E22" s="30" t="s">
        <v>7234</v>
      </c>
      <c r="F22" s="13" t="e">
        <v>#REF!</v>
      </c>
      <c r="G22" s="7"/>
      <c r="H22" s="30" t="s">
        <v>7180</v>
      </c>
      <c r="I22" s="13" t="e">
        <f>IF(cluster_az1_vmotion_gateway_cidr="Value Missing","Value Missing",LEFT(cluster_az1_vmotion_gateway_cidr,FIND("/",cluster_az1_vmotion_gateway_cidr)-1))</f>
        <v>#REF!</v>
      </c>
      <c r="J22" s="7"/>
      <c r="K22" s="39" t="s">
        <v>7235</v>
      </c>
      <c r="L22" s="13" t="e">
        <f>IF(ISBLANK(input_nsxt_gm_admin_password),"Value Missing",input_nsxt_gm_admin_password)</f>
        <v>#REF!</v>
      </c>
      <c r="M22" s="7"/>
      <c r="N22" s="30" t="s">
        <v>7236</v>
      </c>
      <c r="O22" s="13" t="e">
        <v>#REF!</v>
      </c>
      <c r="P22" s="7"/>
      <c r="Q22" s="60"/>
      <c r="R22" s="60"/>
      <c r="S22" s="7"/>
      <c r="T22" s="39" t="s">
        <v>7237</v>
      </c>
      <c r="U22" s="13">
        <v>32</v>
      </c>
      <c r="V22" s="9"/>
      <c r="W22" s="77" t="s">
        <v>7238</v>
      </c>
      <c r="X22" s="78"/>
      <c r="Y22" s="7"/>
      <c r="Z22" s="30" t="s">
        <v>7239</v>
      </c>
      <c r="AA22" s="13" t="e">
        <f>IF(this_instance="sfo","11","21")</f>
        <v>#REF!</v>
      </c>
      <c r="AB22" s="7"/>
      <c r="AC22" s="12" t="s">
        <v>6780</v>
      </c>
      <c r="AD22" s="79" t="s">
        <v>6781</v>
      </c>
      <c r="AE22" s="79" t="s">
        <v>7102</v>
      </c>
      <c r="AF22" s="7"/>
    </row>
    <row r="23" spans="1:32" ht="19.5" customHeight="1">
      <c r="A23" s="7"/>
      <c r="B23" s="30" t="s">
        <v>7228</v>
      </c>
      <c r="C23" s="13" t="e">
        <v>#REF!</v>
      </c>
      <c r="D23" s="7"/>
      <c r="E23" s="30" t="s">
        <v>7240</v>
      </c>
      <c r="F23" s="13" t="e">
        <v>#REF!</v>
      </c>
      <c r="G23" s="7"/>
      <c r="H23" s="30" t="s">
        <v>7241</v>
      </c>
      <c r="I23" s="13" t="e">
        <f>IF(ISBLANK(input_cluster_az1_vmotion_gateway_cidr),"Value Missing",input_cluster_az1_vmotion_gateway_cidr)</f>
        <v>#REF!</v>
      </c>
      <c r="J23" s="7"/>
      <c r="K23" s="39" t="s">
        <v>7242</v>
      </c>
      <c r="L23" s="13" t="e">
        <f>IF(ISBLANK(input_nsxt_gm_audit_password),"Value Missing",input_nsxt_gm_audit_password)</f>
        <v>#REF!</v>
      </c>
      <c r="M23" s="7"/>
      <c r="N23" s="30" t="s">
        <v>7243</v>
      </c>
      <c r="O23" s="13" t="e">
        <v>#REF!</v>
      </c>
      <c r="P23" s="7"/>
      <c r="Q23" s="180" t="s">
        <v>7244</v>
      </c>
      <c r="R23" s="200"/>
      <c r="S23" s="7"/>
      <c r="T23" s="30" t="s">
        <v>7245</v>
      </c>
      <c r="U23" s="13" t="str">
        <f>IF(ISBLANK(input_k8s_vcenter_category),"Value Missing",input_k8s_vcenter_category)</f>
        <v>Value Missing</v>
      </c>
      <c r="V23" s="9"/>
      <c r="W23" s="12" t="s">
        <v>6780</v>
      </c>
      <c r="X23" s="79" t="s">
        <v>6943</v>
      </c>
      <c r="Y23" s="7"/>
      <c r="Z23" s="30" t="s">
        <v>7246</v>
      </c>
      <c r="AA23" s="13" t="e">
        <f>IF(this_instance="sfo","10.11.","10.21.")</f>
        <v>#REF!</v>
      </c>
      <c r="AB23" s="7"/>
      <c r="AC23" s="30" t="s">
        <v>7151</v>
      </c>
      <c r="AD23" s="13" t="e">
        <f>'Value Reference Tables - MR'!F70</f>
        <v>#REF!</v>
      </c>
      <c r="AE23" s="13" t="e">
        <f>'Value Reference Tables - MR'!F365</f>
        <v>#REF!</v>
      </c>
      <c r="AF23" s="7"/>
    </row>
    <row r="24" spans="1:32" ht="19.5" customHeight="1">
      <c r="A24" s="7"/>
      <c r="B24" s="30" t="s">
        <v>7234</v>
      </c>
      <c r="C24" s="13" t="e">
        <v>#REF!</v>
      </c>
      <c r="D24" s="7"/>
      <c r="E24" s="30" t="s">
        <v>7247</v>
      </c>
      <c r="F24" s="13" t="e">
        <f>IF(ISBLANK(input_wld_avilb_mgra_ip),"Value Missing",input_wld_avilb_mgra_ip)</f>
        <v>#REF!</v>
      </c>
      <c r="G24" s="7"/>
      <c r="H24" s="39" t="s">
        <v>7248</v>
      </c>
      <c r="I24" s="13" t="e">
        <f>IF(ISBLANK(input_cluster_az1_vmotion_pool_start_ip),"Value Missing",input_cluster_az1_vmotion_pool_start_ip)</f>
        <v>#REF!</v>
      </c>
      <c r="J24" s="7"/>
      <c r="K24" s="39" t="s">
        <v>7229</v>
      </c>
      <c r="L24" s="13" t="e">
        <f>IF(ISBLANK(input_wld_nsxt_gm_root_password),"Value Missing",input_wld_nsxt_gm_root_password)</f>
        <v>#REF!</v>
      </c>
      <c r="M24" s="7"/>
      <c r="N24" s="30" t="s">
        <v>7249</v>
      </c>
      <c r="O24" s="13" t="e">
        <v>#REF!</v>
      </c>
      <c r="P24" s="7"/>
      <c r="Q24" s="80" t="s">
        <v>7250</v>
      </c>
      <c r="R24" s="13"/>
      <c r="S24" s="7"/>
      <c r="T24" s="30" t="s">
        <v>7251</v>
      </c>
      <c r="U24" s="13" t="str">
        <f>IF(ISBLANK(input_k8s_vcenter_tag),"Value Missing",input_k8s_vcenter_tag)</f>
        <v>Value Missing</v>
      </c>
      <c r="V24" s="9"/>
      <c r="W24" s="30" t="s">
        <v>7178</v>
      </c>
      <c r="X24" s="13" t="e">
        <f>IF(ISBLANK(input_mgmt_witnessaz_mgmt_gateway_ip),"Value Missing",input_mgmt_witnessaz_mgmt_gateway_ip)</f>
        <v>#REF!</v>
      </c>
      <c r="Y24" s="7"/>
      <c r="Z24" s="30" t="s">
        <v>7252</v>
      </c>
      <c r="AA24" s="13" t="e">
        <f>IF(this_instance="sfo","12","22")</f>
        <v>#REF!</v>
      </c>
      <c r="AB24" s="7"/>
      <c r="AC24" s="7"/>
      <c r="AD24" s="7"/>
      <c r="AE24" s="7"/>
      <c r="AF24" s="7"/>
    </row>
    <row r="25" spans="1:32" ht="19.5" customHeight="1">
      <c r="A25" s="7"/>
      <c r="B25" s="30" t="s">
        <v>7240</v>
      </c>
      <c r="C25" s="13" t="e">
        <v>#REF!</v>
      </c>
      <c r="D25" s="7"/>
      <c r="E25" s="30" t="s">
        <v>7253</v>
      </c>
      <c r="F25" s="13" t="e">
        <f>IF(ISBLANK(input_wld_avilb_mgrb_ip),"Value Missing",input_wld_avilb_mgrb_ip)</f>
        <v>#REF!</v>
      </c>
      <c r="G25" s="7"/>
      <c r="H25" s="39" t="s">
        <v>7254</v>
      </c>
      <c r="I25" s="13" t="e">
        <f>IF(ISBLANK(input_cluster_az1_vmotion_pool_end_ip),"Value Missing",input_cluster_az1_vmotion_pool_end_ip)</f>
        <v>#REF!</v>
      </c>
      <c r="J25" s="7"/>
      <c r="K25" s="39" t="s">
        <v>7235</v>
      </c>
      <c r="L25" s="13" t="e">
        <f>IF(ISBLANK(input_wld_nsxt_gm_admin_password),"Value Missing",input_wld_nsxt_gm_admin_password)</f>
        <v>#REF!</v>
      </c>
      <c r="M25" s="7"/>
      <c r="N25" s="30" t="s">
        <v>7255</v>
      </c>
      <c r="O25" s="13" t="e">
        <v>#REF!</v>
      </c>
      <c r="P25" s="7"/>
      <c r="Q25" s="60"/>
      <c r="R25" s="60"/>
      <c r="S25" s="7"/>
      <c r="T25" s="30" t="s">
        <v>7256</v>
      </c>
      <c r="U25" s="13" t="str">
        <f>IF(ISBLANK(input_k8s_vcenter_storage_policy),"Value Missing",input_k8s_vcenter_storage_policy)</f>
        <v>Value Missing</v>
      </c>
      <c r="V25" s="9"/>
      <c r="W25" s="7"/>
      <c r="X25" s="7"/>
      <c r="Y25" s="7"/>
      <c r="Z25" s="30" t="s">
        <v>7257</v>
      </c>
      <c r="AA25" s="13" t="e">
        <f>IF(this_instance="sfo","10.12.","10.22.")</f>
        <v>#REF!</v>
      </c>
      <c r="AB25" s="7"/>
      <c r="AC25" s="77" t="s">
        <v>7258</v>
      </c>
      <c r="AD25" s="78"/>
      <c r="AE25" s="78"/>
      <c r="AF25" s="7"/>
    </row>
    <row r="26" spans="1:32" ht="19.5" customHeight="1">
      <c r="A26" s="7"/>
      <c r="B26" s="30" t="s">
        <v>7259</v>
      </c>
      <c r="C26" s="13" t="e">
        <f>IF(ISBLANK(input_mgmt_avilb_mgra_ip),"Value Missing",input_mgmt_avilb_mgra_ip)</f>
        <v>#REF!</v>
      </c>
      <c r="D26" s="7"/>
      <c r="E26" s="30" t="s">
        <v>7260</v>
      </c>
      <c r="F26" s="13" t="e">
        <f>IF(ISBLANK(input_wld_avilb_mgrc_ip),"Value Missing",input_wld_avilb_mgrc_ip)</f>
        <v>#REF!</v>
      </c>
      <c r="G26" s="7"/>
      <c r="H26" s="213" t="s">
        <v>7261</v>
      </c>
      <c r="I26" s="181"/>
      <c r="J26" s="7"/>
      <c r="K26" s="39" t="s">
        <v>7242</v>
      </c>
      <c r="L26" s="13" t="e">
        <f>IF(ISBLANK(input_wld_nsxt_gm_audit_password),"Value Missing",input_wld_nsxt_gm_audit_password)</f>
        <v>#REF!</v>
      </c>
      <c r="M26" s="7"/>
      <c r="N26" s="30" t="s">
        <v>7262</v>
      </c>
      <c r="O26" s="13" t="e">
        <v>#REF!</v>
      </c>
      <c r="P26" s="7"/>
      <c r="Q26" s="180" t="s">
        <v>7263</v>
      </c>
      <c r="R26" s="200"/>
      <c r="S26" s="7"/>
      <c r="T26" s="30" t="s">
        <v>7264</v>
      </c>
      <c r="U26" s="13" t="str">
        <f>IF(ISBLANK(input_k8s_vcenter_content_library),"Value Missing",input_k8s_vcenter_content_library)</f>
        <v>Value Missing</v>
      </c>
      <c r="V26" s="9"/>
      <c r="W26" s="77" t="s">
        <v>7265</v>
      </c>
      <c r="X26" s="78"/>
      <c r="Y26" s="7"/>
      <c r="Z26" s="30" t="s">
        <v>7266</v>
      </c>
      <c r="AA26" s="13" t="e">
        <f>IF(this_instance="sfo","192.168.31","192.168.32")</f>
        <v>#REF!</v>
      </c>
      <c r="AB26" s="7"/>
      <c r="AC26" s="12" t="s">
        <v>6780</v>
      </c>
      <c r="AD26" s="79" t="s">
        <v>6781</v>
      </c>
      <c r="AE26" s="79" t="s">
        <v>7102</v>
      </c>
      <c r="AF26" s="7"/>
    </row>
    <row r="27" spans="1:32" ht="19.5" customHeight="1">
      <c r="A27" s="7"/>
      <c r="B27" s="30" t="s">
        <v>7267</v>
      </c>
      <c r="C27" s="13" t="e">
        <f>IF(ISBLANK(input_mgmt_avilb_mgrb_ip),"Value Missing",input_mgmt_avilb_mgrb_ip)</f>
        <v>#REF!</v>
      </c>
      <c r="D27" s="7"/>
      <c r="E27" s="39" t="s">
        <v>7268</v>
      </c>
      <c r="F27" s="13" t="e">
        <f>IF(ISBLANK(input_wld_vnaa_ip),"Value Missing",input_wld_vnaa_ip)</f>
        <v>#REF!</v>
      </c>
      <c r="G27" s="7"/>
      <c r="H27" s="30" t="s">
        <v>7175</v>
      </c>
      <c r="I27" s="13" t="e">
        <f>IF(ISBLANK(input_cluster_az1_principal_storage_vlan),"Value Missing",input_cluster_az1_principal_storage_vlan)</f>
        <v>#REF!</v>
      </c>
      <c r="J27" s="7"/>
      <c r="K27" s="39" t="s">
        <v>7269</v>
      </c>
      <c r="L27" s="13" t="e">
        <f>IF(ISBLANK(input_sddc_mgr_root_password),"Value Missing",input_sddc_mgr_root_password)</f>
        <v>#REF!</v>
      </c>
      <c r="M27" s="7"/>
      <c r="N27" s="30" t="s">
        <v>7270</v>
      </c>
      <c r="O27" s="13" t="e">
        <v>#REF!</v>
      </c>
      <c r="P27" s="7"/>
      <c r="Q27" s="80" t="s">
        <v>7271</v>
      </c>
      <c r="R27" s="13"/>
      <c r="S27" s="7"/>
      <c r="T27" s="30" t="s">
        <v>7272</v>
      </c>
      <c r="U27" s="13" t="s">
        <v>6000</v>
      </c>
      <c r="V27" s="7"/>
      <c r="W27" s="12" t="s">
        <v>6780</v>
      </c>
      <c r="X27" s="79" t="s">
        <v>6943</v>
      </c>
      <c r="Y27" s="7"/>
      <c r="Z27" s="30" t="s">
        <v>7273</v>
      </c>
      <c r="AA27" s="13" t="e">
        <f>IF(this_instance="sfo","192.168.11","192.168.12")</f>
        <v>#REF!</v>
      </c>
      <c r="AB27" s="7"/>
      <c r="AC27" s="30" t="s">
        <v>7151</v>
      </c>
      <c r="AD27" s="13" t="e">
        <f>'Value Reference Tables - MR'!I9</f>
        <v>#REF!</v>
      </c>
      <c r="AE27" s="13" t="e">
        <f>'Value Reference Tables - MR'!I295</f>
        <v>#REF!</v>
      </c>
      <c r="AF27" s="7"/>
    </row>
    <row r="28" spans="1:32" ht="19.5" customHeight="1">
      <c r="A28" s="7"/>
      <c r="B28" s="30" t="s">
        <v>7274</v>
      </c>
      <c r="C28" s="13" t="e">
        <f>IF(ISBLANK(input_mgmt_avilb_mgrc_ip),"Value Missing",input_mgmt_avilb_mgrc_ip)</f>
        <v>#REF!</v>
      </c>
      <c r="D28" s="7"/>
      <c r="E28" s="39" t="s">
        <v>7275</v>
      </c>
      <c r="F28" s="13" t="e">
        <f>IF(ISBLANK(input_wld_vnab_ip),"Value Missing",input_wld_vnab_ip)</f>
        <v>#REF!</v>
      </c>
      <c r="G28" s="7"/>
      <c r="H28" s="30" t="s">
        <v>7196</v>
      </c>
      <c r="I28" s="13" t="e">
        <f>IF(ISBLANK(input_cluster_az1_principal_storage_mtu),"Value Missing",input_cluster_az1_principal_storage_mtu)</f>
        <v>#REF!</v>
      </c>
      <c r="J28" s="7"/>
      <c r="K28" s="39" t="s">
        <v>7276</v>
      </c>
      <c r="L28" s="13" t="e">
        <f>IF(ISBLANK(input_sddc_mgr_vcf_password),"Value Missing",input_sddc_mgr_vcf_password)</f>
        <v>#REF!</v>
      </c>
      <c r="M28" s="7"/>
      <c r="N28" s="30" t="s">
        <v>7277</v>
      </c>
      <c r="O28" s="13"/>
      <c r="P28" s="7"/>
      <c r="Q28" s="60"/>
      <c r="R28" s="60"/>
      <c r="S28" s="7"/>
      <c r="T28" s="30" t="s">
        <v>7278</v>
      </c>
      <c r="U28" s="13" t="s">
        <v>7279</v>
      </c>
      <c r="V28" s="7"/>
      <c r="W28" s="30" t="s">
        <v>7178</v>
      </c>
      <c r="X28" s="13" t="e">
        <f>IF(ISBLANK(input_mgmt_witnessaz_mgmt_mtu),"Value Missing",input_mgmt_witnessaz_mgmt_mtu)</f>
        <v>#REF!</v>
      </c>
      <c r="Y28" s="7"/>
      <c r="Z28" s="30" t="s">
        <v>7280</v>
      </c>
      <c r="AA28" s="13" t="e">
        <f>IF(this_instance="sfo","21","11")</f>
        <v>#REF!</v>
      </c>
      <c r="AB28" s="7"/>
      <c r="AC28" s="7"/>
      <c r="AD28" s="7"/>
      <c r="AE28" s="7"/>
      <c r="AF28" s="7"/>
    </row>
    <row r="29" spans="1:32" ht="19.5" customHeight="1">
      <c r="A29" s="7"/>
      <c r="B29" s="30" t="s">
        <v>7281</v>
      </c>
      <c r="C29" s="13" t="e">
        <f>IF(ISBLANK(input_flt_vidb_vip_ip),"Value Missing",input_flt_vidb_vip_ip)</f>
        <v>#REF!</v>
      </c>
      <c r="D29" s="7"/>
      <c r="E29" s="7"/>
      <c r="F29" s="7"/>
      <c r="G29" s="7"/>
      <c r="H29" s="30" t="s">
        <v>334</v>
      </c>
      <c r="I29" s="13" t="e">
        <f>IF(cluster_az1_principal_storage_gateway_cidr="Value Missing","Value Missing",CONCATENATE(_xludf.TEXTBEFORE(cluster_az1_principal_storage_gateway_cidr,".",3),".0"))</f>
        <v>#REF!</v>
      </c>
      <c r="J29" s="7"/>
      <c r="K29" s="39" t="s">
        <v>7282</v>
      </c>
      <c r="L29" s="13" t="e">
        <f>IF(ISBLANK(input_sddc_mgr_admin_local_password),"Value Missing",input_sddc_mgr_admin_local_password)</f>
        <v>#REF!</v>
      </c>
      <c r="M29" s="7"/>
      <c r="N29" s="30" t="s">
        <v>7283</v>
      </c>
      <c r="O29" s="13"/>
      <c r="P29" s="7"/>
      <c r="Q29" s="180" t="s">
        <v>7284</v>
      </c>
      <c r="R29" s="200"/>
      <c r="S29" s="7"/>
      <c r="T29" s="30" t="s">
        <v>7285</v>
      </c>
      <c r="U29" s="13">
        <v>5</v>
      </c>
      <c r="V29" s="9"/>
      <c r="W29" s="7"/>
      <c r="X29" s="7"/>
      <c r="Y29" s="7"/>
      <c r="Z29" s="30" t="s">
        <v>7286</v>
      </c>
      <c r="AA29" s="13" t="e">
        <f>IF(this_instance="sfo","10.21.","10.11.")</f>
        <v>#REF!</v>
      </c>
      <c r="AB29" s="7"/>
      <c r="AC29" s="77" t="s">
        <v>7287</v>
      </c>
      <c r="AD29" s="78"/>
      <c r="AE29" s="78"/>
      <c r="AF29" s="7"/>
    </row>
    <row r="30" spans="1:32" ht="19.5" customHeight="1">
      <c r="A30" s="7"/>
      <c r="B30" s="30" t="s">
        <v>7288</v>
      </c>
      <c r="C30" s="13" t="e">
        <f>IF(ISBLANK(input_flt_auto_node_pool_start_ip),"Value Missing",input_flt_auto_node_pool_start_ip)</f>
        <v>#REF!</v>
      </c>
      <c r="D30" s="7"/>
      <c r="E30" s="212" t="s">
        <v>7289</v>
      </c>
      <c r="F30" s="200"/>
      <c r="G30" s="7"/>
      <c r="H30" s="30" t="s">
        <v>7223</v>
      </c>
      <c r="I30" s="13" t="e">
        <f>IF(cluster_az1_principal_storage_gateway_cidr="Value Missing",cluster_az1_principal_storage_gateway_cidr,VLOOKUP(INT(RIGHT(cluster_az1_principal_storage_gateway_cidr,LEN(cluster_az1_principal_storage_gateway_cidr)-FIND("/",cluster_az1_principal_storage_gateway_cidr))),table_cidr_to_mask,2,FALSE))</f>
        <v>#REF!</v>
      </c>
      <c r="J30" s="7"/>
      <c r="K30" s="39" t="s">
        <v>7290</v>
      </c>
      <c r="L30" s="13" t="e">
        <f>IF(ISBLANK(input_svc_my_vmware_password),"Value Missing",input_svc_my_vmware_password)</f>
        <v>#REF!</v>
      </c>
      <c r="M30" s="7"/>
      <c r="N30" s="30" t="s">
        <v>7291</v>
      </c>
      <c r="O30" s="13" t="e">
        <f>IF(ISBLANK(input_mgmt_avilb_cluster_name),"Value Missing",input_mgmt_avilb_cluster_name)</f>
        <v>#REF!</v>
      </c>
      <c r="P30" s="7"/>
      <c r="Q30" s="80" t="s">
        <v>7292</v>
      </c>
      <c r="R30" s="13"/>
      <c r="S30" s="7"/>
      <c r="T30" s="80" t="s">
        <v>7293</v>
      </c>
      <c r="U30" s="13"/>
      <c r="V30" s="9"/>
      <c r="W30" s="77" t="s">
        <v>7294</v>
      </c>
      <c r="X30" s="78"/>
      <c r="Y30" s="7"/>
      <c r="Z30" s="30" t="s">
        <v>7295</v>
      </c>
      <c r="AA30" s="13" t="e">
        <f>IF(mgmt_domain_chosen="First Domain","6500","6502")</f>
        <v>#REF!</v>
      </c>
      <c r="AB30" s="7"/>
      <c r="AC30" s="12" t="s">
        <v>6780</v>
      </c>
      <c r="AD30" s="79" t="s">
        <v>6781</v>
      </c>
      <c r="AE30" s="79" t="s">
        <v>7102</v>
      </c>
      <c r="AF30" s="7"/>
    </row>
    <row r="31" spans="1:32" ht="19.5" customHeight="1">
      <c r="A31" s="7"/>
      <c r="B31" s="30" t="s">
        <v>7296</v>
      </c>
      <c r="C31" s="13" t="e">
        <f>IF(ISBLANK(input_flt_auto_node_pool_end_ip),"Value Missing",input_flt_auto_node_pool_end_ip)</f>
        <v>#REF!</v>
      </c>
      <c r="D31" s="7"/>
      <c r="E31" s="52" t="s">
        <v>6780</v>
      </c>
      <c r="F31" s="52" t="s">
        <v>6943</v>
      </c>
      <c r="G31" s="7"/>
      <c r="H31" s="30" t="s">
        <v>6410</v>
      </c>
      <c r="I31" s="13" t="e">
        <f>IF(OR(cluster_az1_principal_storage_network="Value Missing",cluster_az1_principal_storage_mask="Value Missing"),"Value Missing",(CONCATENATE(cluster_az1_principal_storage_network,"/",VLOOKUP(cluster_az1_principal_storage_mask,table_mask_to_cidr,2,FALSE))))</f>
        <v>#REF!</v>
      </c>
      <c r="J31" s="7"/>
      <c r="K31" s="39" t="s">
        <v>7146</v>
      </c>
      <c r="L31" s="13" t="e">
        <f>IF(ISBLANK(input_ca_administrator_password),"Value Missing",input_ca_administrator_password)</f>
        <v>#REF!</v>
      </c>
      <c r="M31" s="7"/>
      <c r="N31" s="30" t="s">
        <v>7297</v>
      </c>
      <c r="O31" s="13" t="e">
        <f>IF(ISBLANK(input_mgmt_avilb_cluster_version),"Value Missing",input_mgmt_avilb_cluster_version)</f>
        <v>#REF!</v>
      </c>
      <c r="P31" s="7"/>
      <c r="Q31" s="60"/>
      <c r="R31" s="60"/>
      <c r="S31" s="7"/>
      <c r="T31" s="80" t="s">
        <v>7298</v>
      </c>
      <c r="U31" s="13"/>
      <c r="V31" s="9"/>
      <c r="W31" s="12" t="s">
        <v>6780</v>
      </c>
      <c r="X31" s="79" t="s">
        <v>6943</v>
      </c>
      <c r="Y31" s="7"/>
      <c r="Z31" s="30" t="s">
        <v>7299</v>
      </c>
      <c r="AA31" s="13" t="e">
        <f>IF(AND(this_instance="sfo",wld_domain_number_chosen=1),13,IF(AND(this_instance="sfo",wld_domain_number_chosen=2),15,IF(AND(this_instance="sfo",wld_domain_number_chosen=3),17,IF(AND(this_instance="lax",wld_domain_number_chosen=1),23,IF(AND(this_instance="lax",wld_domain_number_chosen=2),25,IF(AND(this_instance="lax",wld_domain_number_chosen=3),27))))))</f>
        <v>#REF!</v>
      </c>
      <c r="AB31" s="7"/>
      <c r="AC31" s="30" t="s">
        <v>7151</v>
      </c>
      <c r="AD31" s="13" t="s">
        <v>7300</v>
      </c>
      <c r="AE31" s="13" t="str">
        <f>wld_cl01_az1_vm_pg</f>
        <v>VM Network</v>
      </c>
      <c r="AF31" s="7"/>
    </row>
    <row r="32" spans="1:32" ht="19.5" customHeight="1">
      <c r="A32" s="7"/>
      <c r="B32" s="30" t="s">
        <v>7301</v>
      </c>
      <c r="C32" s="13" t="e">
        <f>IF(ISBLANK(input_flt_vcfms_node_pool_start_ip),"Value Missing",input_flt_vcfms_node_pool_start_ip)</f>
        <v>#REF!</v>
      </c>
      <c r="D32" s="7"/>
      <c r="E32" s="30" t="s">
        <v>7187</v>
      </c>
      <c r="F32" s="13" t="e">
        <f>IF(wld_vc_fqdn="Value Missing",wld_vc_fqdn,LEFT(wld_vc_fqdn,FIND(".",wld_vc_fqdn)-1))</f>
        <v>#REF!</v>
      </c>
      <c r="G32" s="7"/>
      <c r="H32" s="30" t="s">
        <v>7180</v>
      </c>
      <c r="I32" s="13" t="e">
        <f>IF(cluster_az1_principal_storage_gateway_cidr="Value Missing","Value Missing",LEFT(cluster_az1_principal_storage_gateway_cidr,FIND("/",cluster_az1_principal_storage_gateway_cidr)-1))</f>
        <v>#REF!</v>
      </c>
      <c r="J32" s="7"/>
      <c r="K32" s="39" t="s">
        <v>7302</v>
      </c>
      <c r="L32" s="13" t="e">
        <f>IF(ISBLANK(input_avilb_root_password),"Value Missing",input_avilb_root_password)</f>
        <v>#REF!</v>
      </c>
      <c r="M32" s="7"/>
      <c r="N32" s="30" t="s">
        <v>7303</v>
      </c>
      <c r="O32" s="13" t="e">
        <f>IF(ISBLANK(input_mgmt_vpc_ext_ip_blocks),"Value Missing",input_mgmt_vpc_ext_ip_blocks)</f>
        <v>#NAME?</v>
      </c>
      <c r="P32" s="7"/>
      <c r="Q32" s="212" t="s">
        <v>7304</v>
      </c>
      <c r="R32" s="181"/>
      <c r="S32" s="7"/>
      <c r="T32" s="80" t="s">
        <v>7305</v>
      </c>
      <c r="U32" s="13" t="e">
        <f>IF(mgmt_consolidated_result="Included",CONCATENATE(mgmt_cl01_cluster,".",child_dns_zone),CONCATENATE(wld_cl01_cluster,".",child_dns_zone))</f>
        <v>#REF!</v>
      </c>
      <c r="V32" s="9"/>
      <c r="W32" s="30" t="s">
        <v>7178</v>
      </c>
      <c r="X32" s="13" t="e">
        <f>IF(ISBLANK(input_wld_witnessaz_mgmt_vlan),"Value Missing",input_wld_witnessaz_mgmt_vlan)</f>
        <v>#REF!</v>
      </c>
      <c r="Y32" s="7"/>
      <c r="Z32" s="30" t="s">
        <v>7306</v>
      </c>
      <c r="AA32" s="13" t="e">
        <f>IF(AND(this_instance="sfo",wld_domain_number_chosen=1),"10.13.",IF(AND(this_instance="sfo",wld_domain_number_chosen=2),"10.15.",IF(AND(this_instance="sfo",wld_domain_number_chosen=3),"10.17.",IF(AND(this_instance="lax",wld_domain_number_chosen=1),"10.23.",IF(AND(this_instance="lax",wld_domain_number_chosen=2),"10.25.",IF(AND(this_instance="lax",wld_domain_number_chosen=3),"10.27."))))))</f>
        <v>#REF!</v>
      </c>
      <c r="AB32" s="7"/>
      <c r="AC32" s="7"/>
      <c r="AD32" s="7"/>
      <c r="AE32" s="7"/>
      <c r="AF32" s="7"/>
    </row>
    <row r="33" spans="1:32" ht="19.5" customHeight="1">
      <c r="A33" s="7"/>
      <c r="B33" s="30" t="s">
        <v>7307</v>
      </c>
      <c r="C33" s="13" t="e">
        <f>IF(ISBLANK(input_flt_vcfms_node_pool_end_ip),"Value Missing",input_flt_vcfms_node_pool_end_ip)</f>
        <v>#REF!</v>
      </c>
      <c r="D33" s="7"/>
      <c r="E33" s="30" t="s">
        <v>7195</v>
      </c>
      <c r="F33" s="13" t="e">
        <f>IF(wld_nsxt_vip_fqdn="Value Missing",wld_nsxt_vip_fqdn,LEFT(wld_nsxt_vip_fqdn,FIND(".",wld_nsxt_vip_fqdn)-1))</f>
        <v>#REF!</v>
      </c>
      <c r="G33" s="7"/>
      <c r="H33" s="30" t="s">
        <v>7241</v>
      </c>
      <c r="I33" s="13" t="e">
        <f>IF(ISBLANK(input_cluster_az1_principal_storage_gateway_cidr),"Value Missing",input_cluster_az1_principal_storage_gateway_cidr)</f>
        <v>#REF!</v>
      </c>
      <c r="J33" s="7"/>
      <c r="K33" s="39" t="s">
        <v>7308</v>
      </c>
      <c r="L33" s="13" t="e">
        <f>IF(ISBLANK(input_svc_vcf_bck_password),"Value Missing",input_svc_vcf_bck_password)</f>
        <v>#REF!</v>
      </c>
      <c r="M33" s="7"/>
      <c r="N33" s="30" t="s">
        <v>7309</v>
      </c>
      <c r="O33" s="13" t="e">
        <f>IF(ISBLANK(input_mgmt_vpc_transit_gateway_ip_blocks),"Value Missing",input_mgmt_vpc_transit_gateway_ip_blocks)</f>
        <v>#NAME?</v>
      </c>
      <c r="P33" s="7"/>
      <c r="Q33" s="52" t="s">
        <v>6780</v>
      </c>
      <c r="R33" s="52" t="s">
        <v>6943</v>
      </c>
      <c r="S33" s="7"/>
      <c r="T33" s="80" t="s">
        <v>7310</v>
      </c>
      <c r="U33" s="13" t="str">
        <f>IF(ISBLANK(input_k8s_kubectl_path),"Value Missing",input_k8s_kubectl_path)</f>
        <v>Value Missing</v>
      </c>
      <c r="V33" s="9"/>
      <c r="W33" s="7"/>
      <c r="X33" s="7"/>
      <c r="Y33" s="7"/>
      <c r="Z33" s="30" t="s">
        <v>7311</v>
      </c>
      <c r="AA33" s="13" t="e">
        <f>IF(AND(this_instance="sfo",wld_domain_number_chosen=1),"10.23.",IF(AND(this_instance="sfo",wld_domain_number_chosen=2),"10.25.",IF(AND(this_instance="sfo",wld_domain_number_chosen=3),"10.27.",IF(AND(this_instance="lax",wld_domain_number_chosen=1),"10.13.",IF(AND(this_instance="lax",wld_domain_number_chosen=2),"10.15.",IF(AND(this_instance="lax",wld_domain_number_chosen=3),"10.17."))))))</f>
        <v>#REF!</v>
      </c>
      <c r="AB33" s="7"/>
      <c r="AC33" s="77" t="s">
        <v>7312</v>
      </c>
      <c r="AD33" s="78"/>
      <c r="AE33" s="78"/>
      <c r="AF33" s="7"/>
    </row>
    <row r="34" spans="1:32" ht="19.5" customHeight="1">
      <c r="A34" s="7"/>
      <c r="B34" s="7"/>
      <c r="C34" s="7"/>
      <c r="D34" s="7"/>
      <c r="E34" s="30" t="s">
        <v>7201</v>
      </c>
      <c r="F34" s="13" t="e">
        <f>IF(wld_nsxt_mgra_fqdn="Value Missing",wld_nsxt_mgra_fqdn,LEFT(wld_nsxt_mgra_fqdn,FIND(".",wld_nsxt_mgra_fqdn)-1))</f>
        <v>#REF!</v>
      </c>
      <c r="G34" s="7"/>
      <c r="H34" s="39" t="s">
        <v>7248</v>
      </c>
      <c r="I34" s="13" t="e">
        <f>IF(ISBLANK(input_cluster_az1_principal_storage_pool_start_ip),"Value Missing",input_cluster_az1_principal_storage_pool_start_ip)</f>
        <v>#REF!</v>
      </c>
      <c r="J34" s="7"/>
      <c r="K34" s="39" t="s">
        <v>7313</v>
      </c>
      <c r="L34" s="13" t="e">
        <f t="array" ref="L34">IF(ISBLANK(input_mgmt_witness_root_password),"Value Missing",input_mgmt_witness_root_password)</f>
        <v>#REF!</v>
      </c>
      <c r="M34" s="7"/>
      <c r="N34" s="30" t="s">
        <v>7314</v>
      </c>
      <c r="O34" s="13" t="e">
        <f>IF(ISBLANK(input_mgmt_sddc_domain),"Value Missing",CONCATENATE(input_mgmt_sddc_domain,"-fd-mgmt"))</f>
        <v>#REF!</v>
      </c>
      <c r="P34" s="7"/>
      <c r="Q34" s="39" t="s">
        <v>7315</v>
      </c>
      <c r="R34" s="13" t="e">
        <v>#REF!</v>
      </c>
      <c r="S34" s="7"/>
      <c r="T34" s="80" t="s">
        <v>7316</v>
      </c>
      <c r="U34" s="13" t="str">
        <f>IF(ISBLANK(input_k8s_vm_class),"Value Missing",input_k8s_vm_class)</f>
        <v>Value Missing</v>
      </c>
      <c r="V34" s="9"/>
      <c r="W34" s="76" t="s">
        <v>7317</v>
      </c>
      <c r="X34" s="76"/>
      <c r="Y34" s="7"/>
      <c r="Z34" s="30" t="s">
        <v>7318</v>
      </c>
      <c r="AA34" s="13" t="e">
        <f>IF(AND(this_instance="sfo",wld_domain_number_chosen=1),14,IF(AND(this_instance="sfo",wld_domain_number_chosen=2),16,IF(AND(this_instance="sfo",wld_domain_number_chosen=3),18,IF(AND(this_instance="lax",wld_domain_number_chosen=1),24,IF(AND(this_instance="lax",wld_domain_number_chosen=2),26,IF(AND(this_instance="lax",wld_domain_number_chosen=3),28))))))</f>
        <v>#REF!</v>
      </c>
      <c r="AB34" s="7"/>
      <c r="AC34" s="12" t="s">
        <v>6780</v>
      </c>
      <c r="AD34" s="79" t="s">
        <v>6781</v>
      </c>
      <c r="AE34" s="79" t="s">
        <v>7102</v>
      </c>
      <c r="AF34" s="7"/>
    </row>
    <row r="35" spans="1:32" ht="19.5" customHeight="1">
      <c r="A35" s="7"/>
      <c r="B35" s="212" t="s">
        <v>7319</v>
      </c>
      <c r="C35" s="181"/>
      <c r="D35" s="7"/>
      <c r="E35" s="30" t="s">
        <v>7206</v>
      </c>
      <c r="F35" s="13" t="e">
        <f>IF(wld_nsxt_mgrb_fqdn="Value Missing",wld_nsxt_mgrb_fqdn,LEFT(wld_nsxt_mgrb_fqdn,FIND(".",wld_nsxt_mgrb_fqdn)-1))</f>
        <v>#REF!</v>
      </c>
      <c r="G35" s="7"/>
      <c r="H35" s="39" t="s">
        <v>7254</v>
      </c>
      <c r="I35" s="13" t="e">
        <f>IF(ISBLANK(input_cluster_az1_principal_storage_pool_end_ip),"Value Missing",input_cluster_az1_principal_storage_pool_end_ip)</f>
        <v>#REF!</v>
      </c>
      <c r="J35" s="7"/>
      <c r="K35" s="39" t="s">
        <v>7320</v>
      </c>
      <c r="L35" s="13" t="e">
        <f>IF(ISBLANK(input_wld_witness_root_password),"Value Missing",input_wld_witness_root_password)</f>
        <v>#REF!</v>
      </c>
      <c r="M35" s="7"/>
      <c r="N35" s="30" t="s">
        <v>7321</v>
      </c>
      <c r="O35" s="13" t="e">
        <f>IF(ISBLANK(input_mgmt_sddc_domain),"Value Missing",CONCATENATE(input_mgmt_sddc_domain,"-fd-nsx"))</f>
        <v>#REF!</v>
      </c>
      <c r="P35" s="7"/>
      <c r="Q35" s="39" t="s">
        <v>7322</v>
      </c>
      <c r="R35" s="13" t="e">
        <f>IF(flt_auto_node_pool_start_ip="Value Missing","Value Missing",flt_auto_node_pool_start_ip)</f>
        <v>#REF!</v>
      </c>
      <c r="S35" s="7"/>
      <c r="T35" s="80" t="s">
        <v>6694</v>
      </c>
      <c r="U35" s="13" t="e">
        <f>CONCATENATE(IF(ISBLANK(input_region_dns1_ip),"Value Missing",region_dns1_ip),",",IF(ISBLANK(input_region_dns2_ip),"Value Missing",region_dns2_ip))</f>
        <v>#REF!</v>
      </c>
      <c r="V35" s="9"/>
      <c r="W35" s="12" t="s">
        <v>6780</v>
      </c>
      <c r="X35" s="79" t="s">
        <v>6943</v>
      </c>
      <c r="Y35" s="7"/>
      <c r="Z35" s="30" t="s">
        <v>7323</v>
      </c>
      <c r="AA35" s="13" t="e">
        <f>IF(AND(this_instance="sfo",wld_domain_number_chosen=1),"10.14.",IF(AND(this_instance="sfo",wld_domain_number_chosen=2),"10.16.",IF(AND(this_instance="sfo",wld_domain_number_chosen=3),"10.18.",IF(AND(this_instance="lax",wld_domain_number_chosen=1),"10.24.",IF(AND(this_instance="lax",wld_domain_number_chosen=2),"10.26.",IF(AND(this_instance="lax",wld_domain_number_chosen=3),"10.28."))))))</f>
        <v>#REF!</v>
      </c>
      <c r="AB35" s="7"/>
      <c r="AC35" s="30" t="s">
        <v>7151</v>
      </c>
      <c r="AD35" s="13" t="e">
        <f>'Value Reference Tables - MR'!I24</f>
        <v>#REF!</v>
      </c>
      <c r="AE35" s="13" t="e">
        <f>'Value Reference Tables - MR'!I310</f>
        <v>#REF!</v>
      </c>
      <c r="AF35" s="7"/>
    </row>
    <row r="36" spans="1:32" ht="19.5" customHeight="1">
      <c r="A36" s="7"/>
      <c r="B36" s="52" t="s">
        <v>6780</v>
      </c>
      <c r="C36" s="52" t="s">
        <v>6943</v>
      </c>
      <c r="D36" s="7"/>
      <c r="E36" s="30" t="s">
        <v>7211</v>
      </c>
      <c r="F36" s="13" t="e">
        <f>IF(wld_nsxt_mgrc_fqdn="Value Missing",wld_nsxt_mgrc_fqdn,LEFT(wld_nsxt_mgrc_fqdn,FIND(".",wld_nsxt_mgrc_fqdn)-1))</f>
        <v>#REF!</v>
      </c>
      <c r="G36" s="7"/>
      <c r="H36" s="213" t="s">
        <v>7324</v>
      </c>
      <c r="I36" s="181"/>
      <c r="J36" s="7"/>
      <c r="K36" s="30" t="s">
        <v>7156</v>
      </c>
      <c r="L36" s="13"/>
      <c r="M36" s="7"/>
      <c r="N36" s="30" t="s">
        <v>7325</v>
      </c>
      <c r="O36" s="13" t="e">
        <f>IF(ISBLANK(input_mgmt_sddc_domain),"Value Missing",CONCATENATE(input_mgmt_sddc_domain,"-fd-edge"))</f>
        <v>#REF!</v>
      </c>
      <c r="P36" s="7"/>
      <c r="Q36" s="39" t="s">
        <v>7326</v>
      </c>
      <c r="R36" s="13" t="e">
        <f>IF(flt_auto_node_pool_start_ip="Value Missing","Value Missing",LEFT(xreg_vra_nodea_ip,FIND("~",SUBSTITUTE(xreg_vra_nodea_ip,".","~",3)))&amp;(RIGHT(xreg_vra_nodea_ip,LEN(xreg_vra_nodea_ip)-FIND("~",SUBSTITUTE(xreg_vra_nodea_ip,".","~",3)))+1))</f>
        <v>#REF!</v>
      </c>
      <c r="S36" s="7"/>
      <c r="T36" s="80" t="s">
        <v>6697</v>
      </c>
      <c r="U36" s="13" t="e">
        <f>IF(AND((NOT(ISBLANK(region_ntp2_server))),(region_ntp2_server &lt;&gt; "n/a"),(region_ntp2_server &lt;&gt; "")),CONCATENATE(region_ntp1_server,",",region_ntp2_server),region_ntp1_server)</f>
        <v>#REF!</v>
      </c>
      <c r="V36" s="9"/>
      <c r="W36" s="30" t="s">
        <v>7178</v>
      </c>
      <c r="X36" s="13" t="e">
        <v>#REF!</v>
      </c>
      <c r="Y36" s="7"/>
      <c r="Z36" s="30" t="s">
        <v>7327</v>
      </c>
      <c r="AA36" s="13" t="e">
        <f>IF(this_instance="sfo","21","11")</f>
        <v>#REF!</v>
      </c>
      <c r="AB36" s="7"/>
      <c r="AC36" s="7"/>
      <c r="AD36" s="7"/>
      <c r="AE36" s="7"/>
      <c r="AF36" s="7"/>
    </row>
    <row r="37" spans="1:32" ht="19.5" customHeight="1">
      <c r="A37" s="7"/>
      <c r="B37" s="30" t="s">
        <v>7186</v>
      </c>
      <c r="C37" s="13" t="e">
        <f>IF(vcf_installer_fqdn="Value Missing",vcf_installer_fqdn,LEFT(vcf_installer_fqdn,FIND(".",vcf_installer_fqdn)-1))</f>
        <v>#REF!</v>
      </c>
      <c r="D37" s="7"/>
      <c r="E37" s="30" t="s">
        <v>7217</v>
      </c>
      <c r="F37" s="13" t="e">
        <f>IF(wld_nsxt_gm_vip_fqdn="Value Missing",wld_nsxt_gm_vip_fqdn,LEFT(wld_nsxt_gm_vip_fqdn,FIND(".",wld_nsxt_gm_vip_fqdn)-1))</f>
        <v>#REF!</v>
      </c>
      <c r="G37" s="7"/>
      <c r="H37" s="30" t="s">
        <v>7175</v>
      </c>
      <c r="I37" s="13" t="e">
        <f>IF(ISBLANK(input_cluster_az1_secondary_storage_vlan),"Value Missing",input_cluster_az1_secondary_storage_vlan)</f>
        <v>#REF!</v>
      </c>
      <c r="J37" s="7"/>
      <c r="K37" s="30" t="s">
        <v>7328</v>
      </c>
      <c r="L37" s="13" t="e">
        <f>IF(ISBLANK(input_mgmt_internet_proxy_email),"Value Missing",input_mgmt_internet_proxy_email)</f>
        <v>#REF!</v>
      </c>
      <c r="M37" s="7"/>
      <c r="N37" s="30" t="s">
        <v>7329</v>
      </c>
      <c r="O37" s="13" t="e">
        <v>#REF!</v>
      </c>
      <c r="P37" s="7"/>
      <c r="Q37" s="39" t="s">
        <v>7330</v>
      </c>
      <c r="R37" s="13" t="e">
        <f>IF(flt_auto_node_pool_start_ip="Value Missing","Value Missing",LEFT(xreg_vra_nodea_ip,FIND("~",SUBSTITUTE(xreg_vra_nodea_ip,".","~",3)))&amp;(RIGHT(xreg_vra_nodea_ip,LEN(xreg_vra_nodea_ip)-FIND("~",SUBSTITUTE(xreg_vra_nodea_ip,".","~",3)))+2))</f>
        <v>#REF!</v>
      </c>
      <c r="S37" s="7"/>
      <c r="T37" s="7"/>
      <c r="U37" s="7"/>
      <c r="V37" s="9"/>
      <c r="W37" s="7"/>
      <c r="X37" s="7"/>
      <c r="Y37" s="7"/>
      <c r="Z37" s="30" t="s">
        <v>7331</v>
      </c>
      <c r="AA37" s="13" t="e">
        <f>IF(this_instance="sfo","10.21.","10.11.")</f>
        <v>#REF!</v>
      </c>
      <c r="AB37" s="7"/>
      <c r="AC37" s="77" t="s">
        <v>7332</v>
      </c>
      <c r="AD37" s="78"/>
      <c r="AE37" s="78"/>
      <c r="AF37" s="7"/>
    </row>
    <row r="38" spans="1:32" ht="19.5" customHeight="1">
      <c r="A38" s="7"/>
      <c r="B38" s="30" t="s">
        <v>5983</v>
      </c>
      <c r="C38" s="13" t="e">
        <f>IF(sddc_mgr_fqdn="Value Missing",sddc_mgr_fqdn,LEFT(sddc_mgr_fqdn,FIND(".",sddc_mgr_fqdn)-1))</f>
        <v>#REF!</v>
      </c>
      <c r="D38" s="7"/>
      <c r="E38" s="30" t="s">
        <v>7222</v>
      </c>
      <c r="F38" s="13" t="e">
        <f>IF(wld_nsxt_global_mgra_fqdn="Value Missing",wld_nsxt_global_mgra_fqdn,LEFT(wld_nsxt_global_mgra_fqdn,FIND(".",wld_nsxt_global_mgra_fqdn)-1))</f>
        <v>#REF!</v>
      </c>
      <c r="G38" s="7"/>
      <c r="H38" s="30" t="s">
        <v>7196</v>
      </c>
      <c r="I38" s="13" t="e">
        <f>IF(ISBLANK(input_cluster_az1_secondary_storage_mtu),"Value Missing",input_cluster_az1_secondary_storage_mtu)</f>
        <v>#REF!</v>
      </c>
      <c r="J38" s="7"/>
      <c r="K38" s="30" t="s">
        <v>7333</v>
      </c>
      <c r="L38" s="13" t="e">
        <f>IF(ISBLANK(input_mgmt_internet_proxy_password),"Value Missing",input_mgmt_internet_proxy_password)</f>
        <v>#REF!</v>
      </c>
      <c r="M38" s="7"/>
      <c r="N38" s="30" t="s">
        <v>7334</v>
      </c>
      <c r="O38" s="13" t="e">
        <v>#REF!</v>
      </c>
      <c r="P38" s="7"/>
      <c r="Q38" s="39" t="s">
        <v>7335</v>
      </c>
      <c r="R38" s="13" t="e">
        <f>IF(flt_auto_node_pool_start_ip="Value Missing","Value Missing",LEFT(xreg_vra_nodea_ip,FIND("~",SUBSTITUTE(xreg_vra_nodea_ip,".","~",3)))&amp;(RIGHT(xreg_vra_nodea_ip,LEN(xreg_vra_nodea_ip)-FIND("~",SUBSTITUTE(xreg_vra_nodea_ip,".","~",3)))+3))</f>
        <v>#REF!</v>
      </c>
      <c r="S38" s="7"/>
      <c r="T38" s="180" t="s">
        <v>7336</v>
      </c>
      <c r="U38" s="181"/>
      <c r="V38" s="9"/>
      <c r="W38" s="76" t="s">
        <v>7337</v>
      </c>
      <c r="X38" s="76"/>
      <c r="Y38" s="7"/>
      <c r="Z38" s="30" t="s">
        <v>7338</v>
      </c>
      <c r="AA38" s="13" t="e">
        <f>IF(mgmt_domain_chosen="First Domain","6501","6503")</f>
        <v>#REF!</v>
      </c>
      <c r="AB38" s="7"/>
      <c r="AC38" s="12" t="s">
        <v>6780</v>
      </c>
      <c r="AD38" s="79" t="s">
        <v>6781</v>
      </c>
      <c r="AE38" s="79" t="s">
        <v>7102</v>
      </c>
      <c r="AF38" s="7"/>
    </row>
    <row r="39" spans="1:32" ht="19.5" customHeight="1">
      <c r="A39" s="7"/>
      <c r="B39" s="30" t="s">
        <v>7187</v>
      </c>
      <c r="C39" s="13" t="e">
        <f>IF(mgmt_vc_fqdn="Value Missing",mgmt_vc_fqdn,LEFT(mgmt_vc_fqdn,FIND(".",mgmt_vc_fqdn)-1))</f>
        <v>#REF!</v>
      </c>
      <c r="D39" s="7"/>
      <c r="E39" s="30" t="s">
        <v>7228</v>
      </c>
      <c r="F39" s="13" t="e">
        <f>IF(wld_nsxt_global_mgrb_fqdn="Value Missing",wld_nsxt_global_mgrb_fqdn,LEFT(wld_nsxt_global_mgrb_fqdn,FIND(".",wld_nsxt_global_mgrb_fqdn)-1))</f>
        <v>#REF!</v>
      </c>
      <c r="G39" s="7"/>
      <c r="H39" s="30" t="s">
        <v>334</v>
      </c>
      <c r="I39" s="13" t="e">
        <f>IF(cluster_az1_secondary_storage_gateway_cidr="Value Missing","Value Missing",CONCATENATE(_xludf.TEXTBEFORE(cluster_az1_secondary_storage_gateway_cidr,".",3),".0"))</f>
        <v>#REF!</v>
      </c>
      <c r="J39" s="7"/>
      <c r="K39" s="30" t="s">
        <v>7339</v>
      </c>
      <c r="L39" s="13" t="e">
        <f>IF(ISBLANK(input_xreg_vrops_collector_root_password),"Value Missing",input_xreg_vrops_collector_root_password)</f>
        <v>#REF!</v>
      </c>
      <c r="M39" s="7"/>
      <c r="N39" s="30" t="s">
        <v>7340</v>
      </c>
      <c r="O39" s="13" t="e">
        <v>#REF!</v>
      </c>
      <c r="P39" s="7"/>
      <c r="Q39" s="39" t="s">
        <v>7341</v>
      </c>
      <c r="R39" s="13" t="e">
        <f>IF(flt_auto_node_pool_start_ip="Value Missing","Value Missing",LEFT(xreg_vra_nodea_ip,FIND("~",SUBSTITUTE(xreg_vra_nodea_ip,".","~",3)))&amp;(RIGHT(xreg_vra_nodea_ip,LEN(xreg_vra_nodea_ip)-FIND("~",SUBSTITUTE(xreg_vra_nodea_ip,".","~",3)))+4))</f>
        <v>#REF!</v>
      </c>
      <c r="S39" s="7"/>
      <c r="T39" s="12" t="s">
        <v>6780</v>
      </c>
      <c r="U39" s="79" t="s">
        <v>6943</v>
      </c>
      <c r="V39" s="7"/>
      <c r="W39" s="12" t="s">
        <v>6780</v>
      </c>
      <c r="X39" s="79" t="s">
        <v>6943</v>
      </c>
      <c r="Y39" s="7"/>
      <c r="Z39" s="30" t="s">
        <v>7342</v>
      </c>
      <c r="AA39" s="13" t="e">
        <f>IF(this_instance="sfo","192.168.2","192.168.4")</f>
        <v>#REF!</v>
      </c>
      <c r="AB39" s="7"/>
      <c r="AC39" s="30" t="s">
        <v>7151</v>
      </c>
      <c r="AD39" s="13" t="e">
        <f>'Value Reference Tables - MR'!I86</f>
        <v>#REF!</v>
      </c>
      <c r="AE39" s="13" t="e">
        <f>'Value Reference Tables - MR'!I355</f>
        <v>#REF!</v>
      </c>
      <c r="AF39" s="7"/>
    </row>
    <row r="40" spans="1:32" ht="19.5" customHeight="1">
      <c r="A40" s="7"/>
      <c r="B40" s="30" t="s">
        <v>7195</v>
      </c>
      <c r="C40" s="13" t="e">
        <f>IF(mgmt_nsxt_vip_fqdn="Value Missing",mgmt_nsxt_vip_fqdn,LEFT(mgmt_nsxt_vip_fqdn,FIND(".",mgmt_nsxt_vip_fqdn)-1))</f>
        <v>#REF!</v>
      </c>
      <c r="D40" s="7"/>
      <c r="E40" s="30" t="s">
        <v>7234</v>
      </c>
      <c r="F40" s="13" t="e">
        <f>IF(wld_nsxt_global_mgrc_fqdn="Value Missing",wld_nsxt_global_mgrc_fqdn,LEFT(wld_nsxt_global_mgrc_fqdn,FIND(".",wld_nsxt_global_mgrc_fqdn)-1))</f>
        <v>#REF!</v>
      </c>
      <c r="G40" s="7"/>
      <c r="H40" s="30" t="s">
        <v>7223</v>
      </c>
      <c r="I40" s="13" t="e">
        <f>IF(cluster_az1_secondary_storage_gateway_cidr="Value Missing",cluster_az1_secondary_storage_gateway_cidr,VLOOKUP(INT(RIGHT(cluster_az1_secondary_storage_gateway_cidr,LEN(cluster_az1_secondary_storage_gateway_cidr)-FIND("/",cluster_az1_secondary_storage_gateway_cidr))),table_cidr_to_mask,2,FALSE))</f>
        <v>#REF!</v>
      </c>
      <c r="J40" s="7"/>
      <c r="K40" s="30" t="s">
        <v>7343</v>
      </c>
      <c r="L40" s="13" t="e">
        <f>IF(ISBLANK(input_wld_esx_root_username),"Value Missing",input_wld_esx_root_username)</f>
        <v>#REF!</v>
      </c>
      <c r="M40" s="7"/>
      <c r="N40" s="30" t="s">
        <v>7344</v>
      </c>
      <c r="O40" s="13" t="e">
        <v>#REF!</v>
      </c>
      <c r="P40" s="7"/>
      <c r="Q40" s="39" t="s">
        <v>7345</v>
      </c>
      <c r="R40" s="13" t="e">
        <f>IF(flt_auto_node_pool_start_ip="Value Missing","Value Missing",LEFT(xreg_vra_nodea_ip,FIND("~",SUBSTITUTE(xreg_vra_nodea_ip,".","~",3)))&amp;(RIGHT(xreg_vra_nodea_ip,LEN(xreg_vra_nodea_ip)-FIND("~",SUBSTITUTE(xreg_vra_nodea_ip,".","~",3)))+5))</f>
        <v>#REF!</v>
      </c>
      <c r="S40" s="7"/>
      <c r="T40" s="80" t="s">
        <v>7346</v>
      </c>
      <c r="U40" s="13" t="str">
        <f>IF(ISBLANK(input_air_license),"Value Missing",input_air_license)</f>
        <v>Value Missing</v>
      </c>
      <c r="V40" s="7"/>
      <c r="W40" s="30" t="s">
        <v>7178</v>
      </c>
      <c r="X40" s="13" t="e">
        <f>IF(ISBLANK(input_wld_witnessaz_mgmt_cidr),"Value Missing",input_wld_witnessaz_mgmt_cidr)</f>
        <v>#REF!</v>
      </c>
      <c r="Y40" s="7"/>
      <c r="Z40" s="30" t="s">
        <v>7347</v>
      </c>
      <c r="AA40" s="13" t="e">
        <f>IF(this_instance="sfo","10.21.","10.11.")</f>
        <v>#REF!</v>
      </c>
      <c r="AB40" s="7"/>
      <c r="AC40" s="30" t="s">
        <v>6797</v>
      </c>
      <c r="AD40" s="7"/>
      <c r="AE40" s="13" t="e">
        <v>#REF!</v>
      </c>
      <c r="AF40" s="7"/>
    </row>
    <row r="41" spans="1:32" ht="19.5" customHeight="1">
      <c r="A41" s="7"/>
      <c r="B41" s="30" t="s">
        <v>7201</v>
      </c>
      <c r="C41" s="13" t="e">
        <f>IF(mgmt_nsxt_mgra_fqdn="Value Missing",mgmt_nsxt_mgra_fqdn,LEFT(mgmt_nsxt_mgra_fqdn,FIND(".",mgmt_nsxt_mgra_fqdn)-1))</f>
        <v>#REF!</v>
      </c>
      <c r="D41" s="7"/>
      <c r="E41" s="30" t="s">
        <v>7240</v>
      </c>
      <c r="F41" s="13" t="e">
        <f>IF(wld_avilb_fqdn="Value Missing",wld_avilb_fqdn,LEFT(wld_avilb_fqdn,FIND(".",wld_avilb_fqdn)-1))</f>
        <v>#REF!</v>
      </c>
      <c r="G41" s="7"/>
      <c r="H41" s="30" t="s">
        <v>6410</v>
      </c>
      <c r="I41" s="13" t="e">
        <f>IF(cluster_az1_secondary_storage_network="Value missing","Value Missing",CONCATENATE(cluster_az1_secondary_storage_network,"/",VLOOKUP(cluster_az1_secondary_storage_mask,table_mask_to_cidr,2,FALSE)))</f>
        <v>#REF!</v>
      </c>
      <c r="J41" s="7"/>
      <c r="K41" s="7"/>
      <c r="L41" s="7"/>
      <c r="M41" s="7"/>
      <c r="N41" s="30" t="s">
        <v>7348</v>
      </c>
      <c r="O41" s="13" t="e">
        <f>IF(ISBLANK(input_ca_email_address),"Value Missing",input_ca_email_address)</f>
        <v>#REF!</v>
      </c>
      <c r="P41" s="7"/>
      <c r="Q41" s="39" t="s">
        <v>6732</v>
      </c>
      <c r="R41" s="13" t="e">
        <f>xreg_vra_k8s_cluster_cidr_chosen</f>
        <v>#REF!</v>
      </c>
      <c r="S41" s="7"/>
      <c r="T41" s="30" t="s">
        <v>7349</v>
      </c>
      <c r="U41" s="13" t="str">
        <f>IF(ISBLANK(input_air_GPU_VM_class),"Value Missing",input_air_GPU_VM_class)</f>
        <v>Value Missing</v>
      </c>
      <c r="V41" s="9"/>
      <c r="W41" s="7"/>
      <c r="X41" s="7"/>
      <c r="Y41" s="7"/>
      <c r="Z41" s="30" t="s">
        <v>7350</v>
      </c>
      <c r="AA41" s="13" t="s">
        <v>7351</v>
      </c>
      <c r="AB41" s="7"/>
      <c r="AC41" s="7"/>
      <c r="AD41" s="7"/>
      <c r="AE41" s="7"/>
      <c r="AF41" s="7"/>
    </row>
    <row r="42" spans="1:32" ht="19.5" customHeight="1">
      <c r="A42" s="7"/>
      <c r="B42" s="30" t="s">
        <v>7206</v>
      </c>
      <c r="C42" s="13" t="e">
        <f>IF(mgmt_nsxt_mgrb_fqdn="Value Missing",mgmt_nsxt_mgrb_fqdn,LEFT(mgmt_nsxt_mgrb_fqdn,FIND(".",mgmt_nsxt_mgrb_fqdn)-1))</f>
        <v>#REF!</v>
      </c>
      <c r="D42" s="7"/>
      <c r="E42" s="7"/>
      <c r="F42" s="7"/>
      <c r="G42" s="7"/>
      <c r="H42" s="30" t="s">
        <v>7180</v>
      </c>
      <c r="I42" s="13" t="e">
        <f>IF(cluster_az1_secondary_storage_gateway_cidr="Value Missing","Value Missing",LEFT(cluster_az1_secondary_storage_gateway_cidr,FIND("/",cluster_az1_secondary_storage_gateway_cidr)-1))</f>
        <v>#REF!</v>
      </c>
      <c r="J42" s="7"/>
      <c r="K42" s="76" t="s">
        <v>7352</v>
      </c>
      <c r="L42" s="76"/>
      <c r="M42" s="7"/>
      <c r="N42" s="30" t="s">
        <v>7353</v>
      </c>
      <c r="O42" s="13" t="e">
        <v>#REF!</v>
      </c>
      <c r="P42" s="7"/>
      <c r="Q42" s="7"/>
      <c r="R42" s="7"/>
      <c r="S42" s="7"/>
      <c r="T42" s="39" t="s">
        <v>7354</v>
      </c>
      <c r="U42" s="13" t="str">
        <f>IF(ISBLANK(input_air_GPU_operator_namespace),"Value Missing",input_air_GPU_operator_namespace)</f>
        <v>Value Missing</v>
      </c>
      <c r="V42" s="9"/>
      <c r="W42" s="76" t="s">
        <v>7355</v>
      </c>
      <c r="X42" s="76"/>
      <c r="Y42" s="7"/>
      <c r="Z42" s="30" t="s">
        <v>7356</v>
      </c>
      <c r="AA42" s="13" t="e">
        <f>IF(this_instance="sfo","10.11.99","10.21.99")</f>
        <v>#REF!</v>
      </c>
      <c r="AB42" s="7"/>
      <c r="AC42" s="77" t="s">
        <v>7357</v>
      </c>
      <c r="AD42" s="78"/>
      <c r="AE42" s="78"/>
      <c r="AF42" s="7"/>
    </row>
    <row r="43" spans="1:32" ht="19.5" customHeight="1">
      <c r="A43" s="7"/>
      <c r="B43" s="30" t="s">
        <v>7211</v>
      </c>
      <c r="C43" s="13" t="e">
        <f>IF(mgmt_nsxt_mgrc_fqdn="Value Missing",mgmt_nsxt_mgrc_fqdn,LEFT(mgmt_nsxt_mgrc_fqdn,FIND(".",mgmt_nsxt_mgrc_fqdn)-1))</f>
        <v>#REF!</v>
      </c>
      <c r="D43" s="7"/>
      <c r="E43" s="212" t="s">
        <v>7358</v>
      </c>
      <c r="F43" s="181"/>
      <c r="G43" s="7"/>
      <c r="H43" s="30" t="s">
        <v>7241</v>
      </c>
      <c r="I43" s="13" t="e">
        <f>IF(ISBLANK(input_cluster_az1_secondary_storage_gateway_cidr),"Value Missing",input_cluster_az1_secondary_storage_gateway_cidr)</f>
        <v>#REF!</v>
      </c>
      <c r="J43" s="7"/>
      <c r="K43" s="12" t="s">
        <v>6780</v>
      </c>
      <c r="L43" s="79" t="s">
        <v>6943</v>
      </c>
      <c r="M43" s="7"/>
      <c r="N43" s="30" t="s">
        <v>7359</v>
      </c>
      <c r="O43" s="13" t="e">
        <v>#REF!</v>
      </c>
      <c r="P43" s="7"/>
      <c r="Q43" s="212" t="s">
        <v>7360</v>
      </c>
      <c r="R43" s="181"/>
      <c r="S43" s="7"/>
      <c r="T43" s="30" t="s">
        <v>7361</v>
      </c>
      <c r="U43" s="13" t="str">
        <f>IF(ISBLANK(input_air_GPU_network_operator_namespace),"Value Missing",input_air_GPU_network_operator_namespace)</f>
        <v>Value Missing</v>
      </c>
      <c r="V43" s="9"/>
      <c r="W43" s="12" t="s">
        <v>6780</v>
      </c>
      <c r="X43" s="79" t="s">
        <v>6943</v>
      </c>
      <c r="Y43" s="7"/>
      <c r="Z43" s="30" t="s">
        <v>7362</v>
      </c>
      <c r="AA43" s="13" t="s">
        <v>7363</v>
      </c>
      <c r="AB43" s="7"/>
      <c r="AC43" s="12" t="s">
        <v>6780</v>
      </c>
      <c r="AD43" s="79" t="s">
        <v>6781</v>
      </c>
      <c r="AE43" s="79" t="s">
        <v>7102</v>
      </c>
      <c r="AF43" s="7"/>
    </row>
    <row r="44" spans="1:32" ht="19.5" customHeight="1">
      <c r="A44" s="7"/>
      <c r="B44" s="30" t="s">
        <v>7217</v>
      </c>
      <c r="C44" s="13" t="e">
        <f>IF(mgmt_nsxt_gm_vip_fqdn="Value Missing",mgmt_nsxt_gm_vip_fqdn,LEFT(mgmt_nsxt_gm_vip_fqdn,FIND(".",mgmt_nsxt_gm_vip_fqdn)-1))</f>
        <v>#REF!</v>
      </c>
      <c r="D44" s="7"/>
      <c r="E44" s="52" t="s">
        <v>6780</v>
      </c>
      <c r="F44" s="52" t="s">
        <v>6943</v>
      </c>
      <c r="G44" s="7"/>
      <c r="H44" s="39" t="s">
        <v>7248</v>
      </c>
      <c r="I44" s="13" t="e">
        <f>IF(ISBLANK(input_cluster_az1_secondary_storage_pool_start_ip),"Value Missing",input_cluster_az1_secondary_storage_pool_start_ip)</f>
        <v>#REF!</v>
      </c>
      <c r="J44" s="7"/>
      <c r="K44" s="30" t="s">
        <v>7364</v>
      </c>
      <c r="L44" s="13" t="e">
        <f>IF(ISBLANK(input_region_ntp1_server),"Value Missing",input_region_ntp1_server)</f>
        <v>#REF!</v>
      </c>
      <c r="M44" s="7"/>
      <c r="N44" s="30" t="s">
        <v>7365</v>
      </c>
      <c r="O44" s="13" t="e">
        <v>#REF!</v>
      </c>
      <c r="P44" s="7"/>
      <c r="Q44" s="52" t="s">
        <v>6780</v>
      </c>
      <c r="R44" s="52" t="s">
        <v>6943</v>
      </c>
      <c r="S44" s="7"/>
      <c r="T44" s="7"/>
      <c r="U44" s="7"/>
      <c r="V44" s="9"/>
      <c r="W44" s="30" t="s">
        <v>7178</v>
      </c>
      <c r="X44" s="13" t="e">
        <f>IF(ISBLANK(input_wld_witnessaz_mgmt_gateway_ip),"Value Missing",input_wld_witnessaz_mgmt_gateway_ip)</f>
        <v>#REF!</v>
      </c>
      <c r="Y44" s="7"/>
      <c r="Z44" s="30" t="s">
        <v>7366</v>
      </c>
      <c r="AA44" s="14">
        <v>6811</v>
      </c>
      <c r="AB44" s="7"/>
      <c r="AC44" s="30" t="s">
        <v>7151</v>
      </c>
      <c r="AD44" s="13" t="e">
        <f>'Value Reference Tables - MR'!I70</f>
        <v>#REF!</v>
      </c>
      <c r="AE44" s="13" t="e">
        <f>'Value Reference Tables - MR'!I370</f>
        <v>#REF!</v>
      </c>
      <c r="AF44" s="7"/>
    </row>
    <row r="45" spans="1:32" ht="19.5" customHeight="1">
      <c r="A45" s="7"/>
      <c r="B45" s="30" t="s">
        <v>7222</v>
      </c>
      <c r="C45" s="13" t="e">
        <f>IF(mgmt_nsxt_global_mgra_fqdn="Value Missing",mgmt_nsxt_global_mgra_fqdn,LEFT(mgmt_nsxt_global_mgra_fqdn,FIND(".",mgmt_nsxt_global_mgra_fqdn)-1))</f>
        <v>#REF!</v>
      </c>
      <c r="D45" s="7"/>
      <c r="E45" s="30" t="s">
        <v>7187</v>
      </c>
      <c r="F45" s="13" t="e">
        <f>IF(ISBLANK(input_wld_vc_fqdn),"Value Missing",input_wld_vc_fqdn)</f>
        <v>#REF!</v>
      </c>
      <c r="G45" s="7"/>
      <c r="H45" s="39" t="s">
        <v>7254</v>
      </c>
      <c r="I45" s="13" t="e">
        <f>IF(ISBLANK(input_cluster_az1_secondary_storage_pool_end_ip),"Value Missing",input_cluster_az1_secondary_storage_pool_end_ip)</f>
        <v>#REF!</v>
      </c>
      <c r="J45" s="7"/>
      <c r="K45" s="30" t="s">
        <v>7367</v>
      </c>
      <c r="L45" s="13" t="e">
        <f>IF(ISBLANK(input_region_ntp2_server),"Value Missing",input_region_ntp2_server)</f>
        <v>#REF!</v>
      </c>
      <c r="M45" s="7"/>
      <c r="N45" s="30" t="s">
        <v>7368</v>
      </c>
      <c r="O45" s="13" t="e">
        <v>#REF!</v>
      </c>
      <c r="P45" s="7"/>
      <c r="Q45" s="39" t="s">
        <v>7315</v>
      </c>
      <c r="R45" s="13" t="e">
        <f>IF(xreg_vra_virtual_fqdn="Value Missing",xreg_vra_virtual_fqdn,LEFT(xreg_vra_virtual_fqdn,FIND(".",xreg_vra_virtual_fqdn)-1))</f>
        <v>#REF!</v>
      </c>
      <c r="S45" s="7"/>
      <c r="T45" s="7"/>
      <c r="U45" s="7"/>
      <c r="V45" s="9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9.5" customHeight="1">
      <c r="A46" s="7"/>
      <c r="B46" s="30" t="s">
        <v>7228</v>
      </c>
      <c r="C46" s="13" t="e">
        <f>IF(mgmt_nsxt_global_mgrb_fqdn="Value Missing",mgmt_nsxt_global_mgrb_fqdn,LEFT(mgmt_nsxt_global_mgrb_fqdn,FIND(".",mgmt_nsxt_global_mgrb_fqdn)-1))</f>
        <v>#REF!</v>
      </c>
      <c r="D46" s="7"/>
      <c r="E46" s="30" t="s">
        <v>7195</v>
      </c>
      <c r="F46" s="13" t="e">
        <f>IF(ISBLANK(input_wld_nsxt_vip_fqdn),"Value Missing",input_wld_nsxt_vip_fqdn)</f>
        <v>#REF!</v>
      </c>
      <c r="G46" s="7"/>
      <c r="H46" s="213" t="s">
        <v>6800</v>
      </c>
      <c r="I46" s="181"/>
      <c r="J46" s="7"/>
      <c r="K46" s="30" t="s">
        <v>7369</v>
      </c>
      <c r="L46" s="13"/>
      <c r="M46" s="7"/>
      <c r="N46" s="30" t="s">
        <v>6789</v>
      </c>
      <c r="O46" s="13" t="s">
        <v>7092</v>
      </c>
      <c r="P46" s="7"/>
      <c r="Q46" s="7"/>
      <c r="R46" s="7"/>
      <c r="S46" s="7"/>
      <c r="T46" s="180" t="s">
        <v>7370</v>
      </c>
      <c r="U46" s="181"/>
      <c r="V46" s="9"/>
      <c r="W46" s="76" t="s">
        <v>7371</v>
      </c>
      <c r="X46" s="76"/>
      <c r="Y46" s="7"/>
      <c r="Z46" s="77" t="s">
        <v>7372</v>
      </c>
      <c r="AA46" s="78" t="s">
        <v>7373</v>
      </c>
      <c r="AB46" s="7"/>
      <c r="AC46" s="7"/>
      <c r="AD46" s="7"/>
      <c r="AE46" s="7"/>
      <c r="AF46" s="7"/>
    </row>
    <row r="47" spans="1:32" ht="19.5" customHeight="1">
      <c r="A47" s="7"/>
      <c r="B47" s="30" t="s">
        <v>7234</v>
      </c>
      <c r="C47" s="13" t="e">
        <f>IF(mgmt_nsxt_global_mgrc_fqdn="Value Missing",mgmt_nsxt_global_mgrc_fqdn,LEFT(mgmt_nsxt_global_mgrc_fqdn,FIND(".",mgmt_nsxt_global_mgrc_fqdn)-1))</f>
        <v>#REF!</v>
      </c>
      <c r="D47" s="7"/>
      <c r="E47" s="30" t="s">
        <v>7201</v>
      </c>
      <c r="F47" s="13" t="e">
        <f>IF(ISBLANK(input_wld_nsxt_mgra_fqdn),"Value Missing",input_wld_nsxt_mgra_fqdn)</f>
        <v>#REF!</v>
      </c>
      <c r="G47" s="7"/>
      <c r="H47" s="30" t="s">
        <v>7175</v>
      </c>
      <c r="I47" s="13" t="e">
        <f>IF(ISBLANK(input_cluster_az1_storage_cluster_vlan),"Value Missing",input_cluster_az1_storage_cluster_vlan)</f>
        <v>#REF!</v>
      </c>
      <c r="J47" s="7"/>
      <c r="K47" s="30" t="s">
        <v>7374</v>
      </c>
      <c r="L47" s="13" t="str">
        <f>IF(ISBLANK(input_xregion_ntp1_server),"Value Missing",input_xregion_ntp1_server)</f>
        <v>Value Missing</v>
      </c>
      <c r="M47" s="7"/>
      <c r="N47" s="30" t="s">
        <v>6796</v>
      </c>
      <c r="O47" s="13" t="s">
        <v>7092</v>
      </c>
      <c r="P47" s="7"/>
      <c r="Q47" s="212" t="s">
        <v>7375</v>
      </c>
      <c r="R47" s="181"/>
      <c r="S47" s="7"/>
      <c r="T47" s="12" t="s">
        <v>6780</v>
      </c>
      <c r="U47" s="79" t="s">
        <v>6943</v>
      </c>
      <c r="V47" s="9"/>
      <c r="W47" s="12" t="s">
        <v>6780</v>
      </c>
      <c r="X47" s="79" t="s">
        <v>6943</v>
      </c>
      <c r="Y47" s="7"/>
      <c r="Z47" s="12" t="s">
        <v>6780</v>
      </c>
      <c r="AA47" s="79" t="s">
        <v>7376</v>
      </c>
      <c r="AB47" s="7"/>
      <c r="AC47" s="7"/>
      <c r="AD47" s="7"/>
      <c r="AE47" s="7"/>
      <c r="AF47" s="7"/>
    </row>
    <row r="48" spans="1:32" ht="19.5" customHeight="1">
      <c r="A48" s="7"/>
      <c r="B48" s="30" t="s">
        <v>7240</v>
      </c>
      <c r="C48" s="13" t="e">
        <f>IF(mgmt_avilb_fqdn="Value Missing",mgmt_avilb_fqdn,LEFT(mgmt_avilb_fqdn,FIND(".",mgmt_avilb_fqdn)-1))</f>
        <v>#REF!</v>
      </c>
      <c r="D48" s="7"/>
      <c r="E48" s="30" t="s">
        <v>7206</v>
      </c>
      <c r="F48" s="13" t="e">
        <f>IF(ISBLANK(input_wld_nsxt_mgrb_fqdn),"Value Missing",input_wld_nsxt_mgrb_fqdn)</f>
        <v>#REF!</v>
      </c>
      <c r="G48" s="7"/>
      <c r="H48" s="30" t="s">
        <v>7196</v>
      </c>
      <c r="I48" s="13" t="e">
        <f>IF(ISBLANK(input_cluster_az1_storage_cluster_mtu),"Value Missing",input_cluster_az1_storage_cluster_mtu)</f>
        <v>#REF!</v>
      </c>
      <c r="J48" s="7"/>
      <c r="K48" s="30" t="s">
        <v>7377</v>
      </c>
      <c r="L48" s="13" t="e">
        <f>IF(AND((OR((spr_chosen="Management Only"),(spr_chosen="Management &amp; VI Workload"))),(ISBLANK(input_xregion_ntp2_server))),"Value Missing",IF(ISBLANK(input_xregion_ntp2_server),"",input_xregion_ntp2_server))</f>
        <v>#REF!</v>
      </c>
      <c r="M48" s="7"/>
      <c r="N48" s="30" t="s">
        <v>7378</v>
      </c>
      <c r="O48" s="13" t="s">
        <v>7092</v>
      </c>
      <c r="P48" s="7"/>
      <c r="Q48" s="52" t="s">
        <v>6780</v>
      </c>
      <c r="R48" s="52" t="s">
        <v>6943</v>
      </c>
      <c r="S48" s="7"/>
      <c r="T48" s="30" t="s">
        <v>7379</v>
      </c>
      <c r="U48" s="13" t="str">
        <f>IF(ISBLANK(input_mgmt_srm_recovery_sddc_manager_fqdn),"Value Missing",input_mgmt_srm_recovery_sddc_manager_fqdn)</f>
        <v>Value Missing</v>
      </c>
      <c r="V48" s="9"/>
      <c r="W48" s="30" t="s">
        <v>7178</v>
      </c>
      <c r="X48" s="13" t="e">
        <f>IF(ISBLANK(input_wld_witnessaz_mgmt_mtu),"Value Missing",input_wld_witnessaz_mgmt_mtu)</f>
        <v>#REF!</v>
      </c>
      <c r="Y48" s="7"/>
      <c r="Z48" s="30" t="s">
        <v>7380</v>
      </c>
      <c r="AA48" s="13" t="e">
        <f>IF(AND((spr_chosen="Management Only"),(spr_result="Included")),"True","False")</f>
        <v>#REF!</v>
      </c>
      <c r="AB48" s="7"/>
      <c r="AC48" s="7"/>
      <c r="AD48" s="7"/>
      <c r="AE48" s="7"/>
      <c r="AF48" s="7"/>
    </row>
    <row r="49" spans="1:32" ht="19.5" customHeight="1">
      <c r="A49" s="7"/>
      <c r="B49" s="30" t="s">
        <v>7381</v>
      </c>
      <c r="C49" s="13" t="e">
        <f>IF(flt_vidb_vip_fqdn="Value Missing",flt_vidb_vip_fqdn,LEFT(flt_vidb_vip_fqdn,FIND(".",flt_vidb_vip_fqdn)-1))</f>
        <v>#REF!</v>
      </c>
      <c r="D49" s="7"/>
      <c r="E49" s="30" t="s">
        <v>7211</v>
      </c>
      <c r="F49" s="13" t="e">
        <f>IF(ISBLANK(input_wld_nsxt_mgrc_fqdn),"Value Missing",input_wld_nsxt_mgrc_fqdn)</f>
        <v>#REF!</v>
      </c>
      <c r="G49" s="7"/>
      <c r="H49" s="30" t="s">
        <v>334</v>
      </c>
      <c r="I49" s="13" t="e">
        <f>IF(cluster_az1_storage_cluster_gateway_cidr="Value Missing","Value Missing",CONCATENATE(_xludf.TEXTBEFORE(cluster_az1_storage_cluster_gateway_cidr,".",3),".0"))</f>
        <v>#REF!</v>
      </c>
      <c r="J49" s="7"/>
      <c r="K49" s="30" t="s">
        <v>7382</v>
      </c>
      <c r="L49" s="13" t="s">
        <v>7092</v>
      </c>
      <c r="M49" s="7"/>
      <c r="N49" s="30" t="s">
        <v>7383</v>
      </c>
      <c r="O49" s="13" t="s">
        <v>7092</v>
      </c>
      <c r="P49" s="7"/>
      <c r="Q49" s="39" t="s">
        <v>7315</v>
      </c>
      <c r="R49" s="13" t="e">
        <f>IF(ISBLANK(input_xreg_vra_virtual_fqdn),"Value Missing",input_xreg_vra_virtual_fqdn)</f>
        <v>#REF!</v>
      </c>
      <c r="S49" s="7"/>
      <c r="T49" s="30" t="s">
        <v>7384</v>
      </c>
      <c r="U49" s="13" t="str">
        <f>IF(ISBLANK(input_mgmt_srm_recovery_sddc_manager_username),"Value Missing",input_mgmt_srm_recovery_sddc_manager_username)</f>
        <v>Value Missing</v>
      </c>
      <c r="V49" s="9"/>
      <c r="W49" s="7"/>
      <c r="X49" s="7"/>
      <c r="Y49" s="7"/>
      <c r="Z49" s="30" t="s">
        <v>7385</v>
      </c>
      <c r="AA49" s="13" t="e">
        <f>IF(AND((spr_chosen="Workload Only"),(spr_result="Included")),"True","False")</f>
        <v>#REF!</v>
      </c>
      <c r="AB49" s="7"/>
      <c r="AC49" s="7"/>
      <c r="AD49" s="7"/>
      <c r="AE49" s="7"/>
      <c r="AF49" s="7"/>
    </row>
    <row r="50" spans="1:32" ht="19.5" customHeight="1">
      <c r="A50" s="7"/>
      <c r="B50" s="30" t="s">
        <v>7386</v>
      </c>
      <c r="C50" s="13" t="e">
        <f>IF(flt_lc_fqdn="Value Missing",flt_lc_fqdn,LEFT(flt_lc_fqdn,FIND(".",flt_lc_fqdn)-1))</f>
        <v>#REF!</v>
      </c>
      <c r="D50" s="7"/>
      <c r="E50" s="30" t="s">
        <v>7217</v>
      </c>
      <c r="F50" s="13" t="e">
        <f>IF(ISBLANK(input_wld_nsxt_gm_vip_fqdn),"Value Missing",input_wld_nsxt_gm_vip_fqdn)</f>
        <v>#REF!</v>
      </c>
      <c r="G50" s="7"/>
      <c r="H50" s="30" t="s">
        <v>7223</v>
      </c>
      <c r="I50" s="13" t="e">
        <f>IF(cluster_az1_storage_cluster_gateway_cidr="Value Missing",cluster_az1_storage_cluster_gateway_cidr,VLOOKUP(INT(RIGHT(cluster_az1_storage_cluster_gateway_cidr,LEN(cluster_az1_storage_cluster_gateway_cidr)-FIND("/",cluster_az1_storage_cluster_gateway_cidr))),table_cidr_to_mask,2,FALSE))</f>
        <v>#REF!</v>
      </c>
      <c r="J50" s="7"/>
      <c r="K50" s="30" t="s">
        <v>7382</v>
      </c>
      <c r="L50" s="13" t="s">
        <v>7092</v>
      </c>
      <c r="M50" s="7"/>
      <c r="N50" s="30" t="s">
        <v>7387</v>
      </c>
      <c r="O50" s="13" t="s">
        <v>7092</v>
      </c>
      <c r="P50" s="7"/>
      <c r="Q50" s="39" t="s">
        <v>7315</v>
      </c>
      <c r="R50" s="13" t="e">
        <f>IF(ISBLANK(input_flt_auto_sr_fqdn),"Value Missing",input_flt_auto_sr_fqdn)</f>
        <v>#REF!</v>
      </c>
      <c r="S50" s="7"/>
      <c r="T50" s="30" t="s">
        <v>7388</v>
      </c>
      <c r="U50" s="13" t="str">
        <f>IF(ISBLANK(input_mgmt_srm_recovery_sddc_manager_password),"Value Missing",input_mgmt_srm_recovery_sddc_manager_password)</f>
        <v>Value Missing</v>
      </c>
      <c r="V50" s="9"/>
      <c r="W50" s="7"/>
      <c r="X50" s="7"/>
      <c r="Y50" s="7"/>
      <c r="Z50" s="30" t="s">
        <v>7389</v>
      </c>
      <c r="AA50" s="13" t="e">
        <f>IF(spr_chosen="Management &amp; Workload","True","False")</f>
        <v>#REF!</v>
      </c>
      <c r="AB50" s="7"/>
      <c r="AC50" s="7"/>
      <c r="AD50" s="7"/>
      <c r="AE50" s="7"/>
      <c r="AF50" s="7"/>
    </row>
    <row r="51" spans="1:32" ht="19.5" customHeight="1">
      <c r="A51" s="7"/>
      <c r="B51" s="30" t="s">
        <v>7390</v>
      </c>
      <c r="C51" s="13" t="e">
        <f>IF(flt_sr_fqdn="Value Missing",flt_sr_fqdn,LEFT(flt_sr_fqdn,FIND(".",flt_sr_fqdn)-1))</f>
        <v>#REF!</v>
      </c>
      <c r="D51" s="7"/>
      <c r="E51" s="30" t="s">
        <v>7222</v>
      </c>
      <c r="F51" s="13" t="e">
        <f>IF(ISBLANK(input_wld_nsxt_global_mgra_fqdn),"Value Missing",input_wld_nsxt_global_mgra_fqdn)</f>
        <v>#REF!</v>
      </c>
      <c r="G51" s="7"/>
      <c r="H51" s="30" t="s">
        <v>6410</v>
      </c>
      <c r="I51" s="13" t="e">
        <f>IF(cluster_az1_storage_cluster_network="Value missing","Value Missing",CONCATENATE(cluster_az1_storage_cluster_network,"/",VLOOKUP(cluster_az1_storage_cluster_mask,table_mask_to_cidr,2,FALSE)))</f>
        <v>#REF!</v>
      </c>
      <c r="J51" s="7"/>
      <c r="K51" s="30" t="s">
        <v>7391</v>
      </c>
      <c r="L51" s="13" t="e">
        <f>IF(ISBLANK(input_region_dns1_ip),"Value Missing",input_region_dns1_ip)</f>
        <v>#REF!</v>
      </c>
      <c r="M51" s="7"/>
      <c r="N51" s="30" t="s">
        <v>7392</v>
      </c>
      <c r="O51" s="13" t="s">
        <v>7092</v>
      </c>
      <c r="P51" s="7"/>
      <c r="Q51" s="7"/>
      <c r="R51" s="7"/>
      <c r="S51" s="7"/>
      <c r="T51" s="30" t="s">
        <v>7393</v>
      </c>
      <c r="U51" s="13" t="s">
        <v>6375</v>
      </c>
      <c r="V51" s="7"/>
      <c r="W51" s="7"/>
      <c r="X51" s="7"/>
      <c r="Y51" s="7"/>
      <c r="Z51" s="30" t="s">
        <v>7394</v>
      </c>
      <c r="AA51" s="13" t="e">
        <f>IF(AND((mgmt_domain_chosen="Deploy a new VCF fleet"),(OR((spr_mo_result="True"),(spr_mw_result="True")))),"True","False")</f>
        <v>#REF!</v>
      </c>
      <c r="AB51" s="7"/>
      <c r="AC51" s="7"/>
      <c r="AD51" s="7"/>
      <c r="AE51" s="7"/>
      <c r="AF51" s="7"/>
    </row>
    <row r="52" spans="1:32" ht="19.5" customHeight="1">
      <c r="A52" s="7"/>
      <c r="B52" s="30" t="s">
        <v>7395</v>
      </c>
      <c r="C52" s="13" t="e">
        <f>IF(flt_ic_fqdn="Value Missing",flt_ic_fqdn,LEFT(flt_ic_fqdn,FIND(".",flt_ic_fqdn)-1))</f>
        <v>#REF!</v>
      </c>
      <c r="D52" s="7"/>
      <c r="E52" s="30" t="s">
        <v>7228</v>
      </c>
      <c r="F52" s="13" t="e">
        <f t="array" ref="F52">IF(ISBLANK(input_wld_nsxt_global_mgrb_fqdn),"Value Missing",input_wld_nsxt_global_mgrb_fqdn)</f>
        <v>#REF!</v>
      </c>
      <c r="G52" s="7"/>
      <c r="H52" s="30" t="s">
        <v>7180</v>
      </c>
      <c r="I52" s="13" t="e">
        <f>IF(cluster_az1_storage_cluster_gateway_cidr="Value Missing","Value Missing",LEFT(cluster_az1_storage_cluster_gateway_cidr,FIND("/",cluster_az1_storage_cluster_gateway_cidr)-1))</f>
        <v>#REF!</v>
      </c>
      <c r="J52" s="7"/>
      <c r="K52" s="30" t="s">
        <v>7396</v>
      </c>
      <c r="L52" s="13" t="e">
        <f>IF(ISBLANK(input_region_dns2_ip),"Value Missing",input_region_dns2_ip)</f>
        <v>#REF!</v>
      </c>
      <c r="M52" s="7"/>
      <c r="N52" s="39" t="s">
        <v>7397</v>
      </c>
      <c r="O52" s="96" t="s">
        <v>7398</v>
      </c>
      <c r="P52" s="7"/>
      <c r="Q52" s="76" t="s">
        <v>7399</v>
      </c>
      <c r="R52" s="78"/>
      <c r="S52" s="7"/>
      <c r="T52" s="30" t="s">
        <v>7400</v>
      </c>
      <c r="U52" s="13" t="s">
        <v>6375</v>
      </c>
      <c r="V52" s="7"/>
      <c r="W52" s="7"/>
      <c r="X52" s="7"/>
      <c r="Y52" s="7"/>
      <c r="Z52" s="30" t="s">
        <v>7401</v>
      </c>
      <c r="AA52" s="13" t="e">
        <f>IF(AND((mgmt_domain_chosen&lt;&gt;"First Domain"),(OR((spr_mo_result="True"),(spr_mw_result="True")))),"True","False")</f>
        <v>#REF!</v>
      </c>
      <c r="AB52" s="7"/>
      <c r="AC52" s="7"/>
      <c r="AD52" s="7"/>
      <c r="AE52" s="7"/>
      <c r="AF52" s="7"/>
    </row>
    <row r="53" spans="1:32" ht="19.5" customHeight="1">
      <c r="A53" s="7"/>
      <c r="B53" s="60"/>
      <c r="C53" s="7"/>
      <c r="D53" s="7"/>
      <c r="E53" s="30" t="s">
        <v>7234</v>
      </c>
      <c r="F53" s="13" t="e">
        <f>IF(ISBLANK(input_wld_nsxt_global_mgrc_fqdn),"Value Missing",input_wld_nsxt_global_mgrc_fqdn)</f>
        <v>#REF!</v>
      </c>
      <c r="G53" s="7"/>
      <c r="H53" s="30" t="s">
        <v>7241</v>
      </c>
      <c r="I53" s="13" t="e">
        <f>IF(ISBLANK(input_cluster_az1_storage_cluster_gateway_cidr),"Value Missing",input_cluster_az1_storage_cluster_gateway_cidr)</f>
        <v>#REF!</v>
      </c>
      <c r="J53" s="7"/>
      <c r="K53" s="30" t="s">
        <v>7402</v>
      </c>
      <c r="L53" s="13" t="str">
        <f>IF(ISBLANK(Arkham!C13),"Value Missing",Arkham!C13)</f>
        <v>Value Missing</v>
      </c>
      <c r="M53" s="7"/>
      <c r="N53" s="39" t="s">
        <v>7403</v>
      </c>
      <c r="O53" s="13" t="e">
        <f>CONCATENATE(mgmt_cl01_cluster,"_primary-az-vmgroup")</f>
        <v>#REF!</v>
      </c>
      <c r="P53" s="7"/>
      <c r="Q53" s="12" t="s">
        <v>6780</v>
      </c>
      <c r="R53" s="79" t="s">
        <v>6943</v>
      </c>
      <c r="S53" s="7"/>
      <c r="T53" s="30" t="s">
        <v>7404</v>
      </c>
      <c r="U53" s="13" t="str">
        <f>IF(ISBLANK(input_xreg_vrops_vrms_sso_username),"Value Missing",input_xreg_vrops_vrms_sso_username)</f>
        <v>Value Missing</v>
      </c>
      <c r="V53" s="9"/>
      <c r="W53" s="7"/>
      <c r="X53" s="7"/>
      <c r="Y53" s="7"/>
      <c r="Z53" s="30" t="s">
        <v>7405</v>
      </c>
      <c r="AA53" s="13" t="e">
        <f>IF(AND((mgmt_domain_chosen="First Domain"),(OR((spr_wo_result="True"),(spr_mw_result="True")))),"True","False")</f>
        <v>#REF!</v>
      </c>
      <c r="AB53" s="7"/>
      <c r="AC53" s="7"/>
      <c r="AD53" s="7"/>
      <c r="AE53" s="7"/>
      <c r="AF53" s="7"/>
    </row>
    <row r="54" spans="1:32" ht="19.5" customHeight="1">
      <c r="A54" s="7"/>
      <c r="B54" s="7"/>
      <c r="C54" s="7"/>
      <c r="D54" s="7"/>
      <c r="E54" s="30" t="s">
        <v>7406</v>
      </c>
      <c r="F54" s="13" t="e">
        <f>IF(ISBLANK(input_wld_az1_en1_fqdn),"Value Missing",input_wld_az1_en1_fqdn)</f>
        <v>#REF!</v>
      </c>
      <c r="G54" s="7"/>
      <c r="H54" s="39" t="s">
        <v>7248</v>
      </c>
      <c r="I54" s="13" t="e">
        <f>IF(ISBLANK(input_cluster_az1_storage_cluster_pool_start_ip),"Value Missing",input_cluster_az1_storage_cluster_pool_start_ip)</f>
        <v>#REF!</v>
      </c>
      <c r="J54" s="7"/>
      <c r="K54" s="30" t="s">
        <v>7407</v>
      </c>
      <c r="L54" s="13" t="str">
        <f>IF(ISBLANK(Arkham!C14),"Value Missing",Arkham!C14)</f>
        <v>Value Missing</v>
      </c>
      <c r="M54" s="7"/>
      <c r="N54" s="30" t="s">
        <v>7408</v>
      </c>
      <c r="O54" s="13" t="e">
        <f>IF(ISBLANK(mgmt_internet_proxy_type_chosen),"Value Missing",mgmt_internet_proxy_type_chosen)</f>
        <v>#REF!</v>
      </c>
      <c r="P54" s="7"/>
      <c r="Q54" s="39" t="s">
        <v>7409</v>
      </c>
      <c r="R54" s="13"/>
      <c r="S54" s="7"/>
      <c r="T54" s="30" t="s">
        <v>7410</v>
      </c>
      <c r="U54" s="13" t="str">
        <f>IF(ISBLANK(input_xreg_vrops_vrms_sso_password),"Value Missing",input_xreg_vrops_vrms_sso_password)</f>
        <v>Value Missing</v>
      </c>
      <c r="V54" s="9"/>
      <c r="W54" s="7"/>
      <c r="X54" s="7"/>
      <c r="Y54" s="7"/>
      <c r="Z54" s="30" t="s">
        <v>7411</v>
      </c>
      <c r="AA54" s="13" t="e">
        <f>IF((mgmt_nsxt_federation_result="Included"),"True","False")</f>
        <v>#REF!</v>
      </c>
      <c r="AB54" s="7"/>
      <c r="AC54" s="7"/>
      <c r="AD54" s="7"/>
      <c r="AE54" s="7"/>
      <c r="AF54" s="7"/>
    </row>
    <row r="55" spans="1:32" ht="19.5" customHeight="1">
      <c r="A55" s="7"/>
      <c r="B55" s="97" t="s">
        <v>7412</v>
      </c>
      <c r="C55" s="98"/>
      <c r="D55" s="7"/>
      <c r="E55" s="30" t="s">
        <v>7413</v>
      </c>
      <c r="F55" s="13" t="e">
        <f>IF(ISBLANK(input_wld_az1_en2_fqdn),"Value Missing",input_wld_az1_en2_fqdn)</f>
        <v>#REF!</v>
      </c>
      <c r="G55" s="7"/>
      <c r="H55" s="39" t="s">
        <v>7254</v>
      </c>
      <c r="I55" s="13" t="e">
        <f>IF(ISBLANK(input_cluster_az1_storage_cluster_pool_end_ip),"Value Missing",input_cluster_az1_storage_cluster_pool_end_ip)</f>
        <v>#REF!</v>
      </c>
      <c r="J55" s="7"/>
      <c r="K55" s="30" t="s">
        <v>7414</v>
      </c>
      <c r="L55" s="13" t="s">
        <v>7092</v>
      </c>
      <c r="M55" s="7"/>
      <c r="N55" s="30" t="s">
        <v>6801</v>
      </c>
      <c r="O55" s="13" t="e">
        <f>IF(ISBLANK(input_mgmt_internet_proxy_address),"Value Missing",input_mgmt_internet_proxy_address)</f>
        <v>#REF!</v>
      </c>
      <c r="P55" s="7"/>
      <c r="Q55" s="39" t="s">
        <v>7415</v>
      </c>
      <c r="R55" s="13"/>
      <c r="S55" s="7"/>
      <c r="T55" s="30" t="s">
        <v>7416</v>
      </c>
      <c r="U55" s="13" t="str">
        <f>IF(ISBLANK(input_xreg_vrops_srm_sso_username),"Value Missing",input_xreg_vrops_srm_sso_username)</f>
        <v>Value Missing</v>
      </c>
      <c r="V55" s="9"/>
      <c r="W55" s="7"/>
      <c r="X55" s="7"/>
      <c r="Y55" s="7"/>
      <c r="Z55" s="30" t="s">
        <v>7417</v>
      </c>
      <c r="AA55" s="13" t="e">
        <f>IF(AND((mgmt_nsxt_federation_result="Included"),(wld_domain_result="Included")),"True","False")</f>
        <v>#REF!</v>
      </c>
      <c r="AB55" s="7"/>
      <c r="AC55" s="7"/>
      <c r="AD55" s="7"/>
      <c r="AE55" s="7"/>
      <c r="AF55" s="7"/>
    </row>
    <row r="56" spans="1:32" ht="19.5" customHeight="1">
      <c r="A56" s="7"/>
      <c r="B56" s="52" t="s">
        <v>6780</v>
      </c>
      <c r="C56" s="52" t="s">
        <v>6943</v>
      </c>
      <c r="D56" s="7"/>
      <c r="E56" s="30" t="s">
        <v>7240</v>
      </c>
      <c r="F56" s="13" t="e">
        <f>IF(ISBLANK(input_wld_avilb_fqdn),"Value Missing",input_wld_avilb_fqdn)</f>
        <v>#REF!</v>
      </c>
      <c r="G56" s="7"/>
      <c r="H56" s="213" t="s">
        <v>7418</v>
      </c>
      <c r="I56" s="181"/>
      <c r="J56" s="7"/>
      <c r="K56" s="30" t="s">
        <v>7419</v>
      </c>
      <c r="L56" s="13" t="s">
        <v>7092</v>
      </c>
      <c r="M56" s="7"/>
      <c r="N56" s="30" t="s">
        <v>7420</v>
      </c>
      <c r="O56" s="13" t="e">
        <f>IF(ISBLANK(input_mgmt_internet_proxy_port),"Value Missing",input_mgmt_internet_proxy_port)</f>
        <v>#REF!</v>
      </c>
      <c r="P56" s="7"/>
      <c r="Q56" s="39" t="s">
        <v>7421</v>
      </c>
      <c r="R56" s="13"/>
      <c r="S56" s="7"/>
      <c r="T56" s="30" t="s">
        <v>7422</v>
      </c>
      <c r="U56" s="13" t="str">
        <f>IF(ISBLANK(input_xreg_vrops_srm_sso_password),"Value Missing",input_xreg_vrops_srm_sso_password)</f>
        <v>Value Missing</v>
      </c>
      <c r="V56" s="9"/>
      <c r="W56" s="7"/>
      <c r="X56" s="7"/>
      <c r="Y56" s="7"/>
      <c r="Z56" s="30" t="s">
        <v>7423</v>
      </c>
      <c r="AA56" s="13" t="e">
        <f>IF(AND((mgmt_nsxt_federation_result="Included")),"True","False")</f>
        <v>#REF!</v>
      </c>
      <c r="AB56" s="7"/>
      <c r="AC56" s="7"/>
      <c r="AD56" s="7"/>
      <c r="AE56" s="7"/>
      <c r="AF56" s="7"/>
    </row>
    <row r="57" spans="1:32" ht="19.5" customHeight="1">
      <c r="A57" s="7"/>
      <c r="B57" s="30" t="s">
        <v>7186</v>
      </c>
      <c r="C57" s="13" t="e">
        <f>IF(ISBLANK(input_vcf_installer_fqdn),"Value Missing",input_vcf_installer_fqdn)</f>
        <v>#REF!</v>
      </c>
      <c r="D57" s="7"/>
      <c r="E57" s="39" t="s">
        <v>7268</v>
      </c>
      <c r="F57" s="13" t="e">
        <f>IF(ISBLANK(input_wld_vnaa_fqdn),"Value Missing",input_wld_vnaa_fqdn)</f>
        <v>#REF!</v>
      </c>
      <c r="G57" s="7"/>
      <c r="H57" s="39" t="s">
        <v>7424</v>
      </c>
      <c r="I57" s="13" t="e">
        <f>IF(ISBLANK(input_cluster_az1_host1_mgmt_ip),"Value Missing",input_cluster_az1_host1_mgmt_ip)</f>
        <v>#REF!</v>
      </c>
      <c r="J57" s="7"/>
      <c r="K57" s="30" t="s">
        <v>7425</v>
      </c>
      <c r="L57" s="13" t="str">
        <f>IF(ISBLANK(Arkham!C15),"Value Missing",Arkham!C15)</f>
        <v>Value Missing</v>
      </c>
      <c r="M57" s="7"/>
      <c r="N57" s="30" t="s">
        <v>6805</v>
      </c>
      <c r="O57" s="13" t="e">
        <f>mgmt_internet_proxy_auth_chosen</f>
        <v>#REF!</v>
      </c>
      <c r="P57" s="7"/>
      <c r="Q57" s="39" t="s">
        <v>7426</v>
      </c>
      <c r="R57" s="13"/>
      <c r="S57" s="7"/>
      <c r="T57" s="7"/>
      <c r="U57" s="7"/>
      <c r="V57" s="9"/>
      <c r="W57" s="7"/>
      <c r="X57" s="7"/>
      <c r="Y57" s="7"/>
      <c r="Z57" s="30" t="s">
        <v>7427</v>
      </c>
      <c r="AA57" s="13" t="e">
        <f>IF(AND((mgmt_domain_chosen&lt;&gt;"First Domain"),(mgmt_nsxt_federation_result="Included"),(wld_domain_result="Included")),"True","False")</f>
        <v>#REF!</v>
      </c>
      <c r="AB57" s="7"/>
      <c r="AC57" s="7"/>
      <c r="AD57" s="7"/>
      <c r="AE57" s="7"/>
      <c r="AF57" s="7"/>
    </row>
    <row r="58" spans="1:32" ht="19.5" customHeight="1">
      <c r="A58" s="7"/>
      <c r="B58" s="30" t="s">
        <v>5983</v>
      </c>
      <c r="C58" s="13" t="e">
        <f>IF(ISBLANK(input_sddc_mgr_fqdn),"Value Missing",input_sddc_mgr_fqdn)</f>
        <v>#REF!</v>
      </c>
      <c r="D58" s="7"/>
      <c r="E58" s="39" t="s">
        <v>7275</v>
      </c>
      <c r="F58" s="13" t="e">
        <f>IF(ISBLANK(input_wld_vnab_fqdn),"Value Missing",input_wld_vnab_fqdn)</f>
        <v>#REF!</v>
      </c>
      <c r="G58" s="7"/>
      <c r="H58" s="39" t="s">
        <v>7428</v>
      </c>
      <c r="I58" s="13" t="e">
        <f>IF(ISBLANK(input_cluster_az1_host2_mgmt_ip),"Value Missing",input_cluster_az1_host2_mgmt_ip)</f>
        <v>#REF!</v>
      </c>
      <c r="J58" s="7"/>
      <c r="K58" s="30" t="s">
        <v>7429</v>
      </c>
      <c r="L58" s="13" t="e">
        <v>#REF!</v>
      </c>
      <c r="M58" s="7"/>
      <c r="N58" s="30" t="s">
        <v>7430</v>
      </c>
      <c r="O58" s="13" t="e">
        <f>IF(ISBLANK(input_mgmt_offline_depot_fqdn),"Value Missing",input_mgmt_offline_depot_fqdn)</f>
        <v>#REF!</v>
      </c>
      <c r="P58" s="7"/>
      <c r="Q58" s="7"/>
      <c r="R58" s="9"/>
      <c r="S58" s="7"/>
      <c r="T58" s="76" t="s">
        <v>7431</v>
      </c>
      <c r="U58" s="76"/>
      <c r="V58" s="9"/>
      <c r="W58" s="7"/>
      <c r="X58" s="7"/>
      <c r="Y58" s="7"/>
      <c r="Z58" s="30" t="s">
        <v>7432</v>
      </c>
      <c r="AA58" s="13" t="e">
        <f>IF(wld_domain_result="Included",IF(wld_domain_chosen="Create New SSO Domain","False","True"),"False")</f>
        <v>#REF!</v>
      </c>
      <c r="AB58" s="7"/>
      <c r="AC58" s="7"/>
      <c r="AD58" s="7"/>
      <c r="AE58" s="7"/>
      <c r="AF58" s="7"/>
    </row>
    <row r="59" spans="1:32" ht="19.5" customHeight="1">
      <c r="A59" s="7"/>
      <c r="B59" s="30" t="s">
        <v>7187</v>
      </c>
      <c r="C59" s="13" t="e">
        <f>IF(ISBLANK(input_mgmt_vc_fqdn),"Value Missing",input_mgmt_vc_fqdn)</f>
        <v>#REF!</v>
      </c>
      <c r="D59" s="7"/>
      <c r="E59" s="7"/>
      <c r="F59" s="7"/>
      <c r="G59" s="7"/>
      <c r="H59" s="39" t="s">
        <v>7433</v>
      </c>
      <c r="I59" s="13" t="e">
        <f>IF(ISBLANK(input_cluster_az1_host3_mgmt_ip),"Value Missing",input_cluster_az1_host3_mgmt_ip)</f>
        <v>#REF!</v>
      </c>
      <c r="J59" s="7"/>
      <c r="K59" s="30" t="s">
        <v>7434</v>
      </c>
      <c r="L59" s="13" t="e">
        <v>#REF!</v>
      </c>
      <c r="M59" s="7"/>
      <c r="N59" s="30" t="s">
        <v>7435</v>
      </c>
      <c r="O59" s="13" t="e">
        <f t="array" ref="O59">IF(ISBLANK(input_mgmt_offline_depot_port),"Value Missing",input_mgmt_offline_depot_port)</f>
        <v>#REF!</v>
      </c>
      <c r="P59" s="7"/>
      <c r="Q59" s="76" t="s">
        <v>7436</v>
      </c>
      <c r="R59" s="76"/>
      <c r="S59" s="7"/>
      <c r="T59" s="12" t="s">
        <v>6780</v>
      </c>
      <c r="U59" s="79" t="s">
        <v>6943</v>
      </c>
      <c r="V59" s="9"/>
      <c r="W59" s="7"/>
      <c r="X59" s="7"/>
      <c r="Y59" s="7"/>
      <c r="Z59" s="30" t="s">
        <v>7437</v>
      </c>
      <c r="AA59" s="13">
        <v>1</v>
      </c>
      <c r="AB59" s="7"/>
      <c r="AC59" s="7"/>
      <c r="AD59" s="7"/>
      <c r="AE59" s="7"/>
      <c r="AF59" s="7"/>
    </row>
    <row r="60" spans="1:32" ht="19.5" customHeight="1">
      <c r="A60" s="7"/>
      <c r="B60" s="30" t="s">
        <v>7195</v>
      </c>
      <c r="C60" s="13" t="e">
        <f>IF(ISBLANK(input_mgmt_nsxt_vip_fqdn),"Value Missing",input_mgmt_nsxt_vip_fqdn)</f>
        <v>#REF!</v>
      </c>
      <c r="D60" s="7"/>
      <c r="E60" s="97" t="s">
        <v>7438</v>
      </c>
      <c r="F60" s="98"/>
      <c r="G60" s="7"/>
      <c r="H60" s="39" t="s">
        <v>7439</v>
      </c>
      <c r="I60" s="13" t="e">
        <f>IF(ISBLANK(input_cluster_az1_host4_mgmt_ip),"Value Missing",input_cluster_az1_host4_mgmt_ip)</f>
        <v>#REF!</v>
      </c>
      <c r="J60" s="7"/>
      <c r="K60" s="30" t="s">
        <v>7440</v>
      </c>
      <c r="L60" s="13" t="e">
        <v>#REF!</v>
      </c>
      <c r="M60" s="7"/>
      <c r="N60" s="7"/>
      <c r="O60" s="7"/>
      <c r="P60" s="7"/>
      <c r="Q60" s="12" t="s">
        <v>6780</v>
      </c>
      <c r="R60" s="79" t="s">
        <v>6943</v>
      </c>
      <c r="S60" s="7"/>
      <c r="T60" s="30" t="s">
        <v>7441</v>
      </c>
      <c r="U60" s="13" t="str">
        <f>IF(ISBLANK(input_mgmt_recovery_lb_creation_method),"Value Missing",input_mgmt_recovery_lb_creation_method)</f>
        <v>Value Missing</v>
      </c>
      <c r="V60" s="9"/>
      <c r="W60" s="7"/>
      <c r="X60" s="7"/>
      <c r="Y60" s="7"/>
      <c r="Z60" s="61" t="s">
        <v>7442</v>
      </c>
      <c r="AA60" s="45">
        <v>1</v>
      </c>
      <c r="AB60" s="7"/>
      <c r="AC60" s="7"/>
      <c r="AD60" s="7"/>
      <c r="AE60" s="7"/>
      <c r="AF60" s="7"/>
    </row>
    <row r="61" spans="1:32" ht="19.5" customHeight="1">
      <c r="A61" s="7"/>
      <c r="B61" s="30" t="s">
        <v>7201</v>
      </c>
      <c r="C61" s="13" t="e">
        <f>IF(ISBLANK(input_mgmt_nsxt_mgra_fqdn),"Value Missing",input_mgmt_nsxt_mgra_fqdn)</f>
        <v>#REF!</v>
      </c>
      <c r="D61" s="7"/>
      <c r="E61" s="52" t="s">
        <v>6780</v>
      </c>
      <c r="F61" s="52" t="s">
        <v>6943</v>
      </c>
      <c r="G61" s="7"/>
      <c r="H61" s="39" t="s">
        <v>7443</v>
      </c>
      <c r="I61" s="13" t="e">
        <f>IF(ISBLANK(input_cluster_az1_host5_mgmt_ip),"Value Missing",input_cluster_az1_host5_mgmt_ip)</f>
        <v>#REF!</v>
      </c>
      <c r="J61" s="7"/>
      <c r="K61" s="30" t="s">
        <v>6664</v>
      </c>
      <c r="L61" s="13" t="str">
        <f>IF(ISBLANK(Arkham!C16),"Value Missing",Arkham!C16)</f>
        <v>Value Missing</v>
      </c>
      <c r="M61" s="7"/>
      <c r="N61" s="76" t="s">
        <v>7444</v>
      </c>
      <c r="O61" s="76"/>
      <c r="P61" s="7"/>
      <c r="Q61" s="39" t="s">
        <v>7409</v>
      </c>
      <c r="R61" s="13"/>
      <c r="S61" s="7"/>
      <c r="T61" s="30" t="s">
        <v>7445</v>
      </c>
      <c r="U61" s="13" t="str">
        <f>IF(ISBLANK(input_mgmt_vrms_vm_folder),"Value Missing",input_mgmt_vrms_vm_folder)</f>
        <v>Value Missing</v>
      </c>
      <c r="V61" s="9"/>
      <c r="W61" s="7"/>
      <c r="X61" s="7"/>
      <c r="Y61" s="7"/>
      <c r="Z61" s="107" t="s">
        <v>7446</v>
      </c>
      <c r="AA61" s="107" t="e">
        <f>IF(AND(OR(vcf_granular_option_chosen="Full Instance",vcf_granular_option_chosen="Additional VCF Instance"),(wld_domain_result="Excluded")),"Included","Excluded")</f>
        <v>#REF!</v>
      </c>
      <c r="AB61" s="7"/>
      <c r="AC61" s="7"/>
      <c r="AD61" s="7"/>
      <c r="AE61" s="7"/>
      <c r="AF61" s="7"/>
    </row>
    <row r="62" spans="1:32" ht="19.5" customHeight="1">
      <c r="A62" s="7"/>
      <c r="B62" s="30" t="s">
        <v>7206</v>
      </c>
      <c r="C62" s="13" t="e">
        <f>IF(ISBLANK(input_mgmt_nsxt_mgrb_fqdn),"Value Missing",input_mgmt_nsxt_mgrb_fqdn)</f>
        <v>#REF!</v>
      </c>
      <c r="D62" s="7"/>
      <c r="E62" s="80" t="s">
        <v>7187</v>
      </c>
      <c r="F62" s="13" t="e">
        <f>(CONCATENATE('Value Reference Tables'!F110,".",(IF(ISBLANK(Arkham!C$11),"Value Missing",Arkham!C$11))))</f>
        <v>#REF!</v>
      </c>
      <c r="G62" s="7"/>
      <c r="H62" s="39" t="s">
        <v>7447</v>
      </c>
      <c r="I62" s="13" t="e">
        <f>IF(ISBLANK(input_cluster_az1_host6_mgmt_ip),"Value Missing",input_cluster_az1_host6_mgmt_ip)</f>
        <v>#REF!</v>
      </c>
      <c r="J62" s="7"/>
      <c r="K62" s="30" t="s">
        <v>6667</v>
      </c>
      <c r="L62" s="13" t="str">
        <f>IF(ISBLANK(Arkham!C17),"Value Missing",Arkham!C17)</f>
        <v>Value Missing</v>
      </c>
      <c r="M62" s="7"/>
      <c r="N62" s="12" t="s">
        <v>6780</v>
      </c>
      <c r="O62" s="79" t="s">
        <v>6943</v>
      </c>
      <c r="P62" s="7"/>
      <c r="Q62" s="39" t="s">
        <v>7415</v>
      </c>
      <c r="R62" s="13"/>
      <c r="S62" s="7"/>
      <c r="T62" s="30" t="s">
        <v>7448</v>
      </c>
      <c r="U62" s="13" t="str">
        <f>IF(ISBLANK(input_mgmt_vrms_root_password),"Value Missing",input_mgmt_vrms_root_password)</f>
        <v>Value Missing</v>
      </c>
      <c r="V62" s="9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9.5" customHeight="1">
      <c r="A63" s="7"/>
      <c r="B63" s="30" t="s">
        <v>7211</v>
      </c>
      <c r="C63" s="13" t="e">
        <f>IF(ISBLANK(input_mgmt_nsxt_mgrc_fqdn),"Value Missing",input_mgmt_nsxt_mgrc_fqdn)</f>
        <v>#REF!</v>
      </c>
      <c r="D63" s="7"/>
      <c r="E63" s="80" t="s">
        <v>7449</v>
      </c>
      <c r="F63" s="13" t="e">
        <f>IF(ISBLANK(input_wld_witness_fqdn),"Value Missing",input_wld_witness_fqdn)</f>
        <v>#REF!</v>
      </c>
      <c r="G63" s="7"/>
      <c r="H63" s="39" t="s">
        <v>7450</v>
      </c>
      <c r="I63" s="13" t="e">
        <f>IF(ISBLANK(input_cluster_az1_host7_mgmt_ip),"Value Missing",input_cluster_az1_host7_mgmt_ip)</f>
        <v>#REF!</v>
      </c>
      <c r="J63" s="7"/>
      <c r="K63" s="7"/>
      <c r="L63" s="7"/>
      <c r="M63" s="7"/>
      <c r="N63" s="30" t="s">
        <v>7451</v>
      </c>
      <c r="O63" s="13" t="e">
        <v>#REF!</v>
      </c>
      <c r="P63" s="7"/>
      <c r="Q63" s="39" t="s">
        <v>7421</v>
      </c>
      <c r="R63" s="13"/>
      <c r="S63" s="7"/>
      <c r="T63" s="30" t="s">
        <v>7452</v>
      </c>
      <c r="U63" s="13" t="str">
        <f>IF(ISBLANK(input_mgmt_vrms_admin_password),"Value Missing",input_mgmt_vrms_admin_password)</f>
        <v>Value Missing</v>
      </c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9.5" customHeight="1">
      <c r="A64" s="7"/>
      <c r="B64" s="30" t="s">
        <v>7217</v>
      </c>
      <c r="C64" s="13" t="e">
        <f>IF(ISBLANK(input_mgmt_nsxt_gm_vip_fqdn),"Value Missing",input_mgmt_nsxt_gm_vip_fqdn)</f>
        <v>#REF!</v>
      </c>
      <c r="D64" s="7"/>
      <c r="E64" s="7"/>
      <c r="F64" s="7"/>
      <c r="G64" s="7"/>
      <c r="H64" s="39" t="s">
        <v>7453</v>
      </c>
      <c r="I64" s="13" t="e">
        <f>IF(ISBLANK(input_cluster_az1_host8_mgmt_ip),"Value Missing",input_cluster_az1_host8_mgmt_ip)</f>
        <v>#REF!</v>
      </c>
      <c r="J64" s="7"/>
      <c r="K64" s="180" t="s">
        <v>7454</v>
      </c>
      <c r="L64" s="200"/>
      <c r="M64" s="7"/>
      <c r="N64" s="30" t="s">
        <v>7455</v>
      </c>
      <c r="O64" s="13" t="e">
        <v>#REF!</v>
      </c>
      <c r="P64" s="7"/>
      <c r="Q64" s="39" t="s">
        <v>7426</v>
      </c>
      <c r="R64" s="13"/>
      <c r="S64" s="7"/>
      <c r="T64" s="30" t="s">
        <v>7456</v>
      </c>
      <c r="U64" s="13" t="str">
        <f>IF(ISBLANK(input_mgmt_vrms_site_name),"Value Missing",input_mgmt_vrms_site_name)</f>
        <v>Value Missing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9.5" customHeight="1">
      <c r="A65" s="7"/>
      <c r="B65" s="30" t="s">
        <v>7222</v>
      </c>
      <c r="C65" s="13" t="e">
        <f>IF(ISBLANK(input_mgmt_nsxt_global_mgra_fqdn),"Value Missing",input_mgmt_nsxt_global_mgra_fqdn)</f>
        <v>#REF!</v>
      </c>
      <c r="D65" s="7"/>
      <c r="E65" s="97" t="s">
        <v>7457</v>
      </c>
      <c r="F65" s="98"/>
      <c r="G65" s="7"/>
      <c r="H65" s="39" t="s">
        <v>7458</v>
      </c>
      <c r="I65" s="13" t="e">
        <f>IF(ISBLANK(input_cluster_az1_host9_mgmt_ip),"Value Missing",input_cluster_az1_host9_mgmt_ip)</f>
        <v>#REF!</v>
      </c>
      <c r="J65" s="7"/>
      <c r="K65" s="12" t="s">
        <v>6780</v>
      </c>
      <c r="L65" s="79" t="s">
        <v>6943</v>
      </c>
      <c r="M65" s="7"/>
      <c r="N65" s="30" t="s">
        <v>7459</v>
      </c>
      <c r="O65" s="13" t="e">
        <v>#REF!</v>
      </c>
      <c r="P65" s="7"/>
      <c r="Q65" s="7"/>
      <c r="R65" s="9"/>
      <c r="S65" s="7"/>
      <c r="T65" s="30" t="s">
        <v>7460</v>
      </c>
      <c r="U65" s="13" t="str">
        <f>IF(ISBLANK(input_mgmt_vrms_admin_email),"Value Missing",input_mgmt_vrms_admin_email)</f>
        <v>Value Missing</v>
      </c>
      <c r="V65" s="9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9.5" customHeight="1">
      <c r="A66" s="7"/>
      <c r="B66" s="30" t="s">
        <v>7228</v>
      </c>
      <c r="C66" s="13" t="e">
        <f>IF(ISBLANK(input_mgmt_nsxt_global_mgrb_fqdn),"Value Missing",input_mgmt_nsxt_global_mgrb_fqdn)</f>
        <v>#REF!</v>
      </c>
      <c r="D66" s="7"/>
      <c r="E66" s="52" t="s">
        <v>6780</v>
      </c>
      <c r="F66" s="52" t="s">
        <v>6943</v>
      </c>
      <c r="G66" s="7"/>
      <c r="H66" s="39" t="s">
        <v>7461</v>
      </c>
      <c r="I66" s="13" t="e">
        <f>IF(ISBLANK(input_cluster_az1_host10_mgmt_ip),"Value Missing",input_cluster_az1_host10_mgmt_ip)</f>
        <v>#REF!</v>
      </c>
      <c r="J66" s="7"/>
      <c r="K66" s="30" t="s">
        <v>7462</v>
      </c>
      <c r="L66" s="13" t="e">
        <f>IF(ISBLANK(input_parent_dns_zone),"Value Missing",input_parent_dns_zone)</f>
        <v>#REF!</v>
      </c>
      <c r="M66" s="7"/>
      <c r="N66" s="30" t="s">
        <v>7198</v>
      </c>
      <c r="O66" s="13" t="e">
        <v>#REF!</v>
      </c>
      <c r="P66" s="7"/>
      <c r="Q66" s="76" t="s">
        <v>7463</v>
      </c>
      <c r="R66" s="76"/>
      <c r="S66" s="7"/>
      <c r="T66" s="30" t="s">
        <v>7464</v>
      </c>
      <c r="U66" s="13" t="str">
        <f>IF(ISBLANK(input_mgmt_vrms_pg),"Value Missing",input_mgmt_vrms_pg)</f>
        <v>Value Missing</v>
      </c>
      <c r="V66" s="9"/>
      <c r="W66" s="7"/>
      <c r="X66" s="7"/>
      <c r="Y66" s="7"/>
      <c r="Z66" s="27"/>
      <c r="AA66" s="27"/>
      <c r="AB66" s="7"/>
      <c r="AC66" s="7"/>
      <c r="AD66" s="7"/>
      <c r="AE66" s="7"/>
      <c r="AF66" s="7"/>
    </row>
    <row r="67" spans="1:32" ht="19.5" customHeight="1">
      <c r="A67" s="7"/>
      <c r="B67" s="30" t="s">
        <v>7234</v>
      </c>
      <c r="C67" s="13" t="e">
        <f>IF(ISBLANK(input_mgmt_nsxt_global_mgrc_fqdn),"Value Missing",input_mgmt_nsxt_global_mgrc_fqdn)</f>
        <v>#REF!</v>
      </c>
      <c r="D67" s="7"/>
      <c r="E67" s="30" t="s">
        <v>7465</v>
      </c>
      <c r="F67" s="13" t="e">
        <v>#REF!</v>
      </c>
      <c r="G67" s="7"/>
      <c r="H67" s="39" t="s">
        <v>7466</v>
      </c>
      <c r="I67" s="13" t="e">
        <f>IF(ISBLANK(input_cluster_az1_host11_mgmt_ip),"Value Missing",input_cluster_az1_host11_mgmt_ip)</f>
        <v>#REF!</v>
      </c>
      <c r="J67" s="7"/>
      <c r="K67" s="30" t="s">
        <v>7467</v>
      </c>
      <c r="L67" s="13" t="str">
        <f>IF(ISBLANK(input_child_dns_zone),"Value Missing",input_child_dns_zone)</f>
        <v>Value Missing</v>
      </c>
      <c r="M67" s="7"/>
      <c r="N67" s="30" t="s">
        <v>7468</v>
      </c>
      <c r="O67" s="13" t="e">
        <v>#REF!</v>
      </c>
      <c r="P67" s="7"/>
      <c r="Q67" s="12" t="s">
        <v>6780</v>
      </c>
      <c r="R67" s="79" t="s">
        <v>6943</v>
      </c>
      <c r="S67" s="7"/>
      <c r="T67" s="30" t="s">
        <v>7469</v>
      </c>
      <c r="U67" s="13" t="str">
        <f>IF(ISBLANK(input_mgmt_vrms_p12_password),"Value Missing",input_mgmt_vrms_p12_password)</f>
        <v>Value Missing</v>
      </c>
      <c r="V67" s="9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9.5" customHeight="1">
      <c r="A68" s="7"/>
      <c r="B68" s="30" t="s">
        <v>7406</v>
      </c>
      <c r="C68" s="13" t="e">
        <f>IF(ISBLANK(input_mgmt_az1_en1_fqdn),"Value Missing",input_mgmt_az1_en1_fqdn)</f>
        <v>#REF!</v>
      </c>
      <c r="D68" s="7"/>
      <c r="E68" s="30" t="s">
        <v>7470</v>
      </c>
      <c r="F68" s="13" t="str">
        <f>IF(ISBLANK(input_wld_cl01_evc_mode),"Value Missing",input_wld_cl01_evc_mode)</f>
        <v>Value Missing</v>
      </c>
      <c r="G68" s="7"/>
      <c r="H68" s="39" t="s">
        <v>7471</v>
      </c>
      <c r="I68" s="13" t="e">
        <f>IF(ISBLANK(input_cluster_az1_host12_mgmt_ip),"Value Missing",input_cluster_az1_host12_mgmt_ip)</f>
        <v>#REF!</v>
      </c>
      <c r="J68" s="7"/>
      <c r="K68" s="30" t="s">
        <v>7472</v>
      </c>
      <c r="L68" s="13" t="str">
        <f>IF(ISBLANK(input_witness_dns_zone),"Value Missing",input_witness_dns_zone)</f>
        <v>Value Missing</v>
      </c>
      <c r="M68" s="7"/>
      <c r="N68" s="30" t="s">
        <v>7473</v>
      </c>
      <c r="O68" s="13" t="e">
        <v>#REF!</v>
      </c>
      <c r="P68" s="7"/>
      <c r="Q68" s="39" t="s">
        <v>7409</v>
      </c>
      <c r="R68" s="13" t="str">
        <f>(CONCATENATE('Value Reference Tables'!R61,".",(IF(ISBLANK(Arkham!C$11),"Value Missing",Arkham!C$11))))</f>
        <v>.Value Missing</v>
      </c>
      <c r="S68" s="7"/>
      <c r="T68" s="30" t="s">
        <v>7474</v>
      </c>
      <c r="U68" s="13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9.5" customHeight="1">
      <c r="A69" s="7"/>
      <c r="B69" s="30" t="s">
        <v>7413</v>
      </c>
      <c r="C69" s="13" t="e">
        <f>IF(ISBLANK(input_mgmt_az1_en2_fqdn),"Value Missing",input_mgmt_az1_en2_fqdn)</f>
        <v>#REF!</v>
      </c>
      <c r="D69" s="7"/>
      <c r="E69" s="7"/>
      <c r="F69" s="7"/>
      <c r="G69" s="7"/>
      <c r="H69" s="39" t="s">
        <v>7475</v>
      </c>
      <c r="I69" s="13" t="e">
        <f>IF(ISBLANK(input_cluster_az1_host13_mgmt_ip),"Value Missing",input_cluster_az1_host13_mgmt_ip)</f>
        <v>#REF!</v>
      </c>
      <c r="J69" s="7"/>
      <c r="K69" s="7"/>
      <c r="L69" s="7"/>
      <c r="M69" s="7"/>
      <c r="N69" s="30" t="s">
        <v>7476</v>
      </c>
      <c r="O69" s="13"/>
      <c r="P69" s="7"/>
      <c r="Q69" s="39" t="s">
        <v>7415</v>
      </c>
      <c r="R69" s="13" t="str">
        <f>(CONCATENATE('Value Reference Tables'!R62,".",(IF(ISBLANK(Arkham!C$11),"Value Missing",Arkham!C$11))))</f>
        <v>.Value Missing</v>
      </c>
      <c r="S69" s="7"/>
      <c r="T69" s="30" t="s">
        <v>7477</v>
      </c>
      <c r="U69" s="13" t="str">
        <f>IF(ISBLANK(input_mgmt_srm_vm_folder),"Value Missing",input_mgmt_srm_vm_folder)</f>
        <v>Value Missing</v>
      </c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9.5" customHeight="1">
      <c r="A70" s="7"/>
      <c r="B70" s="30" t="s">
        <v>7240</v>
      </c>
      <c r="C70" s="13" t="e">
        <f>IF(ISBLANK(input_mgmt_avilb_fqdn),"Value Missing",input_mgmt_avilb_fqdn)</f>
        <v>#REF!</v>
      </c>
      <c r="D70" s="7"/>
      <c r="E70" s="212" t="s">
        <v>7478</v>
      </c>
      <c r="F70" s="200"/>
      <c r="G70" s="7"/>
      <c r="H70" s="39" t="s">
        <v>7479</v>
      </c>
      <c r="I70" s="13" t="e">
        <f>IF(ISBLANK(input_cluster_az1_host14_mgmt_ip),"Value Missing",input_cluster_az1_host14_mgmt_ip)</f>
        <v>#REF!</v>
      </c>
      <c r="J70" s="7"/>
      <c r="K70" s="76" t="s">
        <v>7480</v>
      </c>
      <c r="L70" s="76"/>
      <c r="M70" s="7"/>
      <c r="N70" s="30" t="s">
        <v>7303</v>
      </c>
      <c r="O70" s="13" t="e">
        <f>IF(ISBLANK(input_wld_vpc_ext_ip_blocks),"Value Missing",input_wld_vpc_ext_ip_blocks)</f>
        <v>#REF!</v>
      </c>
      <c r="P70" s="7"/>
      <c r="Q70" s="39" t="s">
        <v>7421</v>
      </c>
      <c r="R70" s="13" t="str">
        <f>(CONCATENATE('Value Reference Tables'!R63,".",(IF(ISBLANK(Arkham!C$11),"Value Missing",Arkham!C$11))))</f>
        <v>.Value Missing</v>
      </c>
      <c r="S70" s="7"/>
      <c r="T70" s="30" t="s">
        <v>7481</v>
      </c>
      <c r="U70" s="13" t="str">
        <f>IF(ISBLANK(input_mgmt_srm_root_password),"Value Missing",input_mgmt_srm_root_password)</f>
        <v>Value Missing</v>
      </c>
      <c r="V70" s="9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9.5" customHeight="1">
      <c r="A71" s="7"/>
      <c r="B71" s="30" t="s">
        <v>7381</v>
      </c>
      <c r="C71" s="13" t="e">
        <f>IF(ISBLANK(input_flt_vidb_vip_fqdn),"Value Missing",input_flt_vidb_vip_fqdn)</f>
        <v>#REF!</v>
      </c>
      <c r="D71" s="7"/>
      <c r="E71" s="52" t="s">
        <v>6780</v>
      </c>
      <c r="F71" s="52" t="s">
        <v>7376</v>
      </c>
      <c r="G71" s="7"/>
      <c r="H71" s="39" t="s">
        <v>7482</v>
      </c>
      <c r="I71" s="13" t="e">
        <f>IF(ISBLANK(input_cluster_az1_host15_mgmt_ip),"Value Missing",input_cluster_az1_host15_mgmt_ip)</f>
        <v>#REF!</v>
      </c>
      <c r="J71" s="7"/>
      <c r="K71" s="12" t="s">
        <v>6780</v>
      </c>
      <c r="L71" s="79" t="s">
        <v>6943</v>
      </c>
      <c r="M71" s="7"/>
      <c r="N71" s="30" t="s">
        <v>7309</v>
      </c>
      <c r="O71" s="13" t="e">
        <f>IF(ISBLANK(input_wld_vpc_transit_gateway_ip_blocks),"Value Missing",input_wld_vpc_transit_gateway_ip_blocks)</f>
        <v>#REF!</v>
      </c>
      <c r="P71" s="7"/>
      <c r="Q71" s="39" t="s">
        <v>7426</v>
      </c>
      <c r="R71" s="13" t="str">
        <f>(CONCATENATE('Value Reference Tables'!R64,".",(IF(ISBLANK(Arkham!C$11),"Value Missing",Arkham!C$11))))</f>
        <v>.Value Missing</v>
      </c>
      <c r="S71" s="7"/>
      <c r="T71" s="30" t="s">
        <v>7483</v>
      </c>
      <c r="U71" s="13" t="str">
        <f>IF(ISBLANK(input_mgmt_srm_admin_password),"Value Missing",input_mgmt_srm_admin_password)</f>
        <v>Value Missing</v>
      </c>
      <c r="V71" s="9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9.5" customHeight="1">
      <c r="A72" s="7"/>
      <c r="B72" s="60" t="s">
        <v>7386</v>
      </c>
      <c r="C72" s="13" t="e">
        <f>IF(ISBLANK(input_flt_lc_fqdn),"Value Missing",input_flt_lc_fqdn)</f>
        <v>#REF!</v>
      </c>
      <c r="D72" s="7"/>
      <c r="E72" s="30" t="s">
        <v>7484</v>
      </c>
      <c r="F72" s="13" t="e">
        <f>IF(ISBLANK(wld_cl01_vds_profile_chosen),"Value Missing",wld_cl01_vds_profile_chosen)</f>
        <v>#REF!</v>
      </c>
      <c r="G72" s="7"/>
      <c r="H72" s="39" t="s">
        <v>7485</v>
      </c>
      <c r="I72" s="13" t="e">
        <f>IF(ISBLANK(input_cluster_az1_host16_mgmt_ip),"Value Missing",input_cluster_az1_host16_mgmt_ip)</f>
        <v>#REF!</v>
      </c>
      <c r="J72" s="7"/>
      <c r="K72" s="30" t="s">
        <v>7486</v>
      </c>
      <c r="L72" s="13" t="str">
        <f>IF(ISBLANK('Active Directory Inputs'!E8),"Value Missing",'Active Directory Inputs'!E8)</f>
        <v>Value Missing</v>
      </c>
      <c r="M72" s="7"/>
      <c r="N72" s="30" t="s">
        <v>7291</v>
      </c>
      <c r="O72" s="13" t="e">
        <f t="array" ref="O72">IF(ISBLANK(input_wld_avilb_cluster_name),"Value Missing",input_wld_avilb_cluster_name)</f>
        <v>#REF!</v>
      </c>
      <c r="P72" s="7"/>
      <c r="Q72" s="27"/>
      <c r="R72" s="27"/>
      <c r="S72" s="7"/>
      <c r="T72" s="30" t="s">
        <v>7487</v>
      </c>
      <c r="U72" s="13" t="str">
        <f>IF(ISBLANK(input_mgmt_srm_database_password),"Value Missing",input_mgmt_srm_database_password)</f>
        <v>Value Missing</v>
      </c>
      <c r="V72" s="9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9.5" customHeight="1">
      <c r="A73" s="7"/>
      <c r="B73" s="60" t="s">
        <v>7390</v>
      </c>
      <c r="C73" s="13" t="e">
        <f>IF(ISBLANK(input_flt_sr_fqdn),"Value Missing",input_flt_sr_fqdn)</f>
        <v>#REF!</v>
      </c>
      <c r="D73" s="7"/>
      <c r="E73" s="52" t="s">
        <v>7488</v>
      </c>
      <c r="F73" s="52" t="s">
        <v>6943</v>
      </c>
      <c r="G73" s="7"/>
      <c r="H73" s="39" t="s">
        <v>6965</v>
      </c>
      <c r="I73" s="13" t="e">
        <f>IF(ISBLANK(input_cluster_az1_pool_name),"Value Missing",input_cluster_az1_pool_name)</f>
        <v>#REF!</v>
      </c>
      <c r="J73" s="7"/>
      <c r="K73" s="30" t="s">
        <v>7489</v>
      </c>
      <c r="L73" s="13" t="str">
        <f>IF(ISBLANK('Active Directory Inputs'!E9),"Value Missing",'Active Directory Inputs'!E9)</f>
        <v>Value Missing</v>
      </c>
      <c r="M73" s="7"/>
      <c r="N73" s="30" t="s">
        <v>7490</v>
      </c>
      <c r="O73" s="13" t="e">
        <f>IF(ISBLANK(input_wld_avilb_cluster_version),"Value Missing",input_wld_avilb_cluster_version)</f>
        <v>#REF!</v>
      </c>
      <c r="P73" s="7"/>
      <c r="Q73" s="212" t="s">
        <v>7491</v>
      </c>
      <c r="R73" s="181"/>
      <c r="S73" s="7"/>
      <c r="T73" s="30" t="s">
        <v>7492</v>
      </c>
      <c r="U73" s="13" t="str">
        <f>IF(ISBLANK(input_mgmt_srm_site_name),"Value Missing",input_mgmt_srm_site_name)</f>
        <v>Value Missing</v>
      </c>
      <c r="V73" s="9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9.5" customHeight="1">
      <c r="A74" s="7"/>
      <c r="B74" s="60" t="s">
        <v>7395</v>
      </c>
      <c r="C74" s="13" t="e">
        <f>IF(ISBLANK(input_flt_ic_fqdn),"Value Missing",input_flt_ic_fqdn)</f>
        <v>#REF!</v>
      </c>
      <c r="D74" s="7"/>
      <c r="E74" s="30" t="s">
        <v>7493</v>
      </c>
      <c r="F74" s="13" t="e">
        <f>IF(ISBLANK(input_wld_cl01_vds01_name),"Value Missing",input_wld_cl01_vds01_name)</f>
        <v>#REF!</v>
      </c>
      <c r="G74" s="7"/>
      <c r="H74" s="52" t="s">
        <v>7494</v>
      </c>
      <c r="I74" s="52"/>
      <c r="J74" s="7"/>
      <c r="K74" s="7"/>
      <c r="L74" s="7"/>
      <c r="M74" s="7"/>
      <c r="N74" s="30" t="s">
        <v>7219</v>
      </c>
      <c r="O74" s="13" t="e">
        <f>IF(ISBLANK(input_wld_nsxt_global_mgr_vmca_signed_thumbprint),"Value Missing",input_wld_nsxt_global_mgr_vmca_signed_thumbprint)</f>
        <v>#REF!</v>
      </c>
      <c r="P74" s="7"/>
      <c r="Q74" s="52" t="s">
        <v>6780</v>
      </c>
      <c r="R74" s="52" t="s">
        <v>6943</v>
      </c>
      <c r="S74" s="7"/>
      <c r="T74" s="30" t="s">
        <v>7495</v>
      </c>
      <c r="U74" s="13" t="str">
        <f>IF(ISBLANK(input_mgmt_srm_admin_email),"Value Missing",input_mgmt_srm_admin_email)</f>
        <v>Value Missing</v>
      </c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9.5" customHeight="1">
      <c r="A75" s="7"/>
      <c r="B75" s="60" t="s">
        <v>7496</v>
      </c>
      <c r="C75" s="7"/>
      <c r="D75" s="7"/>
      <c r="E75" s="109" t="s">
        <v>7497</v>
      </c>
      <c r="F75" s="13" t="e">
        <f>IF(ISBLANK(input_wld_cl01_vds01_pnics),"Value Missing",input_wld_cl01_vds01_pnics)</f>
        <v>#REF!</v>
      </c>
      <c r="G75" s="7"/>
      <c r="H75" s="39" t="s">
        <v>7424</v>
      </c>
      <c r="I75" s="13" t="e">
        <f>IF(ISBLANK(input_cluster_az1_host1_fqdn),"Value Missing",input_cluster_az1_host1_fqdn)</f>
        <v>#REF!</v>
      </c>
      <c r="J75" s="7"/>
      <c r="K75" s="76" t="s">
        <v>7498</v>
      </c>
      <c r="L75" s="76"/>
      <c r="M75" s="7"/>
      <c r="N75" s="30" t="s">
        <v>7225</v>
      </c>
      <c r="O75" s="13" t="e">
        <f>IF(ISBLANK(input_wld_nsxt_global_mgr_cluster_id),"Value Missing",input_wld_nsxt_global_mgr_cluster_id)</f>
        <v>#REF!</v>
      </c>
      <c r="P75" s="7"/>
      <c r="Q75" s="39" t="s">
        <v>7499</v>
      </c>
      <c r="R75" s="13" t="e">
        <f>IF(ISBLANK(input_xreg_vrops_virtual_ip),"Value Missing",input_xreg_vrops_virtual_ip)</f>
        <v>#REF!</v>
      </c>
      <c r="S75" s="7"/>
      <c r="T75" s="30" t="s">
        <v>7500</v>
      </c>
      <c r="U75" s="13" t="str">
        <f>IF(ISBLANK(input_mgmt_srm_p12_password),"Value Missing",input_mgmt_srm_p12_password)</f>
        <v>Value Missing</v>
      </c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9.5" customHeight="1">
      <c r="A76" s="7"/>
      <c r="B76" s="7"/>
      <c r="C76" s="7"/>
      <c r="D76" s="7"/>
      <c r="E76" s="30" t="s">
        <v>7501</v>
      </c>
      <c r="F76" s="13" t="e">
        <f>IF(ISBLANK(input_wld_cl01_vds01_uplink_count),"Value Missing",input_wld_cl01_vds01_uplink_count)</f>
        <v>#REF!</v>
      </c>
      <c r="G76" s="7"/>
      <c r="H76" s="39" t="s">
        <v>7428</v>
      </c>
      <c r="I76" s="13" t="e">
        <f>IF(ISBLANK(input_cluster_az1_host2_fqdn),"Value Missing",input_cluster_az1_host2_fqdn)</f>
        <v>#REF!</v>
      </c>
      <c r="J76" s="7"/>
      <c r="K76" s="12" t="s">
        <v>6780</v>
      </c>
      <c r="L76" s="79" t="s">
        <v>6943</v>
      </c>
      <c r="M76" s="7"/>
      <c r="N76" s="30" t="s">
        <v>7230</v>
      </c>
      <c r="O76" s="13" t="e">
        <v>#REF!</v>
      </c>
      <c r="P76" s="7"/>
      <c r="Q76" s="39" t="s">
        <v>7502</v>
      </c>
      <c r="R76" s="13" t="e">
        <f>IF(ISBLANK(input_xreg_vrops_nodea_ip),"Value Missing",input_xreg_vrops_nodea_ip)</f>
        <v>#REF!</v>
      </c>
      <c r="S76" s="7"/>
      <c r="T76" s="30" t="s">
        <v>7503</v>
      </c>
      <c r="U76" s="13" t="e">
        <f>IF(ISBLANK(input_mgmt_srm_vm_size),"Value Missing",input_mgmt_srm_vm_size)</f>
        <v>#REF!</v>
      </c>
      <c r="V76" s="9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9.5" customHeight="1">
      <c r="A77" s="7"/>
      <c r="B77" s="7"/>
      <c r="C77" s="7"/>
      <c r="D77" s="7"/>
      <c r="E77" s="30" t="s">
        <v>7504</v>
      </c>
      <c r="F77" s="13" t="e">
        <f t="array" ref="F77">IF(ISBLANK(input_wld_cl01_vds01_mtu),"Value Missing",input_wld_cl01_vds01_mtu)</f>
        <v>#REF!</v>
      </c>
      <c r="G77" s="7"/>
      <c r="H77" s="39" t="s">
        <v>7433</v>
      </c>
      <c r="I77" s="13" t="e">
        <f>IF(ISBLANK(input_cluster_az1_host3_fqdn),"Value Missing",input_cluster_az1_host3_fqdn)</f>
        <v>#REF!</v>
      </c>
      <c r="J77" s="7"/>
      <c r="K77" s="30" t="s">
        <v>7486</v>
      </c>
      <c r="L77" s="13" t="str">
        <f>IF(ISBLANK('Active Directory Inputs'!G8),"Value Missing",'Active Directory Inputs'!G8)</f>
        <v>Value Missing</v>
      </c>
      <c r="M77" s="7"/>
      <c r="N77" s="30" t="s">
        <v>7236</v>
      </c>
      <c r="O77" s="13" t="e">
        <v>#REF!</v>
      </c>
      <c r="P77" s="7"/>
      <c r="Q77" s="39" t="s">
        <v>7505</v>
      </c>
      <c r="R77" s="13" t="e">
        <f>IF(ISBLANK(input_xreg_vrops_nodeb_ip),"Value Missing",input_xreg_vrops_nodeb_ip)</f>
        <v>#REF!</v>
      </c>
      <c r="S77" s="7"/>
      <c r="T77" s="30" t="s">
        <v>7506</v>
      </c>
      <c r="U77" s="13" t="str">
        <f>IF(ISBLANK(input_mgmt_srm_rpo),"Value Missing",input_mgmt_srm_rpo)</f>
        <v>Value Missing</v>
      </c>
      <c r="V77" s="9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9.5" customHeight="1">
      <c r="A78" s="7"/>
      <c r="B78" s="97" t="s">
        <v>7507</v>
      </c>
      <c r="C78" s="98"/>
      <c r="D78" s="7"/>
      <c r="E78" s="30" t="s">
        <v>7508</v>
      </c>
      <c r="F78" s="13" t="e">
        <f>IF(wld_cl01_vds_profile_chosen&lt;&gt;"Custom","Route Based on Physicial Nic Load","Value Missing")</f>
        <v>#REF!</v>
      </c>
      <c r="G78" s="7"/>
      <c r="H78" s="39" t="s">
        <v>7439</v>
      </c>
      <c r="I78" s="13" t="e">
        <f>IF(ISBLANK(input_cluster_az1_host4_fqdn),"Value Missing",input_cluster_az1_host4_fqdn)</f>
        <v>#REF!</v>
      </c>
      <c r="J78" s="7"/>
      <c r="K78" s="30" t="s">
        <v>7489</v>
      </c>
      <c r="L78" s="13" t="str">
        <f>IF(ISBLANK('Active Directory Inputs'!G9),"Value Missing",'Active Directory Inputs'!G9)</f>
        <v>Value Missing</v>
      </c>
      <c r="M78" s="7"/>
      <c r="N78" s="30" t="s">
        <v>7509</v>
      </c>
      <c r="O78" s="13" t="e">
        <f>IF(ISBLANK(input_wld_az1_rtep_ip_pool_name),"Value Missing",input_wld_az1_rtep_ip_pool_name)</f>
        <v>#REF!</v>
      </c>
      <c r="P78" s="7"/>
      <c r="Q78" s="39" t="s">
        <v>7510</v>
      </c>
      <c r="R78" s="13" t="e">
        <f>IF(ISBLANK(input_xreg_vrops_nodec_ip),"Value Missing",input_xreg_vrops_nodec_ip)</f>
        <v>#REF!</v>
      </c>
      <c r="S78" s="7"/>
      <c r="T78" s="30" t="s">
        <v>7511</v>
      </c>
      <c r="U78" s="13" t="str">
        <f>IF(ISBLANK(input_mgmt_srm_instances_per_day),"Value Missing",input_mgmt_srm_instances_per_day)</f>
        <v>Value Missing</v>
      </c>
      <c r="V78" s="9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9.5" customHeight="1">
      <c r="A79" s="7"/>
      <c r="B79" s="52" t="s">
        <v>6780</v>
      </c>
      <c r="C79" s="52" t="s">
        <v>6943</v>
      </c>
      <c r="D79" s="7"/>
      <c r="E79" s="30" t="s">
        <v>7512</v>
      </c>
      <c r="F79" s="13" t="e">
        <f>IF(wld_cl01_vds_profile_chosen="Default",CONCATENATE("Management ","vMotion ",IF(wld_principal_storage_chosen="NFSv3","NFS ",IF(wld_principal_storage_chosen="VMFS on Fibre Channel (FC)","","vSAN ")),"NSX-Overlay"),
IF(wld_cl01_vds_profile_chosen="Storage Traffic Separation","Management, vMotion, NSX-Overlay",
IF(wld_cl01_vds_profile_chosen="NSX Traffic Separation",CONCATENATE("Management ","vMotion ",IF(wld_principal_storage_chosen="NFSv3","NFS",IF(wld_principal_storage_chosen="VMFS on Fibre Channel (FC)","","vSAN"))),
IF(wld_cl01_vds_profile_chosen="Storage Traffic and NSX Traffic Separation","Management, vMotion",
IF(wld_cl01_vds_profile_chosen="vSAN Max Storage Traffic Separation","Management, vMotion, vSAN Storage Client, NSX-Overlay",
IF(wld_cl01_vds_profile_chosen="vSAN Max Storage Traffic and NSX Traffic Separation","Management, vMotion, vSAN Storage Client","Value Missing"))))))</f>
        <v>#REF!</v>
      </c>
      <c r="G79" s="7"/>
      <c r="H79" s="39" t="s">
        <v>7443</v>
      </c>
      <c r="I79" s="13" t="e">
        <f>IF(ISBLANK(input_cluster_az1_host5_fqdn),"Value Missing",input_cluster_az1_host5_fqdn)</f>
        <v>#REF!</v>
      </c>
      <c r="J79" s="7"/>
      <c r="K79" s="7"/>
      <c r="L79" s="7"/>
      <c r="M79" s="7"/>
      <c r="N79" s="30" t="s">
        <v>7243</v>
      </c>
      <c r="O79" s="13" t="e">
        <f>IF(ISBLANK(input_wld_nsxt_federation_global_manager_name),"Value Missing",input_wld_nsxt_federation_global_manager_name)</f>
        <v>#REF!</v>
      </c>
      <c r="P79" s="7"/>
      <c r="Q79" s="39" t="s">
        <v>7513</v>
      </c>
      <c r="R79" s="13" t="e">
        <f>IF(ISBLANK(input_xreg_vrops_collector_ip),"Value Missing",input_xreg_vrops_collector_ip)</f>
        <v>#REF!</v>
      </c>
      <c r="S79" s="7"/>
      <c r="T79" s="30" t="s">
        <v>7514</v>
      </c>
      <c r="U79" s="13" t="str">
        <f>IF(ISBLANK(input_mgmt_srm_days),"Value Missing",input_mgmt_srm_days)</f>
        <v>Value Missing</v>
      </c>
      <c r="V79" s="9"/>
      <c r="W79" s="7"/>
      <c r="X79" s="7"/>
      <c r="Y79" s="7"/>
      <c r="Z79" s="27"/>
      <c r="AA79" s="27"/>
      <c r="AB79" s="7"/>
      <c r="AC79" s="7"/>
      <c r="AD79" s="7"/>
      <c r="AE79" s="7"/>
      <c r="AF79" s="7"/>
    </row>
    <row r="80" spans="1:32" ht="19.5" customHeight="1">
      <c r="A80" s="7"/>
      <c r="B80" s="80" t="s">
        <v>7187</v>
      </c>
      <c r="C80" s="13" t="e">
        <f>(CONCATENATE('Value Reference Tables'!C201,".",(IF(ISBLANK(Arkham!C$11),"Value Missing",Arkham!C$11))))</f>
        <v>#REF!</v>
      </c>
      <c r="D80" s="7"/>
      <c r="E80" s="30" t="s">
        <v>7515</v>
      </c>
      <c r="F80" s="13" t="e">
        <f>IF(ISBLANK(input_wld_cl01_vds01_lag_name),"Value Missing",input_wld_cl01_vds01_lag_name)</f>
        <v>#REF!</v>
      </c>
      <c r="G80" s="7"/>
      <c r="H80" s="39" t="s">
        <v>7447</v>
      </c>
      <c r="I80" s="13" t="e">
        <f>IF(ISBLANK(input_cluster_az1_host6_fqdn),"Value Missing",input_cluster_az1_host6_fqdn)</f>
        <v>#REF!</v>
      </c>
      <c r="J80" s="7"/>
      <c r="K80" s="76" t="s">
        <v>7516</v>
      </c>
      <c r="L80" s="76"/>
      <c r="M80" s="7"/>
      <c r="N80" s="30" t="s">
        <v>7249</v>
      </c>
      <c r="O80" s="13" t="e">
        <v>#REF!</v>
      </c>
      <c r="P80" s="7"/>
      <c r="Q80" s="60"/>
      <c r="R80" s="7"/>
      <c r="S80" s="7"/>
      <c r="T80" s="30" t="s">
        <v>7517</v>
      </c>
      <c r="U80" s="13" t="str">
        <f>IF(ISBLANK(input_mgmt_srm_vrslcm_wsa_pg),"Value Missing",input_mgmt_srm_vrslcm_wsa_pg)</f>
        <v>Value Missing</v>
      </c>
      <c r="V80" s="9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9.5" customHeight="1">
      <c r="A81" s="7"/>
      <c r="B81" s="80" t="s">
        <v>7449</v>
      </c>
      <c r="C81" s="13" t="e">
        <f>IF(ISBLANK(input_mgmt_witness_fqdn),"Value Missing",input_mgmt_witness_fqdn)</f>
        <v>#REF!</v>
      </c>
      <c r="D81" s="7"/>
      <c r="E81" s="52" t="s">
        <v>7518</v>
      </c>
      <c r="F81" s="52" t="s">
        <v>6943</v>
      </c>
      <c r="G81" s="7"/>
      <c r="H81" s="39" t="s">
        <v>7450</v>
      </c>
      <c r="I81" s="13" t="e">
        <f>IF(ISBLANK(input_cluster_az1_host7_fqdn),"Value Missing",input_cluster_az1_host7_fqdn)</f>
        <v>#REF!</v>
      </c>
      <c r="J81" s="7"/>
      <c r="K81" s="12" t="s">
        <v>6780</v>
      </c>
      <c r="L81" s="79" t="s">
        <v>6943</v>
      </c>
      <c r="M81" s="7"/>
      <c r="N81" s="30" t="s">
        <v>7519</v>
      </c>
      <c r="O81" s="13" t="e">
        <v>#REF!</v>
      </c>
      <c r="P81" s="7"/>
      <c r="Q81" s="212" t="s">
        <v>7520</v>
      </c>
      <c r="R81" s="181"/>
      <c r="S81" s="7"/>
      <c r="T81" s="30" t="s">
        <v>7521</v>
      </c>
      <c r="U81" s="13" t="str">
        <f>IF(ISBLANK(input_mgmt_srm_vrslcm_wsa_rp),"Value Missing",input_mgmt_srm_vrslcm_wsa_rp)</f>
        <v>Value Missing</v>
      </c>
      <c r="V81" s="9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9.5" customHeight="1">
      <c r="A82" s="7"/>
      <c r="B82" s="7"/>
      <c r="C82" s="7"/>
      <c r="D82" s="7"/>
      <c r="E82" s="30" t="s">
        <v>7522</v>
      </c>
      <c r="F82" s="13" t="e">
        <f>IF(ISBLANK(input_wld_cl01_vds02_name),"Value Missing",input_wld_cl01_vds02_name)</f>
        <v>#REF!</v>
      </c>
      <c r="G82" s="7"/>
      <c r="H82" s="39" t="s">
        <v>7453</v>
      </c>
      <c r="I82" s="13" t="e">
        <f>IF(ISBLANK(input_cluster_az1_host8_fqdn),"Value Missing",input_cluster_az1_host8_fqdn)</f>
        <v>#REF!</v>
      </c>
      <c r="J82" s="7"/>
      <c r="K82" s="30" t="s">
        <v>7486</v>
      </c>
      <c r="L82" s="13" t="str">
        <f>IF(ISBLANK('Active Directory Inputs'!E10),"Value Missing",'Active Directory Inputs'!E10)</f>
        <v>Value Missing</v>
      </c>
      <c r="M82" s="7"/>
      <c r="N82" s="30" t="s">
        <v>7523</v>
      </c>
      <c r="O82" s="13" t="e">
        <v>#REF!</v>
      </c>
      <c r="P82" s="7"/>
      <c r="Q82" s="52" t="s">
        <v>6780</v>
      </c>
      <c r="R82" s="52" t="s">
        <v>6943</v>
      </c>
      <c r="S82" s="7"/>
      <c r="T82" s="30" t="s">
        <v>7524</v>
      </c>
      <c r="U82" s="13" t="str">
        <f>IF(ISBLANK(input_mgmt_srm_vrops_pg),"Value Missing",input_mgmt_srm_vrops_pg)</f>
        <v>Value Missing</v>
      </c>
      <c r="V82" s="9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9.5" customHeight="1">
      <c r="A83" s="7"/>
      <c r="B83" s="212" t="s">
        <v>7525</v>
      </c>
      <c r="C83" s="181"/>
      <c r="D83" s="7"/>
      <c r="E83" s="109" t="s">
        <v>7526</v>
      </c>
      <c r="F83" s="13" t="e">
        <f>IF(input_wld_cl01_vds02_pnics="","Value Missing",input_wld_cl01_vds02_pnics)</f>
        <v>#REF!</v>
      </c>
      <c r="G83" s="7"/>
      <c r="H83" s="39" t="s">
        <v>7458</v>
      </c>
      <c r="I83" s="13" t="e">
        <f>IF(ISBLANK(input_cluster_az1_host9_fqdn),"Value Missing",input_cluster_az1_host9_fqdn)</f>
        <v>#REF!</v>
      </c>
      <c r="J83" s="7"/>
      <c r="K83" s="30" t="s">
        <v>7489</v>
      </c>
      <c r="L83" s="13" t="str">
        <f>IF(ISBLANK('Active Directory Inputs'!E11),"Value Missing",'Active Directory Inputs'!E11)</f>
        <v>Value Missing</v>
      </c>
      <c r="M83" s="7"/>
      <c r="N83" s="30" t="s">
        <v>7270</v>
      </c>
      <c r="O83" s="13" t="e">
        <v>#REF!</v>
      </c>
      <c r="P83" s="7"/>
      <c r="Q83" s="39" t="s">
        <v>7499</v>
      </c>
      <c r="R83" s="13" t="e">
        <f>IF(xreg_vrops_virtual_fqdn="Value Missing",xreg_vrops_virtual_fqdn,LEFT(xreg_vrops_virtual_fqdn,FIND(".",xreg_vrops_virtual_fqdn)-1))</f>
        <v>#REF!</v>
      </c>
      <c r="S83" s="7"/>
      <c r="T83" s="30" t="s">
        <v>7527</v>
      </c>
      <c r="U83" s="13" t="str">
        <f>IF(ISBLANK(input_mgmt_srm_vrops_rp),"Value Missing",input_mgmt_srm_vrops_rp)</f>
        <v>Value Missing</v>
      </c>
      <c r="V83" s="9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9.5" customHeight="1">
      <c r="A84" s="7"/>
      <c r="B84" s="52" t="s">
        <v>6780</v>
      </c>
      <c r="C84" s="52" t="s">
        <v>6943</v>
      </c>
      <c r="D84" s="7"/>
      <c r="E84" s="30" t="s">
        <v>7528</v>
      </c>
      <c r="F84" s="13" t="e">
        <f t="array" ref="F84">IF(ISBLANK(input_wld_cl01_vds02_uplink_count),"Value Missing",input_wld_cl01_vds02_uplink_count)</f>
        <v>#REF!</v>
      </c>
      <c r="G84" s="7"/>
      <c r="H84" s="39" t="s">
        <v>7461</v>
      </c>
      <c r="I84" s="13" t="e">
        <f>IF(ISBLANK(input_cluster_az1_host10_fqdn),"Value Missing",input_cluster_az1_host10_fqdn)</f>
        <v>#REF!</v>
      </c>
      <c r="J84" s="7"/>
      <c r="K84" s="7"/>
      <c r="L84" s="7"/>
      <c r="M84" s="7"/>
      <c r="N84" s="30" t="s">
        <v>7277</v>
      </c>
      <c r="O84" s="13" t="e">
        <v>#REF!</v>
      </c>
      <c r="P84" s="7"/>
      <c r="Q84" s="39" t="s">
        <v>7502</v>
      </c>
      <c r="R84" s="13" t="e">
        <f>IF(xreg_vrops_nodea_fqdn="Value Missing",xreg_vrops_nodea_fqdn,LEFT(xreg_vrops_nodea_fqdn,FIND(".",xreg_vrops_nodea_fqdn)-1))</f>
        <v>#REF!</v>
      </c>
      <c r="S84" s="7"/>
      <c r="T84" s="30" t="s">
        <v>7529</v>
      </c>
      <c r="U84" s="13" t="str">
        <f>IF(ISBLANK(input_mgmt_srm_vra_pg),"Value Missing",input_mgmt_srm_vra_pg)</f>
        <v>Value Missing</v>
      </c>
      <c r="V84" s="9"/>
      <c r="W84" s="7"/>
      <c r="X84" s="7"/>
      <c r="Y84" s="7"/>
      <c r="Z84" s="27"/>
      <c r="AA84" s="27"/>
      <c r="AB84" s="7"/>
      <c r="AC84" s="7"/>
      <c r="AD84" s="7"/>
      <c r="AE84" s="7"/>
      <c r="AF84" s="7"/>
    </row>
    <row r="85" spans="1:32" ht="19.5" customHeight="1">
      <c r="A85" s="7"/>
      <c r="B85" s="30" t="s">
        <v>7530</v>
      </c>
      <c r="C85" s="13" t="e">
        <f>IF(ISBLANK(input_mgmt_datacenter),"Value Missing",input_mgmt_datacenter)</f>
        <v>#REF!</v>
      </c>
      <c r="D85" s="7"/>
      <c r="E85" s="30" t="s">
        <v>7531</v>
      </c>
      <c r="F85" s="13" t="e">
        <f>IF(input_wld_cl01_vds02_mtu="","Value Missing",input_wld_cl01_vds02_mtu)</f>
        <v>#REF!</v>
      </c>
      <c r="G85" s="7"/>
      <c r="H85" s="39" t="s">
        <v>7466</v>
      </c>
      <c r="I85" s="13" t="e">
        <f>IF(ISBLANK(input_cluster_az1_host11_fqdn),"Value Missing",input_cluster_az1_host11_fqdn)</f>
        <v>#REF!</v>
      </c>
      <c r="J85" s="7"/>
      <c r="K85" s="76" t="s">
        <v>7532</v>
      </c>
      <c r="L85" s="76"/>
      <c r="M85" s="7"/>
      <c r="N85" s="30" t="s">
        <v>7283</v>
      </c>
      <c r="O85" s="13" t="e">
        <f>IF(ISBLANK(input_wld_existing_cross_instance_t0_name),"Value Missing",input_wld_existing_cross_instance_t0_name)</f>
        <v>#REF!</v>
      </c>
      <c r="P85" s="7"/>
      <c r="Q85" s="39" t="s">
        <v>7533</v>
      </c>
      <c r="R85" s="13" t="e">
        <f>IF(xreg_vrops_nodeb_fqdn="Value Missing",xreg_vrops_nodeb_fqdn,LEFT(xreg_vrops_nodeb_fqdn,FIND(".",xreg_vrops_nodeb_fqdn)-1))</f>
        <v>#REF!</v>
      </c>
      <c r="S85" s="7"/>
      <c r="T85" s="30" t="s">
        <v>7534</v>
      </c>
      <c r="U85" s="13" t="str">
        <f>IF(ISBLANK(input_mgmt_srm_vra_rp),"Value Missing",input_mgmt_srm_vra_rp)</f>
        <v>Value Missing</v>
      </c>
      <c r="V85" s="9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9.5" customHeight="1">
      <c r="A86" s="7"/>
      <c r="B86" s="30" t="s">
        <v>7535</v>
      </c>
      <c r="C86" s="13" t="e">
        <f>IF(ISBLANK(input_mgmt_cl01_cluster),"Value Missing",input_mgmt_cl01_cluster)</f>
        <v>#REF!</v>
      </c>
      <c r="D86" s="7"/>
      <c r="E86" s="30" t="s">
        <v>7536</v>
      </c>
      <c r="F86" s="13" t="e">
        <f>IF(wld_cl01_vds_profile_chosen="Default","Value Missing",IF(wld_cl01_vds_profile_chosen&lt;&gt;"Custom","Route Based on Physical Nic Load","Value Missing"))</f>
        <v>#REF!</v>
      </c>
      <c r="G86" s="7"/>
      <c r="H86" s="39" t="s">
        <v>7471</v>
      </c>
      <c r="I86" s="13" t="e">
        <f>IF(ISBLANK(input_cluster_az1_host12_fqdn),"Value Missing",input_cluster_az1_host12_fqdn)</f>
        <v>#REF!</v>
      </c>
      <c r="J86" s="7"/>
      <c r="K86" s="12" t="s">
        <v>6780</v>
      </c>
      <c r="L86" s="79" t="s">
        <v>6943</v>
      </c>
      <c r="M86" s="7"/>
      <c r="N86" s="30" t="s">
        <v>6969</v>
      </c>
      <c r="O86" s="13"/>
      <c r="P86" s="7"/>
      <c r="Q86" s="39" t="s">
        <v>7537</v>
      </c>
      <c r="R86" s="13" t="e">
        <f>IF(xreg_vrops_nodec_fqdn="Value Missing",xreg_vrops_nodec_fqdn,LEFT(xreg_vrops_nodec_fqdn,FIND(".",xreg_vrops_nodec_fqdn)-1))</f>
        <v>#REF!</v>
      </c>
      <c r="S86" s="7"/>
      <c r="T86" s="30" t="s">
        <v>7538</v>
      </c>
      <c r="U86" s="13" t="str">
        <f>IF(ISBLANK(input_mgmt_srm_recovery_vcenter_fqdn),"Value Missing",input_mgmt_srm_recovery_vcenter_fqdn)</f>
        <v>Value Missing</v>
      </c>
      <c r="V86" s="9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9.5" customHeight="1">
      <c r="A87" s="7"/>
      <c r="B87" s="30" t="s">
        <v>7539</v>
      </c>
      <c r="C87" s="13" t="e">
        <v>#REF!</v>
      </c>
      <c r="D87" s="7"/>
      <c r="E87" s="30" t="s">
        <v>7540</v>
      </c>
      <c r="F87" s="13" t="e">
        <f>IF(wld_cl01_vds_profile_chosen="Default","Value Missing",
IF(wld_cl01_vds_profile_chosen="Storage Traffic Separation",IF(wld_principal_storage_chosen="NFSv3","NFS","vSAN"),
IF(wld_cl01_vds_profile_chosen="NSX Traffic Separation","NSX-Overlay",
IF(wld_cl01_vds_profile_chosen="Storage Traffic and NSX Traffic Separation",IF(wld_principal_storage_chosen="NFSv3","NFS","vSAN"),
IF(wld_cl01_vds_profile_chosen="Storage Traffic and NSX Traffic Separation","Management, vMotion",
IF(wld_cl01_vds_profile_chosen="vSAN Max Storage Traffic Separation","vSAN",
IF(wld_cl01_vds_profile_chosen="vSAN Max Storage Traffic and NSX Traffic Separation","vSAN","Value Missing")))))))</f>
        <v>#REF!</v>
      </c>
      <c r="G87" s="7"/>
      <c r="H87" s="39" t="s">
        <v>7475</v>
      </c>
      <c r="I87" s="13" t="e">
        <f>IF(ISBLANK(input_cluster_az1_host13_fqdn),"Value Missing",input_cluster_az1_host13_fqdn)</f>
        <v>#REF!</v>
      </c>
      <c r="J87" s="7"/>
      <c r="K87" s="30" t="s">
        <v>7486</v>
      </c>
      <c r="L87" s="13" t="str">
        <f>IF(ISBLANK('Active Directory Inputs'!G10),"Value Missing",'Active Directory Inputs'!G10)</f>
        <v>Value Missing</v>
      </c>
      <c r="M87" s="7"/>
      <c r="N87" s="30" t="s">
        <v>7530</v>
      </c>
      <c r="O87" s="13" t="e">
        <f>IF(ISBLANK(input_wld_datacenter),"Value Missing",input_wld_datacenter)</f>
        <v>#REF!</v>
      </c>
      <c r="P87" s="7"/>
      <c r="Q87" s="39" t="s">
        <v>7513</v>
      </c>
      <c r="R87" s="13" t="e">
        <f>IF(xreg_vrops_collector_fqdn="Value Missing",xreg_vrops_collector_fqdn,LEFT(xreg_vrops_collector_fqdn,FIND(".",xreg_vrops_collector_fqdn)-1))</f>
        <v>#REF!</v>
      </c>
      <c r="S87" s="7"/>
      <c r="T87" s="30" t="s">
        <v>7541</v>
      </c>
      <c r="U87" s="13" t="str">
        <f>IF(ISBLANK(input_mgmt_srm_recovery_vcenter_username),"Value Missing",input_mgmt_srm_recovery_vcenter_username)</f>
        <v>Value Missing</v>
      </c>
      <c r="V87" s="9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9.5" customHeight="1">
      <c r="A88" s="7"/>
      <c r="B88" s="30" t="s">
        <v>7542</v>
      </c>
      <c r="C88" s="13" t="e">
        <v>#REF!</v>
      </c>
      <c r="D88" s="7"/>
      <c r="E88" s="30" t="s">
        <v>7515</v>
      </c>
      <c r="F88" s="13" t="e">
        <f t="array" ref="F88">IF(ISBLANK(input_wld_cl01_vds02_lag_name),"Value Missing",input_wld_cl01_vds02_lag_name)</f>
        <v>#REF!</v>
      </c>
      <c r="G88" s="7"/>
      <c r="H88" s="39" t="s">
        <v>7479</v>
      </c>
      <c r="I88" s="13" t="e">
        <f>IF(ISBLANK(input_cluster_az1_host14_fqdn),"Value Missing",input_cluster_az1_host14_fqdn)</f>
        <v>#REF!</v>
      </c>
      <c r="J88" s="7"/>
      <c r="K88" s="30" t="s">
        <v>7489</v>
      </c>
      <c r="L88" s="13" t="str">
        <f>IF(ISBLANK('Active Directory Inputs'!G11),"Value Missing",'Active Directory Inputs'!G11)</f>
        <v>Value Missing</v>
      </c>
      <c r="M88" s="7"/>
      <c r="N88" s="30" t="s">
        <v>7543</v>
      </c>
      <c r="O88" s="13" t="str">
        <f>IF(ISBLANK('Private AI Ready Infrastructure'!D15),"Value Missing",'Private AI Ready Infrastructure'!D15)</f>
        <v>Value Missing</v>
      </c>
      <c r="P88" s="7"/>
      <c r="Q88" s="27"/>
      <c r="R88" s="27"/>
      <c r="S88" s="7"/>
      <c r="T88" s="30" t="s">
        <v>7544</v>
      </c>
      <c r="U88" s="13" t="str">
        <f>IF(ISBLANK(input_mgmt_srm_recovery_vcenter_password),"Value Missing",input_mgmt_srm_recovery_vcenter_password)</f>
        <v>Value Missing</v>
      </c>
      <c r="V88" s="9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9.5" customHeight="1">
      <c r="A89" s="7"/>
      <c r="B89" s="30" t="s">
        <v>7545</v>
      </c>
      <c r="C89" s="13" t="e">
        <v>#REF!</v>
      </c>
      <c r="D89" s="7"/>
      <c r="E89" s="52" t="s">
        <v>7546</v>
      </c>
      <c r="F89" s="52" t="s">
        <v>6943</v>
      </c>
      <c r="G89" s="7"/>
      <c r="H89" s="39" t="s">
        <v>7482</v>
      </c>
      <c r="I89" s="13" t="e">
        <f>IF(ISBLANK(input_cluster_az1_host15_fqdn),"Value Missing",input_cluster_az1_host15_fqdn)</f>
        <v>#REF!</v>
      </c>
      <c r="J89" s="7"/>
      <c r="K89" s="7"/>
      <c r="L89" s="7"/>
      <c r="M89" s="7"/>
      <c r="N89" s="30" t="s">
        <v>7547</v>
      </c>
      <c r="O89" s="13" t="e">
        <f>CONCATENATE(wld_sddc_domain,"-",wld_vc_hostname,"-",wld_cl01_cluster,"-vds01-management")</f>
        <v>#REF!</v>
      </c>
      <c r="P89" s="7"/>
      <c r="Q89" s="212" t="s">
        <v>7548</v>
      </c>
      <c r="R89" s="181"/>
      <c r="S89" s="7"/>
      <c r="T89" s="30" t="s">
        <v>7549</v>
      </c>
      <c r="U89" s="13" t="str">
        <f>IF(ISBLANK(input_mgmt_srm_recovery_sddc_manager_domain),"Value Missing",input_mgmt_srm_recovery_sddc_manager_domain)</f>
        <v>Value Missing</v>
      </c>
      <c r="V89" s="9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9.5" customHeight="1">
      <c r="A90" s="7"/>
      <c r="B90" s="30" t="s">
        <v>7550</v>
      </c>
      <c r="C90" s="13" t="e">
        <v>#REF!</v>
      </c>
      <c r="D90" s="7"/>
      <c r="E90" s="30" t="s">
        <v>7551</v>
      </c>
      <c r="F90" s="13" t="e">
        <f>IF(ISBLANK(input_wld_cl01_vds03_name),"Value Missing",input_wld_cl01_vds03_name)</f>
        <v>#REF!</v>
      </c>
      <c r="G90" s="7"/>
      <c r="H90" s="39" t="s">
        <v>7485</v>
      </c>
      <c r="I90" s="13" t="e">
        <f>IF(ISBLANK(input_cluster_az1_host16_fqdn),"Value Missing",input_cluster_az1_host16_fqdn)</f>
        <v>#REF!</v>
      </c>
      <c r="J90" s="7"/>
      <c r="K90" s="76" t="s">
        <v>7552</v>
      </c>
      <c r="L90" s="76"/>
      <c r="M90" s="7"/>
      <c r="N90" s="7"/>
      <c r="O90" s="7"/>
      <c r="P90" s="7"/>
      <c r="Q90" s="52" t="s">
        <v>6780</v>
      </c>
      <c r="R90" s="52" t="s">
        <v>6943</v>
      </c>
      <c r="S90" s="7"/>
      <c r="T90" s="30" t="s">
        <v>7553</v>
      </c>
      <c r="U90" s="13" t="str">
        <f>IF(ISBLANK(input_mgmt_srm_recovery_nsx_location),"Value Missing",input_mgmt_srm_recovery_nsx_location)</f>
        <v>Value Missing</v>
      </c>
      <c r="V90" s="9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9.5" customHeight="1">
      <c r="A91" s="7"/>
      <c r="B91" s="30" t="s">
        <v>7554</v>
      </c>
      <c r="C91" s="13" t="e">
        <v>#REF!</v>
      </c>
      <c r="D91" s="7"/>
      <c r="E91" s="30" t="s">
        <v>7555</v>
      </c>
      <c r="F91" s="13" t="e">
        <f>IF(input_wld_cl01_vds03_mtu="","Value Missing",input_wld_cl01_vds03_mtu)</f>
        <v>#REF!</v>
      </c>
      <c r="G91" s="7"/>
      <c r="H91" s="39" t="s">
        <v>7556</v>
      </c>
      <c r="I91" s="13" t="e">
        <f>cluster_principal_storage_chosen</f>
        <v>#REF!</v>
      </c>
      <c r="J91" s="7"/>
      <c r="K91" s="12" t="s">
        <v>6780</v>
      </c>
      <c r="L91" s="79" t="s">
        <v>6943</v>
      </c>
      <c r="M91" s="7"/>
      <c r="N91" s="214" t="s">
        <v>7557</v>
      </c>
      <c r="O91" s="196"/>
      <c r="P91" s="7"/>
      <c r="Q91" s="39" t="s">
        <v>7499</v>
      </c>
      <c r="R91" s="13" t="e">
        <f>IF(ISBLANK(input_xreg_vrops_virtual_fqdn),"Value Missing",input_xreg_vrops_virtual_fqdn)</f>
        <v>#REF!</v>
      </c>
      <c r="S91" s="7"/>
      <c r="T91" s="30" t="s">
        <v>7558</v>
      </c>
      <c r="U91" s="13" t="str">
        <f>IF(ISBLANK(input_mgmt_srm_recovery_nsx_ec_name),"Value Missing",input_mgmt_srm_recovery_nsx_ec_name)</f>
        <v>Value Missing</v>
      </c>
      <c r="V91" s="9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9.5" customHeight="1">
      <c r="A92" s="7"/>
      <c r="B92" s="30" t="s">
        <v>7559</v>
      </c>
      <c r="C92" s="13"/>
      <c r="D92" s="7"/>
      <c r="E92" s="30" t="s">
        <v>7560</v>
      </c>
      <c r="F92" s="13" t="e">
        <f>IF(input_wld_cl01_vds03_pnics="","Value Missing",input_wld_cl01_vds03_pnics)</f>
        <v>#REF!</v>
      </c>
      <c r="G92" s="7"/>
      <c r="H92" s="39" t="s">
        <v>7561</v>
      </c>
      <c r="I92" s="13" t="e">
        <f>IF(ISBLANK(input_cluster_esx_root_username),"Value Missing",input_cluster_esx_root_username)</f>
        <v>#REF!</v>
      </c>
      <c r="J92" s="7"/>
      <c r="K92" s="30" t="s">
        <v>7486</v>
      </c>
      <c r="L92" s="13"/>
      <c r="M92" s="7"/>
      <c r="N92" s="30" t="s">
        <v>6837</v>
      </c>
      <c r="O92" s="13" t="str">
        <f>IF(ISBLANK(input_vvs_dr_ntp1_server),"Value Missing",input_vvs_dr_ntp1_server)</f>
        <v>Value Missing</v>
      </c>
      <c r="P92" s="7"/>
      <c r="Q92" s="39" t="s">
        <v>7502</v>
      </c>
      <c r="R92" s="13" t="e">
        <f>IF(ISBLANK(input_xreg_vrops_nodea_fqdn),"Value Missing",input_xreg_vrops_nodea_fqdn)</f>
        <v>#REF!</v>
      </c>
      <c r="S92" s="7"/>
      <c r="T92" s="30" t="s">
        <v>7562</v>
      </c>
      <c r="U92" s="13" t="str">
        <f>IF(ISBLANK(input_mgmt_srm_recovery_cluster),"Value Missing",input_mgmt_srm_recovery_cluster)</f>
        <v>Value Missing</v>
      </c>
      <c r="V92" s="9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9.5" customHeight="1">
      <c r="A93" s="7"/>
      <c r="B93" s="13" t="s">
        <v>7563</v>
      </c>
      <c r="C93" s="13" t="e">
        <f>IF(ISBLANK(input_mgmt_sso_domain),"Value Missing",input_mgmt_sso_domain)</f>
        <v>#REF!</v>
      </c>
      <c r="D93" s="7"/>
      <c r="E93" s="30" t="s">
        <v>7564</v>
      </c>
      <c r="F93" s="13" t="e">
        <f t="array" ref="F93">IF(ISBLANK(input_wld_cl01_vds03_uplink_count),"Value Missing",input_wld_cl01_vds03_uplink_count)</f>
        <v>#REF!</v>
      </c>
      <c r="G93" s="7"/>
      <c r="H93" s="39" t="s">
        <v>6792</v>
      </c>
      <c r="I93" s="13" t="e">
        <f>IF(ISBLANK(input_cluster_esx_root_password),"Value Missing",input_cluster_esx_root_password)</f>
        <v>#REF!</v>
      </c>
      <c r="J93" s="7"/>
      <c r="K93" s="30" t="s">
        <v>7489</v>
      </c>
      <c r="L93" s="13"/>
      <c r="M93" s="7"/>
      <c r="N93" s="30" t="s">
        <v>7565</v>
      </c>
      <c r="O93" s="13" t="str">
        <f>IF(ISBLANK(input_vvs_dr_dns1_ip),"Value Missing",input_vvs_dr_dns1_ip)</f>
        <v>Value Missing</v>
      </c>
      <c r="P93" s="7"/>
      <c r="Q93" s="39" t="s">
        <v>7505</v>
      </c>
      <c r="R93" s="13" t="e">
        <f>IF(ISBLANK(input_xreg_vrops_nodeb_fqdn),"Value Missing",input_xreg_vrops_nodeb_fqdn)</f>
        <v>#REF!</v>
      </c>
      <c r="S93" s="7"/>
      <c r="T93" s="30" t="s">
        <v>7566</v>
      </c>
      <c r="U93" s="13" t="str">
        <f>IF(ISBLANK(input_mgmt_srm_recovery_datastore),"Value Missing",input_mgmt_srm_recovery_datastore)</f>
        <v>Value Missing</v>
      </c>
      <c r="V93" s="9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9.5" customHeight="1">
      <c r="A94" s="7"/>
      <c r="B94" s="13" t="s">
        <v>7567</v>
      </c>
      <c r="C94" s="13" t="e">
        <f>IF(ISBLANK(input_mgmt_sso_domain_username),"Value Missing",input_mgmt_sso_domain_username)</f>
        <v>#REF!</v>
      </c>
      <c r="D94" s="7"/>
      <c r="E94" s="30" t="s">
        <v>7568</v>
      </c>
      <c r="F94" s="13" t="e">
        <f>IF(wld_cl01_vds_profile_chosen&lt;&gt;"Storage Traffic and NSX Traffic Separation","Value Missing","Route Based on Physical Nic Load")</f>
        <v>#REF!</v>
      </c>
      <c r="G94" s="7"/>
      <c r="H94" s="39" t="s">
        <v>7569</v>
      </c>
      <c r="I94" s="13" t="e">
        <f>IF(ISBLANK(input_cluster_name),"Value Missing",input_cluster_name)</f>
        <v>#REF!</v>
      </c>
      <c r="J94" s="7"/>
      <c r="K94" s="7"/>
      <c r="L94" s="7"/>
      <c r="M94" s="7"/>
      <c r="N94" s="30" t="s">
        <v>7570</v>
      </c>
      <c r="O94" s="13" t="str">
        <f>IF(ISBLANK(input_vvs_dr_dns2_ip),"Value Missing",input_vvs_dr_dns2_ip)</f>
        <v>Value Missing</v>
      </c>
      <c r="P94" s="7"/>
      <c r="Q94" s="39" t="s">
        <v>7510</v>
      </c>
      <c r="R94" s="13" t="e">
        <f>IF(ISBLANK(input_xreg_vrops_nodec_fqdn),"Value Missing",input_xreg_vrops_nodec_fqdn)</f>
        <v>#REF!</v>
      </c>
      <c r="S94" s="7"/>
      <c r="T94" s="30" t="s">
        <v>7571</v>
      </c>
      <c r="U94" s="13" t="str">
        <f>IF(ISBLANK(input_mgmt_vrms_recovery_replication_cidr),"Value Missing",input_mgmt_vrms_recovery_replication_cidr)</f>
        <v>Value Missing</v>
      </c>
      <c r="V94" s="9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9.5" customHeight="1">
      <c r="A95" s="7"/>
      <c r="B95" s="30" t="s">
        <v>7572</v>
      </c>
      <c r="C95" s="13" t="e">
        <f>IF(ISBLANK(input_vcf_instance_name),"Value Missing",input_vcf_instance_name)</f>
        <v>#REF!</v>
      </c>
      <c r="D95" s="7"/>
      <c r="E95" s="30" t="s">
        <v>7573</v>
      </c>
      <c r="F95" s="13" t="e">
        <f>IF(wld_cl01_vds_profile_chosen="Default","Value Missing",IF(wld_cl01_vds_profile_chosen="Storage Traffic Separation","Value Missing",IF(wld_cl01_vds_profile_chosen="NSX Traffic Separation","Value Missing",IF(OR(wld_cl01_vds_profile_chosen="Storage Traffic and NSX Traffic Separation",wld_cl01_vds_profile_chosen="vSAN Max Storage Traffic and NSX Traffic Separation"),"NSX-Overlay","Value Missing"))))</f>
        <v>#REF!</v>
      </c>
      <c r="G95" s="7"/>
      <c r="H95" s="39" t="s">
        <v>7574</v>
      </c>
      <c r="I95" s="13" t="e">
        <f>IF(ISBLANK(input_cluster_image_name),"Value Missing",input_cluster_image_name)</f>
        <v>#REF!</v>
      </c>
      <c r="J95" s="7"/>
      <c r="K95" s="76" t="s">
        <v>7575</v>
      </c>
      <c r="L95" s="76"/>
      <c r="M95" s="7"/>
      <c r="N95" s="30" t="s">
        <v>7576</v>
      </c>
      <c r="O95" s="13" t="str">
        <f>IF(ISBLANK(input_vvs_dr_parent_dns_zone),"Value Missing",input_vvs_dr_parent_dns_zone)</f>
        <v>Value Missing</v>
      </c>
      <c r="P95" s="7"/>
      <c r="Q95" s="39" t="s">
        <v>7513</v>
      </c>
      <c r="R95" s="13" t="e">
        <f>IF(ISBLANK(input_xreg_vrops_collector_fqdn),"Value Missing",input_xreg_vrops_collector_fqdn)</f>
        <v>#REF!</v>
      </c>
      <c r="S95" s="7"/>
      <c r="T95" s="30" t="s">
        <v>7577</v>
      </c>
      <c r="U95" s="13" t="str">
        <f>IF(ISBLANK(input_mgmt_srm_sso_domain_membership),"Value Missing",input_mgmt_srm_sso_domain_membership)</f>
        <v>Value Missing</v>
      </c>
      <c r="V95" s="9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9.5" customHeight="1">
      <c r="A96" s="7"/>
      <c r="B96" s="7"/>
      <c r="C96" s="7"/>
      <c r="D96" s="7"/>
      <c r="E96" s="30" t="s">
        <v>7515</v>
      </c>
      <c r="F96" s="7" t="e">
        <f t="array" ref="F96">IF(ISBLANK(input_wld_cl01_vds03_lag_name),"Value Missing",input_wld_cl01_vds03_lag_name)</f>
        <v>#REF!</v>
      </c>
      <c r="G96" s="7"/>
      <c r="H96" s="42" t="s">
        <v>7578</v>
      </c>
      <c r="I96" s="13" t="e">
        <f>IF(ISBLANK(input_cluster_storage_cluster_name),"Value Missing",input_cluster_storage_cluster_name)</f>
        <v>#REF!</v>
      </c>
      <c r="J96" s="7"/>
      <c r="K96" s="12" t="s">
        <v>6780</v>
      </c>
      <c r="L96" s="79" t="s">
        <v>6943</v>
      </c>
      <c r="M96" s="7"/>
      <c r="N96" s="30" t="s">
        <v>7579</v>
      </c>
      <c r="O96" s="13" t="str">
        <f>IF(ISBLANK(input_vvs_dr_flt_fleet_manager_fqdn),"Value Missing",input_vvs_dr_flt_fleet_manager_fqdn)</f>
        <v>Value Missing</v>
      </c>
      <c r="P96" s="7"/>
      <c r="Q96" s="27"/>
      <c r="R96" s="27"/>
      <c r="S96" s="7"/>
      <c r="T96" s="27"/>
      <c r="U96" s="27"/>
      <c r="V96" s="9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9.5" customHeight="1">
      <c r="A97" s="7"/>
      <c r="B97" s="212" t="s">
        <v>7580</v>
      </c>
      <c r="C97" s="181"/>
      <c r="D97" s="7"/>
      <c r="E97" s="27"/>
      <c r="F97" s="27"/>
      <c r="G97" s="7"/>
      <c r="H97" s="42" t="s">
        <v>7581</v>
      </c>
      <c r="I97" s="13" t="e">
        <f>IF(ISBLANK(input_cluster_vsan_datastore),"Value Missing",input_cluster_vsan_datastore)</f>
        <v>#REF!</v>
      </c>
      <c r="J97" s="7"/>
      <c r="K97" s="30" t="s">
        <v>7582</v>
      </c>
      <c r="L97" s="96" t="s">
        <v>7398</v>
      </c>
      <c r="M97" s="7"/>
      <c r="N97" s="30" t="s">
        <v>7583</v>
      </c>
      <c r="O97" s="13" t="str">
        <f>IF(ISBLANK(input_vvs_dr_flt_ops_nodea_fqdn),"Value Missing",input_vvs_dr_flt_ops_nodea_fqdn)</f>
        <v>Value Missing</v>
      </c>
      <c r="P97" s="7"/>
      <c r="Q97" s="76" t="s">
        <v>7584</v>
      </c>
      <c r="R97" s="76"/>
      <c r="S97" s="7"/>
      <c r="T97" s="76" t="s">
        <v>7585</v>
      </c>
      <c r="U97" s="76"/>
      <c r="V97" s="9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9.5" customHeight="1">
      <c r="A98" s="7"/>
      <c r="B98" s="52" t="s">
        <v>6780</v>
      </c>
      <c r="C98" s="52" t="s">
        <v>7376</v>
      </c>
      <c r="D98" s="7"/>
      <c r="E98" s="77" t="s">
        <v>7586</v>
      </c>
      <c r="F98" s="78"/>
      <c r="G98" s="7"/>
      <c r="H98" s="42" t="s">
        <v>7587</v>
      </c>
      <c r="I98" s="13" t="e">
        <f>IF(ISBLANK(cluster_vsan_ftt_chosen),"Value Missing",cluster_vsan_ftt_chosen)</f>
        <v>#REF!</v>
      </c>
      <c r="J98" s="7"/>
      <c r="K98" s="30" t="s">
        <v>7588</v>
      </c>
      <c r="L98" s="96" t="s">
        <v>7398</v>
      </c>
      <c r="M98" s="7"/>
      <c r="N98" s="30" t="s">
        <v>7589</v>
      </c>
      <c r="O98" s="13" t="str">
        <f t="array" ref="O98">IF(ISBLANK(input_vvs_dr_flt_ops_nodeb_fqdn),"Value Missing",input_vvs_dr_flt_ops_nodeb_fqdn)</f>
        <v>Value Missing</v>
      </c>
      <c r="P98" s="7"/>
      <c r="Q98" s="12" t="s">
        <v>6780</v>
      </c>
      <c r="R98" s="79" t="s">
        <v>6943</v>
      </c>
      <c r="S98" s="7"/>
      <c r="T98" s="12" t="s">
        <v>6780</v>
      </c>
      <c r="U98" s="79" t="s">
        <v>6943</v>
      </c>
      <c r="V98" s="9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9.5" customHeight="1">
      <c r="A99" s="7"/>
      <c r="B99" s="30" t="s">
        <v>7590</v>
      </c>
      <c r="C99" s="13" t="e">
        <f>IF(ISBLANK(mgmt_cl01_vds_profile_chosen),"Value Missing",mgmt_cl01_vds_profile_chosen)</f>
        <v>#REF!</v>
      </c>
      <c r="D99" s="7"/>
      <c r="E99" s="12" t="s">
        <v>6780</v>
      </c>
      <c r="F99" s="79" t="s">
        <v>7376</v>
      </c>
      <c r="G99" s="7"/>
      <c r="H99" s="42" t="s">
        <v>7591</v>
      </c>
      <c r="I99" s="13" t="e">
        <f>IF(ISBLANK(cluster_vsan_dedupe_compression_chosen),"Value Missing",cluster_vsan_dedupe_compression_chosen)</f>
        <v>#REF!</v>
      </c>
      <c r="J99" s="7"/>
      <c r="K99" s="30" t="s">
        <v>7592</v>
      </c>
      <c r="L99" s="13" t="s">
        <v>6706</v>
      </c>
      <c r="M99" s="7"/>
      <c r="N99" s="30" t="s">
        <v>7593</v>
      </c>
      <c r="O99" s="13" t="str">
        <f t="array" ref="O99">IF(ISBLANK(input_vvs_dr_flt_ops_nodec_fqdn),"Value Missing",input_vvs_dr_flt_ops_nodec_fqdn)</f>
        <v>Value Missing</v>
      </c>
      <c r="P99" s="7"/>
      <c r="Q99" s="80" t="s">
        <v>7594</v>
      </c>
      <c r="R99" s="13" t="str">
        <f>IF(ISBLANK(input_mgmt_vrms_mgmt_ip),"Value Missing",input_mgmt_vrms_mgmt_ip)</f>
        <v>Value Missing</v>
      </c>
      <c r="S99" s="7"/>
      <c r="T99" s="30" t="s">
        <v>7445</v>
      </c>
      <c r="U99" s="13" t="str">
        <f>IF(ISBLANK(input_wld_vrms_vm_folder),"Value Missing",input_wld_vrms_vm_folder)</f>
        <v>Value Missing</v>
      </c>
      <c r="V99" s="9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9.5" customHeight="1">
      <c r="A100" s="7"/>
      <c r="B100" s="52" t="s">
        <v>7488</v>
      </c>
      <c r="C100" s="52" t="s">
        <v>6943</v>
      </c>
      <c r="D100" s="7"/>
      <c r="E100" s="30" t="s">
        <v>7595</v>
      </c>
      <c r="F100" s="13" t="e">
        <f>IF(ISBLANK(input_wld_cl01_vsan_datastore),"Value Missing",input_wld_cl01_vsan_datastore)</f>
        <v>#REF!</v>
      </c>
      <c r="G100" s="7"/>
      <c r="H100" s="42" t="s">
        <v>7596</v>
      </c>
      <c r="I100" s="13" t="e">
        <f>IF(ISBLANK(input_cluster_vmfs_datastore_name),"Value Missing",input_cluster_vmfs_datastore_name)</f>
        <v>#REF!</v>
      </c>
      <c r="J100" s="7"/>
      <c r="K100" s="30" t="s">
        <v>7597</v>
      </c>
      <c r="L100" s="13" t="str">
        <f>IF(ISBLANK(input_svc_vrops_vra_user),"Value Missing",input_svc_vrops_vra_user)</f>
        <v>Value Missing</v>
      </c>
      <c r="M100" s="7"/>
      <c r="N100" s="30" t="s">
        <v>7598</v>
      </c>
      <c r="O100" s="13" t="str">
        <f>IF(ISBLANK(input_vvs_dr_flt_logs_nodea_fqdn),"Value Missing",input_vvs_dr_flt_logs_nodea_fqdn)</f>
        <v>Value Missing</v>
      </c>
      <c r="P100" s="7"/>
      <c r="Q100" s="80" t="s">
        <v>7599</v>
      </c>
      <c r="R100" s="13" t="str">
        <f>IF(ISBLANK(input_mgmt_vrms_vrms_ip),"Value Missing",input_mgmt_vrms_vrms_ip)</f>
        <v>Value Missing</v>
      </c>
      <c r="S100" s="7"/>
      <c r="T100" s="30" t="s">
        <v>7448</v>
      </c>
      <c r="U100" s="13" t="str">
        <f>IF(ISBLANK(input_wld_vrms_root_password),"Value Missing",input_wld_vrms_root_password)</f>
        <v>Value Missing</v>
      </c>
      <c r="V100" s="9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9.5" customHeight="1">
      <c r="A101" s="7"/>
      <c r="B101" s="30" t="s">
        <v>7493</v>
      </c>
      <c r="C101" s="13" t="e">
        <v>#REF!</v>
      </c>
      <c r="D101" s="7"/>
      <c r="E101" s="30" t="s">
        <v>7600</v>
      </c>
      <c r="F101" s="13" t="e">
        <f>IF(ISBLANK(wld_cl01_vsan_ftt_chosen),"Value Missing",IF(AND(wld_multirack_result="Included",wld_cl01_vsan_ftt_chosen=1,wld_principal_storage_chosen="vSAN-ESA"),"1 failure - RAID 5 (Erasure Coding)",IF(AND(wld_multirack_result="Included",wld_cl01_vsan_ftt_chosen=2,wld_principal_storage_chosen="vSAN-ESA"),"1 failure - RAID 6 (Erasure Coding)",wld_cl01_vsan_ftt_chosen)))</f>
        <v>#REF!</v>
      </c>
      <c r="G101" s="7"/>
      <c r="H101" s="42" t="s">
        <v>7601</v>
      </c>
      <c r="I101" s="13" t="e">
        <f>IF(ISBLANK(input_cluster_nfs_datastore_name),"Value Missing",input_cluster_nfs_datastore_name)</f>
        <v>#REF!</v>
      </c>
      <c r="J101" s="7"/>
      <c r="K101" s="30" t="s">
        <v>7602</v>
      </c>
      <c r="L101" s="13" t="s">
        <v>6706</v>
      </c>
      <c r="M101" s="7"/>
      <c r="N101" s="30" t="s">
        <v>7603</v>
      </c>
      <c r="O101" s="13" t="str">
        <f>IF(ISBLANK(input_vvs_dr_flt_logs_nodeb_fqdn),"Value Missing",input_vvs_dr_flt_logs_nodeb_fqdn)</f>
        <v>Value Missing</v>
      </c>
      <c r="P101" s="7"/>
      <c r="Q101" s="80" t="s">
        <v>7604</v>
      </c>
      <c r="R101" s="13" t="str">
        <f>IF(ISBLANK(input_mgmt_srm_ip),"Value Missing",input_mgmt_srm_ip)</f>
        <v>Value Missing</v>
      </c>
      <c r="S101" s="7"/>
      <c r="T101" s="30" t="s">
        <v>7452</v>
      </c>
      <c r="U101" s="13" t="str">
        <f>IF(ISBLANK(input_wld_vrms_admin_password),"Value Missing",input_wld_vrms_admin_password)</f>
        <v>Value Missing</v>
      </c>
      <c r="V101" s="9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9.5" customHeight="1">
      <c r="A102" s="7"/>
      <c r="B102" s="30" t="s">
        <v>7605</v>
      </c>
      <c r="C102" s="13" t="e">
        <f>IF(ISBLANK(input_mgmt_cl01_vds01_uplink1),"Value Missing",input_mgmt_cl01_vds01_uplink1)</f>
        <v>#REF!</v>
      </c>
      <c r="D102" s="7"/>
      <c r="E102" s="30" t="s">
        <v>7591</v>
      </c>
      <c r="F102" s="13" t="e">
        <v>#REF!</v>
      </c>
      <c r="G102" s="7"/>
      <c r="H102" s="42" t="s">
        <v>7606</v>
      </c>
      <c r="I102" s="13" t="e">
        <f>IF(ISBLANK(input_cluster_nfs_share_path),"Value Missing",input_cluster_nfs_share_path)</f>
        <v>#REF!</v>
      </c>
      <c r="J102" s="7"/>
      <c r="K102" s="30" t="s">
        <v>7607</v>
      </c>
      <c r="L102" s="13"/>
      <c r="M102" s="7"/>
      <c r="N102" s="30" t="s">
        <v>7608</v>
      </c>
      <c r="O102" s="13" t="str">
        <f>IF(ISBLANK(input_vvs_dr_flt_logs_nodec_fqdn),"Value Missing",input_vvs_dr_flt_logs_nodec_fqdn)</f>
        <v>Value Missing</v>
      </c>
      <c r="P102" s="7"/>
      <c r="Q102" s="80" t="s">
        <v>7609</v>
      </c>
      <c r="R102" s="13" t="str">
        <f>IF(ISBLANK(input_mgmt_srm_recovery_t1_si_ip),"Value Missing",input_mgmt_srm_recovery_t1_si_ip)</f>
        <v>Value Missing</v>
      </c>
      <c r="S102" s="7"/>
      <c r="T102" s="30" t="s">
        <v>7456</v>
      </c>
      <c r="U102" s="13" t="str">
        <f>IF(ISBLANK(input_wld_vrms_site_name),"Value Missing",input_wld_vrms_site_name)</f>
        <v>Value Missing</v>
      </c>
      <c r="V102" s="9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9.5" customHeight="1">
      <c r="A103" s="7"/>
      <c r="B103" s="30" t="s">
        <v>7610</v>
      </c>
      <c r="C103" s="13" t="e">
        <f>IF(ISBLANK(input_mgmt_cl01_vds01_uplink2),"Value Missing",input_mgmt_cl01_vds01_uplink2)</f>
        <v>#REF!</v>
      </c>
      <c r="D103" s="7"/>
      <c r="E103" s="30" t="s">
        <v>7596</v>
      </c>
      <c r="F103" s="13" t="e">
        <f>IF(ISBLANK(input_wld_cl01_vmfs_datastore_name),"Value Missing",input_wld_cl01_vmfs_datastore_name)</f>
        <v>#REF!</v>
      </c>
      <c r="G103" s="7"/>
      <c r="H103" s="42" t="s">
        <v>7611</v>
      </c>
      <c r="I103" s="13" t="e">
        <f>IF(ISBLANK(input_cluster_nfs_server_address),"Value Missing",input_cluster_nfs_server_address)</f>
        <v>#REF!</v>
      </c>
      <c r="J103" s="7"/>
      <c r="K103" s="30" t="s">
        <v>7612</v>
      </c>
      <c r="L103" s="13" t="str">
        <f>IF(ISBLANK('Active Directory Inputs'!E37),"Value Missing",'Active Directory Inputs'!E37)</f>
        <v>Value Missing</v>
      </c>
      <c r="M103" s="7"/>
      <c r="N103" s="30" t="s">
        <v>7613</v>
      </c>
      <c r="O103" s="13" t="str">
        <f>IF(ISBLANK(input_vvs_dr_flt_net_nodea_fqdn),"Value Missing",input_vvs_dr_flt_net_nodea_fqdn)</f>
        <v>Value Missing</v>
      </c>
      <c r="P103" s="7"/>
      <c r="Q103" s="27"/>
      <c r="R103" s="27"/>
      <c r="S103" s="7"/>
      <c r="T103" s="30" t="s">
        <v>7460</v>
      </c>
      <c r="U103" s="13" t="str">
        <f>IF(ISBLANK(input_wld_vrms_admin_email),"Value Missing",input_wld_vrms_admin_email)</f>
        <v>Value Missing</v>
      </c>
      <c r="V103" s="9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9.5" customHeight="1">
      <c r="A104" s="7"/>
      <c r="B104" s="30" t="s">
        <v>7501</v>
      </c>
      <c r="C104" s="13" t="e">
        <f>IF(ISBLANK(input_mgmt_cl01_vds01_uplink_count),"Value Missing",input_mgmt_cl01_vds01_uplink_count)</f>
        <v>#REF!</v>
      </c>
      <c r="D104" s="7"/>
      <c r="E104" s="42" t="s">
        <v>7601</v>
      </c>
      <c r="F104" s="13" t="s">
        <v>7092</v>
      </c>
      <c r="G104" s="7"/>
      <c r="H104" s="39" t="s">
        <v>7614</v>
      </c>
      <c r="I104" s="13" t="e">
        <f>IF(ISBLANK(cluster_vds_profile_chosen),"Value Missing",cluster_vds_profile_chosen)</f>
        <v>#REF!</v>
      </c>
      <c r="J104" s="7"/>
      <c r="K104" s="30" t="s">
        <v>7615</v>
      </c>
      <c r="L104" s="13" t="str">
        <f>IF(ISBLANK('Active Directory Inputs'!E38),"Value Missing",'Active Directory Inputs'!E38)</f>
        <v>Value Missing</v>
      </c>
      <c r="M104" s="7"/>
      <c r="N104" s="30" t="s">
        <v>7616</v>
      </c>
      <c r="O104" s="13" t="str">
        <f>IF(ISBLANK(input_vvs_dr_flt_net_nodeb_fqdn),"Value Missing",input_vvs_dr_flt_net_nodeb_fqdn)</f>
        <v>Value Missing</v>
      </c>
      <c r="P104" s="7"/>
      <c r="Q104" s="76" t="s">
        <v>7617</v>
      </c>
      <c r="R104" s="76"/>
      <c r="S104" s="7"/>
      <c r="T104" s="30" t="s">
        <v>7464</v>
      </c>
      <c r="U104" s="13" t="str">
        <f>IF(ISBLANK(input_wld_vrms_pg),"Value Missing",input_wld_vrms_pg)</f>
        <v>Value Missing</v>
      </c>
      <c r="V104" s="9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9.5" customHeight="1">
      <c r="A105" s="7"/>
      <c r="B105" s="30" t="s">
        <v>7504</v>
      </c>
      <c r="C105" s="13" t="e">
        <f>IF(ISBLANK(input_mgmt_cl01_vds01_mtu),"Value Missing",input_mgmt_cl01_vds01_mtu)</f>
        <v>#REF!</v>
      </c>
      <c r="D105" s="7"/>
      <c r="E105" s="42" t="s">
        <v>7606</v>
      </c>
      <c r="F105" s="13" t="s">
        <v>7092</v>
      </c>
      <c r="G105" s="7"/>
      <c r="H105" s="39" t="s">
        <v>7618</v>
      </c>
      <c r="I105" s="13"/>
      <c r="J105" s="7"/>
      <c r="K105" s="30" t="s">
        <v>7619</v>
      </c>
      <c r="L105" s="13" t="str">
        <f>IF(ISBLANK('Active Directory Inputs'!E39),"Value Missing",'Active Directory Inputs'!E39)</f>
        <v>Value Missing</v>
      </c>
      <c r="M105" s="7"/>
      <c r="N105" s="30" t="s">
        <v>7620</v>
      </c>
      <c r="O105" s="13" t="str">
        <f>IF(ISBLANK(input_vvs_dr_flt_net_nodec_fqdn),"Value Missing",input_vvs_dr_flt_net_nodec_fqdn)</f>
        <v>Value Missing</v>
      </c>
      <c r="P105" s="7"/>
      <c r="Q105" s="12" t="s">
        <v>6780</v>
      </c>
      <c r="R105" s="79" t="s">
        <v>6943</v>
      </c>
      <c r="S105" s="7"/>
      <c r="T105" s="30" t="s">
        <v>7469</v>
      </c>
      <c r="U105" s="13" t="str">
        <f>IF(ISBLANK(input_wld_vrms_p12_password),"Value Missing",input_wld_vrms_p12_password)</f>
        <v>Value Missing</v>
      </c>
      <c r="V105" s="9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9.5" customHeight="1">
      <c r="A106" s="7"/>
      <c r="B106" s="30" t="s">
        <v>7515</v>
      </c>
      <c r="C106" s="13" t="e">
        <f>IF(ISBLANK(input_mgmt_cl01_vds01_lag_name),"Value Missing",input_mgmt_cl01_vds01_lag_name)</f>
        <v>#REF!</v>
      </c>
      <c r="D106" s="7"/>
      <c r="E106" s="42" t="s">
        <v>7611</v>
      </c>
      <c r="F106" s="13" t="s">
        <v>7092</v>
      </c>
      <c r="G106" s="7"/>
      <c r="H106" s="39" t="s">
        <v>7488</v>
      </c>
      <c r="I106" s="13" t="e">
        <f>IF(ISBLANK(input_cluster_vds01_name),"Value Missing",input_cluster_vds01_name)</f>
        <v>#REF!</v>
      </c>
      <c r="J106" s="7"/>
      <c r="K106" s="30" t="s">
        <v>7621</v>
      </c>
      <c r="L106" s="13" t="str">
        <f>IF(ISBLANK('Active Directory Inputs'!E40),"Value Missing",'Active Directory Inputs'!E40)</f>
        <v>Value Missing</v>
      </c>
      <c r="M106" s="7"/>
      <c r="N106" s="30" t="s">
        <v>7622</v>
      </c>
      <c r="O106" s="13" t="str">
        <f>IF(ISBLANK(input_vvs_dr_flt_auto_fqdn),"Value Missing",input_vvs_dr_flt_auto_fqdn)</f>
        <v>Value Missing</v>
      </c>
      <c r="P106" s="7"/>
      <c r="Q106" s="80" t="s">
        <v>7594</v>
      </c>
      <c r="R106" s="13" t="str">
        <f>IF(ISBLANK(input_wld_vrms_mgmt_ip),"Value Missing",input_wld_vrms_mgmt_ip)</f>
        <v>Value Missing</v>
      </c>
      <c r="S106" s="7"/>
      <c r="T106" s="30" t="s">
        <v>7477</v>
      </c>
      <c r="U106" s="13" t="str">
        <f>IF(ISBLANK(input_wld_srm_vm_folder),"Value Missing",input_wld_srm_vm_folder)</f>
        <v>Value Missing</v>
      </c>
      <c r="V106" s="9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9.5" customHeight="1">
      <c r="A107" s="7"/>
      <c r="B107" s="52" t="s">
        <v>7518</v>
      </c>
      <c r="C107" s="52" t="s">
        <v>6943</v>
      </c>
      <c r="D107" s="7"/>
      <c r="E107" s="7"/>
      <c r="F107" s="7"/>
      <c r="G107" s="7"/>
      <c r="H107" s="39" t="s">
        <v>7196</v>
      </c>
      <c r="I107" s="13" t="e">
        <f>IF(ISBLANK(input_cluster_vds01_mtu),"Value Missing",input_cluster_vds01_mtu)</f>
        <v>#REF!</v>
      </c>
      <c r="J107" s="7"/>
      <c r="K107" s="30" t="s">
        <v>7623</v>
      </c>
      <c r="L107" s="13" t="str">
        <f>IF(ISBLANK('Active Directory Inputs'!E41),"Value Missing",'Active Directory Inputs'!E41)</f>
        <v>Value Missing</v>
      </c>
      <c r="M107" s="7"/>
      <c r="N107" s="30" t="s">
        <v>6248</v>
      </c>
      <c r="O107" s="13" t="str">
        <f>IF(ISBLANK(input_vvs_dr_mgmt_vc_fqdn),"Value Missing",input_vvs_dr_mgmt_vc_fqdn)</f>
        <v>Value Missing</v>
      </c>
      <c r="P107" s="7"/>
      <c r="Q107" s="80" t="s">
        <v>7599</v>
      </c>
      <c r="R107" s="13" t="str">
        <f>IF(ISBLANK(input_wld_vrms_vrms_ip),"Value Missing",input_wld_vrms_vrms_ip)</f>
        <v>Value Missing</v>
      </c>
      <c r="S107" s="7"/>
      <c r="T107" s="30" t="s">
        <v>7481</v>
      </c>
      <c r="U107" s="13" t="str">
        <f>IF(ISBLANK(input_wld_srm_root_password),"Value Missing",input_wld_srm_root_password)</f>
        <v>Value Missing</v>
      </c>
      <c r="V107" s="9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9.5" customHeight="1">
      <c r="A108" s="7"/>
      <c r="B108" s="30" t="s">
        <v>7522</v>
      </c>
      <c r="C108" s="13" t="e">
        <f>IF(ISBLANK(input_mgmt_cl01_vds02_name),"Value Missing",input_mgmt_cl01_vds02_name)</f>
        <v>#REF!</v>
      </c>
      <c r="D108" s="7"/>
      <c r="E108" s="76" t="s">
        <v>7624</v>
      </c>
      <c r="F108" s="76"/>
      <c r="G108" s="7"/>
      <c r="H108" s="30" t="s">
        <v>7625</v>
      </c>
      <c r="I108" s="13" t="e">
        <f>IF(ISBLANK(input_cluster_az1_host_overlay_network_profile_name),"Value Missing",input_cluster_az1_host_overlay_network_profile_name)</f>
        <v>#REF!</v>
      </c>
      <c r="J108" s="7"/>
      <c r="K108" s="7"/>
      <c r="L108" s="7"/>
      <c r="M108" s="7"/>
      <c r="N108" s="30" t="s">
        <v>7626</v>
      </c>
      <c r="O108" s="13" t="str">
        <f>IF(ISBLANK(input_vvs_dr_mgmt_cl01_cluster),"Value Missing",input_vvs_dr_mgmt_cl01_cluster)</f>
        <v>Value Missing</v>
      </c>
      <c r="P108" s="7"/>
      <c r="Q108" s="80" t="s">
        <v>7604</v>
      </c>
      <c r="R108" s="13" t="str">
        <f>IF(ISBLANK(input_wld_srm_ip),"Value Missing",input_wld_srm_ip)</f>
        <v>Value Missing</v>
      </c>
      <c r="S108" s="7"/>
      <c r="T108" s="30" t="s">
        <v>7483</v>
      </c>
      <c r="U108" s="13" t="str">
        <f>IF(ISBLANK(input_wld_srm_admin_password),"Value Missing",input_wld_srm_admin_password)</f>
        <v>Value Missing</v>
      </c>
      <c r="V108" s="9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9.5" customHeight="1">
      <c r="A109" s="7"/>
      <c r="B109" s="30" t="s">
        <v>7627</v>
      </c>
      <c r="C109" s="13" t="e">
        <f>IF(ISBLANK(input_mgmt_cl01_vds02_uplink1),"Value Missing",input_mgmt_cl01_vds02_uplink1)</f>
        <v>#REF!</v>
      </c>
      <c r="D109" s="7"/>
      <c r="E109" s="30" t="s">
        <v>6780</v>
      </c>
      <c r="F109" s="30" t="s">
        <v>6943</v>
      </c>
      <c r="G109" s="7"/>
      <c r="H109" s="42" t="s">
        <v>7628</v>
      </c>
      <c r="I109" s="13" t="e">
        <f>IF(ISBLANK(input_cluster_vds01_uplink_count),"Value Missing",input_cluster_vds01_uplink_count)</f>
        <v>#REF!</v>
      </c>
      <c r="J109" s="7"/>
      <c r="K109" s="180" t="s">
        <v>7629</v>
      </c>
      <c r="L109" s="181"/>
      <c r="M109" s="7"/>
      <c r="N109" s="30" t="s">
        <v>7630</v>
      </c>
      <c r="O109" s="13" t="str">
        <f>IF(ISBLANK(input_vvs_mgmt_dr_vlr_fqdn),"Value Missing",input_vvs_mgmt_dr_vlr_fqdn)</f>
        <v>Value Missing</v>
      </c>
      <c r="P109" s="7"/>
      <c r="Q109" s="7"/>
      <c r="R109" s="7"/>
      <c r="S109" s="7"/>
      <c r="T109" s="30" t="s">
        <v>7487</v>
      </c>
      <c r="U109" s="13" t="str">
        <f>IF(ISBLANK(input_wld_srm_database_password),"Value Missing",input_wld_srm_database_password)</f>
        <v>Value Missing</v>
      </c>
      <c r="V109" s="9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9.5" customHeight="1">
      <c r="A110" s="7"/>
      <c r="B110" s="30" t="s">
        <v>7631</v>
      </c>
      <c r="C110" s="13" t="e">
        <f>IF(ISBLANK(input_mgmt_cl01_vds02_uplink2),"Value Missing",input_mgmt_cl01_vds02_uplink2)</f>
        <v>#REF!</v>
      </c>
      <c r="D110" s="7"/>
      <c r="E110" s="80" t="s">
        <v>7187</v>
      </c>
      <c r="F110" s="13" t="e">
        <v>#REF!</v>
      </c>
      <c r="G110" s="7"/>
      <c r="H110" s="39" t="s">
        <v>7632</v>
      </c>
      <c r="I110" s="13" t="e">
        <f>IF(ISBLANK(input_cluster_vds01_pnics),"Value Missing",input_cluster_vds01_pnics)</f>
        <v>#REF!</v>
      </c>
      <c r="J110" s="7"/>
      <c r="K110" s="12" t="s">
        <v>6780</v>
      </c>
      <c r="L110" s="79" t="s">
        <v>6943</v>
      </c>
      <c r="M110" s="7"/>
      <c r="N110" s="30" t="s">
        <v>7633</v>
      </c>
      <c r="O110" s="13" t="str">
        <f>IF(ISBLANK(input_vvs_dr_sso_domain),"Value Missing",input_vvs_dr_sso_domain)</f>
        <v>Value Missing</v>
      </c>
      <c r="P110" s="7"/>
      <c r="Q110" s="76" t="s">
        <v>7634</v>
      </c>
      <c r="R110" s="76"/>
      <c r="S110" s="7"/>
      <c r="T110" s="30" t="s">
        <v>7492</v>
      </c>
      <c r="U110" s="13" t="str">
        <f>IF(ISBLANK(input_wld_srm_site_name),"Value Missing",input_wld_srm_site_name)</f>
        <v>Value Missing</v>
      </c>
      <c r="V110" s="9"/>
      <c r="W110" s="7"/>
      <c r="X110" s="7"/>
      <c r="Y110" s="7"/>
      <c r="Z110" s="27"/>
      <c r="AA110" s="27"/>
      <c r="AB110" s="7"/>
      <c r="AC110" s="7"/>
      <c r="AD110" s="7"/>
      <c r="AE110" s="7"/>
      <c r="AF110" s="7"/>
    </row>
    <row r="111" spans="1:32" ht="19.5" customHeight="1">
      <c r="A111" s="7"/>
      <c r="B111" s="13" t="s">
        <v>7528</v>
      </c>
      <c r="C111" s="13" t="e">
        <f>IF(ISBLANK(input_mgmt_cl01_vds02_uplink_count),"Value Missing",input_mgmt_cl01_vds02_uplink_count)</f>
        <v>#REF!</v>
      </c>
      <c r="D111" s="7"/>
      <c r="E111" s="80" t="s">
        <v>7449</v>
      </c>
      <c r="F111" s="13" t="e">
        <f>IF(ISBLANK(input_wld_witness_hostname),"Value Missing",input_wld_witness_hostname)</f>
        <v>#REF!</v>
      </c>
      <c r="G111" s="7"/>
      <c r="H111" s="39" t="s">
        <v>7635</v>
      </c>
      <c r="I111" s="13" t="e">
        <f>IF(cluster_vds_profile_chosen="Default",CONCATENATE("Management ", "vMotion ",IF(cluster_principal_storage_chosen="NFSv3","NFS ",IF(cluster_principal_storage_chosen="VMFS on Fibre Channel (FC)","","vSAN ")),"NSX-Overlay"),
IF(cluster_vds_profile_chosen="Storage Traffic Separation","Management, vMotion, NSX-Overlay",
IF(cluster_vds_profile_chosen="NSX Traffic Separation","Management, vMotion, vSan",
IF(cluster_vds_profile_chosen="Storage Traffic and NSX Traffic Separation","Management, vMotion",
IF(cluster_vds_profile_chosen="vSAN Max Storage Traffic Separation","Management, vMotion, vSAN Storage Client, NSX-Overlay",
IF(cluster_vds_profile_chosen="vSAN Max Storage Traffic and NSX Traffic Separation","Management, vMotion, vSAN Storage Client","Value Missing"))))))</f>
        <v>#REF!</v>
      </c>
      <c r="J111" s="7"/>
      <c r="K111" s="30" t="s">
        <v>7636</v>
      </c>
      <c r="L111" s="13" t="str">
        <f>IF(ISBLANK(input_child_svc_vsphere_ad_password),"Value Missing",input_child_svc_vsphere_ad_password)</f>
        <v>Value Missing</v>
      </c>
      <c r="M111" s="7"/>
      <c r="N111" s="30" t="s">
        <v>7637</v>
      </c>
      <c r="O111" s="13" t="str">
        <f>IF(vvs_dr_flt_fleet_manager_fqdn="Value Missing",vvs_dr_flt_fleet_manager_fqdn,LEFT(vvs_dr_flt_fleet_manager_fqdn,FIND(".",vvs_dr_flt_fleet_manager_fqdn)-1))</f>
        <v>Value Missing</v>
      </c>
      <c r="P111" s="7"/>
      <c r="Q111" s="12" t="s">
        <v>6780</v>
      </c>
      <c r="R111" s="79" t="s">
        <v>6943</v>
      </c>
      <c r="S111" s="7"/>
      <c r="T111" s="30" t="s">
        <v>7495</v>
      </c>
      <c r="U111" s="13" t="str">
        <f>IF(ISBLANK(input_wld_srm_admin_email),"Value Missing",input_wld_srm_admin_email)</f>
        <v>Value Missing</v>
      </c>
      <c r="V111" s="9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9.5" customHeight="1">
      <c r="A112" s="7"/>
      <c r="B112" s="30" t="s">
        <v>7531</v>
      </c>
      <c r="C112" s="13" t="e">
        <f>IF(ISBLANK(input_mgmt_cl01_vds02_mtu),"Value Missing",input_mgmt_cl01_vds02_mtu)</f>
        <v>#REF!</v>
      </c>
      <c r="D112" s="7"/>
      <c r="E112" s="7"/>
      <c r="F112" s="7"/>
      <c r="G112" s="7"/>
      <c r="H112" s="39" t="s">
        <v>7515</v>
      </c>
      <c r="I112" s="13" t="e">
        <f>IF(ISBLANK(input_cluster_vds01_lag_name),"Value Missing",input_cluster_vds01_lag_name)</f>
        <v>#REF!</v>
      </c>
      <c r="J112" s="7"/>
      <c r="K112" s="30" t="s">
        <v>7638</v>
      </c>
      <c r="L112" s="13" t="str">
        <f>IF(ISBLANK(input_child_svc_nsx_ad_password),"Value Missing",input_child_svc_nsx_ad_password)</f>
        <v>Value Missing</v>
      </c>
      <c r="M112" s="7"/>
      <c r="N112" s="30" t="s">
        <v>7639</v>
      </c>
      <c r="O112" s="13" t="str">
        <f>IF(vvs_dr_flt_ops_nodea_fqdn="Value Missing",vvs_dr_flt_ops_nodea_fqdn,LEFT(vvs_dr_flt_ops_nodea_fqdn,FIND(".",vvs_dr_flt_ops_nodea_fqdn)-1))</f>
        <v>Value Missing</v>
      </c>
      <c r="P112" s="7"/>
      <c r="Q112" s="80" t="s">
        <v>6811</v>
      </c>
      <c r="R112" s="13" t="str">
        <f>IF(ISBLANK(input_mgmt_vrms_hostname),"Value Missing",input_mgmt_vrms_hostname)</f>
        <v>Value Missing</v>
      </c>
      <c r="S112" s="7"/>
      <c r="T112" s="30" t="s">
        <v>7500</v>
      </c>
      <c r="U112" s="13" t="str">
        <f>IF(ISBLANK(input_wld_srm_p12_password),"Value Missing",input_wld_srm_p12_password)</f>
        <v>Value Missing</v>
      </c>
      <c r="V112" s="9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9.5" customHeight="1">
      <c r="A113" s="7"/>
      <c r="B113" s="30" t="s">
        <v>7515</v>
      </c>
      <c r="C113" s="13" t="e">
        <f>IF(ISBLANK(input_mgmt_cl01_vds02_lag_name),"Value Missing",input_mgmt_cl01_vds02_lag_name)</f>
        <v>#REF!</v>
      </c>
      <c r="D113" s="7"/>
      <c r="E113" s="75" t="s">
        <v>7640</v>
      </c>
      <c r="F113" s="120"/>
      <c r="G113" s="7"/>
      <c r="H113" s="39" t="s">
        <v>7518</v>
      </c>
      <c r="I113" s="13" t="e">
        <f>IF(ISBLANK(input_cluster_vds02_name),"Value Missing",input_cluster_vds02_name)</f>
        <v>#REF!</v>
      </c>
      <c r="J113" s="7"/>
      <c r="K113" s="30" t="s">
        <v>7582</v>
      </c>
      <c r="L113" s="13" t="e">
        <f t="shared" ref="L113:L114" si="0">IF(ISBLANK(input_administrator_vsphere_local_password),"Value Missing",input_administrator_vsphere_local_password)</f>
        <v>#REF!</v>
      </c>
      <c r="M113" s="7"/>
      <c r="N113" s="30" t="s">
        <v>7641</v>
      </c>
      <c r="O113" s="13" t="str">
        <f>IF(vvs_dr_flt_ops_nodeb_fqdn="Value Missing",vvs_dr_flt_ops_nodeb_fqdn,LEFT(vvs_dr_flt_ops_nodeb_fqdn,FIND(".",vvs_dr_flt_ops_nodeb_fqdn)-1))</f>
        <v>Value Missing</v>
      </c>
      <c r="P113" s="7"/>
      <c r="Q113" s="80" t="s">
        <v>7642</v>
      </c>
      <c r="R113" s="13" t="str">
        <f>IF(ISBLANK(input_vvs_mgmt_dr_vlr_hostname),"Value Missing",input_vvs_mgmt_dr_vlr_hostname)</f>
        <v>Value Missing</v>
      </c>
      <c r="S113" s="7"/>
      <c r="T113" s="30" t="s">
        <v>7503</v>
      </c>
      <c r="U113" s="13" t="e">
        <f>input_wld_srm_vm_size</f>
        <v>#REF!</v>
      </c>
      <c r="V113" s="9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9.5" customHeight="1">
      <c r="A114" s="7"/>
      <c r="B114" s="52" t="s">
        <v>7546</v>
      </c>
      <c r="C114" s="52" t="s">
        <v>6943</v>
      </c>
      <c r="D114" s="7"/>
      <c r="E114" s="52" t="s">
        <v>6780</v>
      </c>
      <c r="F114" s="52" t="s">
        <v>6943</v>
      </c>
      <c r="G114" s="7"/>
      <c r="H114" s="39" t="s">
        <v>7196</v>
      </c>
      <c r="I114" s="13" t="e">
        <f>IF(ISBLANK(input_cluster_vds02_mtu),"Value Missing",input_cluster_vds02_mtu)</f>
        <v>#REF!</v>
      </c>
      <c r="J114" s="7"/>
      <c r="K114" s="30" t="s">
        <v>7588</v>
      </c>
      <c r="L114" s="13" t="e">
        <f t="shared" si="0"/>
        <v>#REF!</v>
      </c>
      <c r="M114" s="7"/>
      <c r="N114" s="30" t="s">
        <v>7643</v>
      </c>
      <c r="O114" s="13" t="str">
        <f>IF(vvs_dr_flt_ops_nodec_fqdn="Value Missing",vvs_dr_flt_ops_nodec_fqdn,LEFT(vvs_dr_flt_ops_nodec_fqdn,FIND(".",vvs_dr_flt_ops_nodec_fqdn)-1))</f>
        <v>Value Missing</v>
      </c>
      <c r="P114" s="7"/>
      <c r="Q114" s="7"/>
      <c r="R114" s="7"/>
      <c r="S114" s="7"/>
      <c r="T114" s="30" t="s">
        <v>7538</v>
      </c>
      <c r="U114" s="13" t="str">
        <f>IF(ISBLANK(input_wld_srm_recovery_vcenter_fqdn),"Value Missing",input_wld_srm_recovery_vcenter_fqdn)</f>
        <v>Value Missing</v>
      </c>
      <c r="V114" s="9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9.5" customHeight="1">
      <c r="A115" s="7"/>
      <c r="B115" s="30" t="s">
        <v>7551</v>
      </c>
      <c r="C115" s="13" t="e">
        <f>IF(ISBLANK(input_mgmt_cl01_vds03_name),"Value Missing",input_mgmt_cl01_vds03_name)</f>
        <v>#REF!</v>
      </c>
      <c r="D115" s="7"/>
      <c r="E115" s="30" t="s">
        <v>7644</v>
      </c>
      <c r="F115" s="13" t="s">
        <v>7092</v>
      </c>
      <c r="G115" s="7"/>
      <c r="H115" s="42" t="s">
        <v>7628</v>
      </c>
      <c r="I115" s="13" t="e">
        <f>IF(ISBLANK(input_cluster_vds02_uplink_count),"Value Missing",input_cluster_vds02_uplink_count)</f>
        <v>#REF!</v>
      </c>
      <c r="J115" s="7"/>
      <c r="K115" s="30" t="s">
        <v>7592</v>
      </c>
      <c r="L115" s="13" t="e">
        <f>IF(ISBLANK(input_nsxt_lm_admin_password),"Value Missing",input_nsxt_lm_admin_password)</f>
        <v>#REF!</v>
      </c>
      <c r="M115" s="7"/>
      <c r="N115" s="30" t="s">
        <v>7645</v>
      </c>
      <c r="O115" s="13" t="str">
        <f>IF(vvs_dr_flt_logs_nodea_fqdn="Value Missing",vvs_dr_flt_logs_nodea_fqdn,LEFT(vvs_dr_flt_logs_nodea_fqdn,FIND(".",vvs_dr_flt_logs_nodea_fqdn)-1))</f>
        <v>Value Missing</v>
      </c>
      <c r="P115" s="7"/>
      <c r="Q115" s="76" t="s">
        <v>7646</v>
      </c>
      <c r="R115" s="76"/>
      <c r="S115" s="7"/>
      <c r="T115" s="30" t="s">
        <v>7541</v>
      </c>
      <c r="U115" s="13" t="str">
        <f>IF(ISBLANK(input_wld_srm_recovery_vcenter_username),"Value Missing",input_wld_srm_recovery_vcenter_username)</f>
        <v>Value Missing</v>
      </c>
      <c r="V115" s="9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9.5" customHeight="1">
      <c r="A116" s="7"/>
      <c r="B116" s="30" t="s">
        <v>7647</v>
      </c>
      <c r="C116" s="13" t="e">
        <f>IF(ISBLANK(input_mgmt_cl01_vds03_uplink1),"Value Missing",input_mgmt_cl01_vds03_uplink1)</f>
        <v>#REF!</v>
      </c>
      <c r="D116" s="7"/>
      <c r="E116" s="30" t="s">
        <v>7648</v>
      </c>
      <c r="F116" s="13" t="s">
        <v>7092</v>
      </c>
      <c r="G116" s="7"/>
      <c r="H116" s="39" t="s">
        <v>7632</v>
      </c>
      <c r="I116" s="13" t="e">
        <f>IF(ISBLANK(input_cluster_vds02_pnics),"Value Missing",input_cluster_vds02_pnics)</f>
        <v>#REF!</v>
      </c>
      <c r="J116" s="7"/>
      <c r="K116" s="30" t="s">
        <v>7597</v>
      </c>
      <c r="L116" s="13" t="str">
        <f>IF(ISBLANK(input_svc_vrops_vra_password),"Value Missing",input_svc_vrops_vra_password)</f>
        <v>Value Missing</v>
      </c>
      <c r="M116" s="7"/>
      <c r="N116" s="30" t="s">
        <v>7649</v>
      </c>
      <c r="O116" s="13" t="str">
        <f>IF(vvs_dr_flt_logs_nodeb_fqdn="Value Missing",vvs_dr_flt_logs_nodeb_fqdn,LEFT(vvs_dr_flt_logs_nodeb_fqdn,FIND(".",vvs_dr_flt_logs_nodeb_fqdn)-1))</f>
        <v>Value Missing</v>
      </c>
      <c r="P116" s="7"/>
      <c r="Q116" s="12" t="s">
        <v>6780</v>
      </c>
      <c r="R116" s="79" t="s">
        <v>6943</v>
      </c>
      <c r="S116" s="7"/>
      <c r="T116" s="30" t="s">
        <v>7544</v>
      </c>
      <c r="U116" s="13" t="str">
        <f>IF(ISBLANK(input_wld_srm_recovery_vcenter_password),"Value Missing",input_wld_srm_recovery_vcenter_password)</f>
        <v>Value Missing</v>
      </c>
      <c r="V116" s="9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9.5" customHeight="1">
      <c r="A117" s="7"/>
      <c r="B117" s="30" t="s">
        <v>7650</v>
      </c>
      <c r="C117" s="13" t="e">
        <f>IF(ISBLANK(input_mgmt_cl01_vds03_uplink2),"Value Missing",input_mgmt_cl01_vds03_uplink2)</f>
        <v>#REF!</v>
      </c>
      <c r="D117" s="7"/>
      <c r="E117" s="30" t="s">
        <v>7651</v>
      </c>
      <c r="F117" s="13" t="s">
        <v>7092</v>
      </c>
      <c r="G117" s="7"/>
      <c r="H117" s="39" t="s">
        <v>7635</v>
      </c>
      <c r="I117" s="13" t="e">
        <f>IF(cluster_vds_profile_chosen="Default","",
IF(cluster_vds_profile_chosen="Storage Traffic Separation",IF(cluster_principal_storage_chosen="NFSv3","NFS","vSAN"),
IF(cluster_vds_profile_chosen="NSX Traffic Separation","NSX-Overlay",
IF(cluster_vds_profile_chosen="Storage Traffic and NSX Traffic Separation",IF(cluster_principal_storage_chosen="NFSv3","NFS","vSAN"),
IF(cluster_vds_profile_chosen="Storage Traffic and NSX Traffic Separation","Management, vMotion",
IF(cluster_vds_profile_chosen="vSAN Max Storage Traffic Separation","vSAN",
IF(cluster_vds_profile_chosen="vSAN Max Storage Traffic and NSX Traffic Separation","vSAN","")))))))</f>
        <v>#REF!</v>
      </c>
      <c r="J117" s="7"/>
      <c r="K117" s="30" t="s">
        <v>7607</v>
      </c>
      <c r="L117" s="13"/>
      <c r="M117" s="7"/>
      <c r="N117" s="30" t="s">
        <v>7652</v>
      </c>
      <c r="O117" s="13" t="str">
        <f>IF(vvs_dr_flt_logs_nodec_fqdn="Value Missing",vvs_dr_flt_logs_nodec_fqdn,LEFT(vvs_dr_flt_logs_nodec_fqdn,FIND(".",vvs_dr_flt_logs_nodec_fqdn)-1))</f>
        <v>Value Missing</v>
      </c>
      <c r="P117" s="7"/>
      <c r="Q117" s="80" t="s">
        <v>6811</v>
      </c>
      <c r="R117" s="13" t="str">
        <f>IF(ISBLANK(input_wld_vrms_hostname),"Value Missing",input_wld_vrms_hostname)</f>
        <v>Value Missing</v>
      </c>
      <c r="S117" s="7"/>
      <c r="T117" s="30" t="s">
        <v>7571</v>
      </c>
      <c r="U117" s="13" t="str">
        <f>IF(ISBLANK(input_wld_vrms_recovery_replication_cidr),"Value Missing",input_wld_vrms_recovery_replication_cidr)</f>
        <v>Value Missing</v>
      </c>
      <c r="V117" s="9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9.5" customHeight="1">
      <c r="A118" s="7"/>
      <c r="B118" s="30" t="s">
        <v>7564</v>
      </c>
      <c r="C118" s="13" t="e">
        <f>IF(ISBLANK(input_mgmt_cl01_vds03_uplink_count),"Value Missing",input_mgmt_cl01_vds03_uplink_count)</f>
        <v>#REF!</v>
      </c>
      <c r="D118" s="7"/>
      <c r="E118" s="30" t="s">
        <v>7653</v>
      </c>
      <c r="F118" s="13" t="s">
        <v>7092</v>
      </c>
      <c r="G118" s="7"/>
      <c r="H118" s="39" t="s">
        <v>7515</v>
      </c>
      <c r="I118" s="13" t="e">
        <f t="array" ref="I118">IF(ISBLANK(input_cluster_vds02_lag_name),"Value Missing",input_cluster_vds02_lag_name)</f>
        <v>#REF!</v>
      </c>
      <c r="J118" s="7"/>
      <c r="K118" s="30" t="s">
        <v>7612</v>
      </c>
      <c r="L118" s="13" t="str">
        <f>IF(ISBLANK(input_svc_vra_vsphere_password),"Value Missing",input_svc_vra_vsphere_password)</f>
        <v>Value Missing</v>
      </c>
      <c r="M118" s="7"/>
      <c r="N118" s="30" t="s">
        <v>7654</v>
      </c>
      <c r="O118" s="13" t="str">
        <f>IF(vvs_dr_flt_net_nodea_fqdn="Value Missing",vvs_dr_flt_net_nodea_fqdn,LEFT(vvs_dr_flt_net_nodea_fqdn,FIND(".",vvs_dr_flt_net_nodea_fqdn)-1))</f>
        <v>Value Missing</v>
      </c>
      <c r="P118" s="7"/>
      <c r="Q118" s="80" t="s">
        <v>7642</v>
      </c>
      <c r="R118" s="13" t="str">
        <f>IF(ISBLANK(input_wld_srm_hostname),"Value Missing",input_wld_srm_hostname)</f>
        <v>Value Missing</v>
      </c>
      <c r="S118" s="7"/>
      <c r="T118" s="30" t="s">
        <v>7577</v>
      </c>
      <c r="U118" s="13" t="str">
        <f>IF(ISBLANK(input_wld_srm_sso_domain_membership),"Value Missing",input_wld_srm_sso_domain_membership)</f>
        <v>Value Missing</v>
      </c>
      <c r="V118" s="9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9.5" customHeight="1">
      <c r="A119" s="7"/>
      <c r="B119" s="30" t="s">
        <v>7555</v>
      </c>
      <c r="C119" s="13" t="e">
        <f>IF(ISBLANK(input_mgmt_cl01_vds03_mtu),"Value Missing",input_mgmt_cl01_vds03_mtu)</f>
        <v>#REF!</v>
      </c>
      <c r="D119" s="7"/>
      <c r="E119" s="30" t="s">
        <v>7655</v>
      </c>
      <c r="F119" s="13" t="e">
        <f>IF(ISBLANK(input_wld_cl01_cluster_sddc_id),"Value Missing",input_wld_cl01_cluster_sddc_id)</f>
        <v>#REF!</v>
      </c>
      <c r="G119" s="7"/>
      <c r="H119" s="39" t="s">
        <v>7546</v>
      </c>
      <c r="I119" s="13" t="e">
        <f>IF(ISBLANK(input_cluster_vds03_name),"Value Missing",input_cluster_vds03_name)</f>
        <v>#REF!</v>
      </c>
      <c r="J119" s="7"/>
      <c r="K119" s="30" t="s">
        <v>7615</v>
      </c>
      <c r="L119" s="13" t="str">
        <f>IF(ISBLANK(input_svc_vra_nsx_password),"Value Missing",input_svc_vra_nsx_password)</f>
        <v>Value Missing</v>
      </c>
      <c r="M119" s="7"/>
      <c r="N119" s="30" t="s">
        <v>7656</v>
      </c>
      <c r="O119" s="13" t="str">
        <f>IF(vvs_dr_flt_net_nodeb_fqdn="Value Missing",vvs_dr_flt_net_nodeb_fqdn,LEFT(vvs_dr_flt_net_nodeb_fqdn,FIND(".",vvs_dr_flt_net_nodeb_fqdn)-1))</f>
        <v>Value Missing</v>
      </c>
      <c r="P119" s="7"/>
      <c r="Q119" s="7"/>
      <c r="R119" s="7"/>
      <c r="S119" s="7"/>
      <c r="T119" s="27"/>
      <c r="U119" s="27"/>
      <c r="V119" s="9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9.5" customHeight="1">
      <c r="A120" s="7"/>
      <c r="B120" s="30" t="s">
        <v>7515</v>
      </c>
      <c r="C120" s="13" t="e">
        <f t="array" ref="C120">IF(ISBLANK(input_mgmt_cl01_vds03_lag_name),"Value Missing",input_mgmt_cl01_vds03_lag_name)</f>
        <v>#REF!</v>
      </c>
      <c r="D120" s="7"/>
      <c r="E120" s="30"/>
      <c r="F120" s="13" t="e">
        <v>#REF!</v>
      </c>
      <c r="G120" s="7"/>
      <c r="H120" s="39" t="s">
        <v>7196</v>
      </c>
      <c r="I120" s="13" t="e">
        <f>IF(ISBLANK(input_cluster_vds03_mtu),"Value Missing",input_cluster_vds03_mtu)</f>
        <v>#REF!</v>
      </c>
      <c r="J120" s="7"/>
      <c r="K120" s="30" t="s">
        <v>7619</v>
      </c>
      <c r="L120" s="13" t="str">
        <f>IF(ISBLANK(input_svc_vra_vcf_password),"Value Missing",input_svc_vra_vcf_password)</f>
        <v>Value Missing</v>
      </c>
      <c r="M120" s="7"/>
      <c r="N120" s="30" t="s">
        <v>7657</v>
      </c>
      <c r="O120" s="13" t="str">
        <f>IF(vvs_dr_flt_net_nodec_fqdn="Value Missing",vvs_dr_flt_net_nodec_fqdn,LEFT(vvs_dr_flt_net_nodec_fqdn,FIND(".",vvs_dr_flt_net_nodec_fqdn)-1))</f>
        <v>Value Missing</v>
      </c>
      <c r="P120" s="7"/>
      <c r="Q120" s="76" t="s">
        <v>7658</v>
      </c>
      <c r="R120" s="76"/>
      <c r="S120" s="7"/>
      <c r="T120" s="27"/>
      <c r="U120" s="27"/>
      <c r="V120" s="9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9.5" customHeight="1">
      <c r="A121" s="7"/>
      <c r="B121" s="60"/>
      <c r="C121" s="7"/>
      <c r="D121" s="7"/>
      <c r="E121" s="27"/>
      <c r="F121" s="27"/>
      <c r="G121" s="7"/>
      <c r="H121" s="42" t="s">
        <v>7628</v>
      </c>
      <c r="I121" s="13" t="e">
        <f>IF(ISBLANK(input_cluster_vds03_uplink_count),"Value Missing",input_cluster_vds03_uplink_count)</f>
        <v>#REF!</v>
      </c>
      <c r="J121" s="7"/>
      <c r="K121" s="30" t="s">
        <v>7623</v>
      </c>
      <c r="L121" s="13" t="str">
        <f>IF(ISBLANK(input_svc_vra_vrops_password),"Value Missing",input_svc_vra_vrops_password)</f>
        <v>Value Missing</v>
      </c>
      <c r="M121" s="7"/>
      <c r="N121" s="30" t="s">
        <v>7659</v>
      </c>
      <c r="O121" s="13" t="str">
        <f>IF(ISBLANK(input_vvs_dr_mgmt_cl01_datastore),"Value Missing",input_vvs_dr_mgmt_cl01_datastore)</f>
        <v>Value Missing</v>
      </c>
      <c r="P121" s="7"/>
      <c r="Q121" s="12" t="s">
        <v>6780</v>
      </c>
      <c r="R121" s="79" t="s">
        <v>6943</v>
      </c>
      <c r="S121" s="7"/>
      <c r="T121" s="180" t="s">
        <v>7660</v>
      </c>
      <c r="U121" s="181"/>
      <c r="V121" s="9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9.5" customHeight="1">
      <c r="A122" s="7"/>
      <c r="B122" s="52" t="s">
        <v>7661</v>
      </c>
      <c r="C122" s="52" t="s">
        <v>6943</v>
      </c>
      <c r="D122" s="7"/>
      <c r="E122" s="76" t="s">
        <v>7662</v>
      </c>
      <c r="F122" s="78"/>
      <c r="G122" s="7"/>
      <c r="H122" s="39" t="s">
        <v>7632</v>
      </c>
      <c r="I122" s="13" t="e">
        <f>IF(ISBLANK(input_cluster_vds03_pnics),"Value Missing",input_cluster_vds03_pnics)</f>
        <v>#REF!</v>
      </c>
      <c r="J122" s="7"/>
      <c r="K122" s="30" t="s">
        <v>7621</v>
      </c>
      <c r="L122" s="13" t="str">
        <f>IF(ISBLANK(input_svc_vro_vsphere_password),"Value Missing",input_svc_vro_vsphere_password)</f>
        <v>Value Missing</v>
      </c>
      <c r="M122" s="7"/>
      <c r="N122" s="30" t="s">
        <v>7663</v>
      </c>
      <c r="O122" s="13" t="str">
        <f>IF(ISBLANK(input_mgmt_srm_net_rp),"Value Missing",input_mgmt_srm_net_rp)</f>
        <v>Value Missing</v>
      </c>
      <c r="P122" s="7"/>
      <c r="Q122" s="80" t="s">
        <v>6811</v>
      </c>
      <c r="R122" s="7"/>
      <c r="S122" s="7"/>
      <c r="T122" s="12" t="s">
        <v>6780</v>
      </c>
      <c r="U122" s="79" t="s">
        <v>6943</v>
      </c>
      <c r="V122" s="9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9.5" customHeight="1">
      <c r="A123" s="7"/>
      <c r="B123" s="39" t="s">
        <v>7664</v>
      </c>
      <c r="C123" s="13" t="e">
        <f>IF(ISBLANK(mgmt_nsx_operation_mode_chosen),"Value Missing",mgmt_nsx_operation_mode_chosen)</f>
        <v>#REF!</v>
      </c>
      <c r="D123" s="7"/>
      <c r="E123" s="12" t="s">
        <v>6780</v>
      </c>
      <c r="F123" s="79" t="s">
        <v>6943</v>
      </c>
      <c r="G123" s="7"/>
      <c r="H123" s="39" t="s">
        <v>7635</v>
      </c>
      <c r="I123" s="13" t="e">
        <f>IF(cluster_vds_profile_chosen="Default","",
IF(cluster_vds_profile_chosen="Storage Traffic Separation","",
IF(cluster_vds_profile_chosen="NSX Traffic Separation","",
IF(cluster_vds_profile_chosen="Storage Traffic and NSX Traffic Separation","Overlay",
IF(cluster_vds_profile_chosen="vSan Max Storage Traffic and NSX Traffic Separation","Overlay","")))))</f>
        <v>#REF!</v>
      </c>
      <c r="J123" s="7"/>
      <c r="K123" s="7"/>
      <c r="L123" s="7"/>
      <c r="M123" s="7"/>
      <c r="N123" s="30" t="s">
        <v>7665</v>
      </c>
      <c r="O123" s="13" t="str">
        <f>IF(ISBLANK(input_mgmt_srm_logs_rp),"Value Missing",input_mgmt_srm_logs_rp)</f>
        <v>Value Missing</v>
      </c>
      <c r="P123" s="7"/>
      <c r="Q123" s="80" t="s">
        <v>7642</v>
      </c>
      <c r="R123" s="13" t="str">
        <f>(CONCATENATE(vvs_mgmt_dr_vlr_hostname,".",child_dns_zone))</f>
        <v>Value Missing.Value Missing</v>
      </c>
      <c r="S123" s="7"/>
      <c r="T123" s="30" t="s">
        <v>7666</v>
      </c>
      <c r="U123" s="13" t="str">
        <f>IF(ISBLANK(input_cbr_vcdr_vsphere_role),"Value Missing",input_cbr_vcdr_vsphere_role)</f>
        <v>Value Missing</v>
      </c>
      <c r="V123" s="9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9.5" customHeight="1">
      <c r="A124" s="7"/>
      <c r="B124" s="60"/>
      <c r="C124" s="7"/>
      <c r="D124" s="7"/>
      <c r="E124" s="30" t="s">
        <v>7581</v>
      </c>
      <c r="F124" s="13" t="e">
        <v>#REF!</v>
      </c>
      <c r="G124" s="7"/>
      <c r="H124" s="39" t="s">
        <v>7515</v>
      </c>
      <c r="I124" s="13" t="e">
        <f t="array" ref="I124">IF(ISBLANK(input_cluster_vds03_lag_name),"Value Missing",input_cluster_vds03_lag_name)</f>
        <v>#REF!</v>
      </c>
      <c r="J124" s="7"/>
      <c r="K124" s="76" t="s">
        <v>7667</v>
      </c>
      <c r="L124" s="76"/>
      <c r="M124" s="7"/>
      <c r="N124" s="30" t="s">
        <v>7668</v>
      </c>
      <c r="O124" s="13" t="str">
        <f>IF(ISBLANK(input_mgmt_srm_recovery_pg),"Value Missing",input_mgmt_srm_recovery_pg)</f>
        <v>Value Missing</v>
      </c>
      <c r="P124" s="7"/>
      <c r="Q124" s="27"/>
      <c r="R124" s="27"/>
      <c r="S124" s="7"/>
      <c r="T124" s="30" t="s">
        <v>7669</v>
      </c>
      <c r="U124" s="13" t="str">
        <f>IF(ISBLANK(input_svc_cbr_vcdr_vsphere_user),"Value Missing",input_svc_cbr_vcdr_vsphere_user)</f>
        <v>Value Missing</v>
      </c>
      <c r="V124" s="9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9.5" customHeight="1">
      <c r="A125" s="7"/>
      <c r="B125" s="212" t="s">
        <v>7670</v>
      </c>
      <c r="C125" s="181"/>
      <c r="D125" s="7"/>
      <c r="E125" s="30" t="s">
        <v>7671</v>
      </c>
      <c r="F125" s="13" t="e">
        <v>#REF!</v>
      </c>
      <c r="G125" s="7"/>
      <c r="H125" s="52" t="s">
        <v>7672</v>
      </c>
      <c r="I125" s="52"/>
      <c r="J125" s="7"/>
      <c r="K125" s="12" t="s">
        <v>6780</v>
      </c>
      <c r="L125" s="79" t="s">
        <v>6943</v>
      </c>
      <c r="M125" s="7"/>
      <c r="N125" s="30" t="s">
        <v>7673</v>
      </c>
      <c r="O125" s="13" t="str">
        <f>IF(ISBLANK(input_mgmt_srm_recovery_gateway),"Value Missing",input_mgmt_srm_recovery_gateway)</f>
        <v>Value Missing</v>
      </c>
      <c r="P125" s="7"/>
      <c r="Q125" s="76" t="s">
        <v>7674</v>
      </c>
      <c r="R125" s="76"/>
      <c r="S125" s="7"/>
      <c r="T125" s="30" t="s">
        <v>7675</v>
      </c>
      <c r="U125" s="13" t="str">
        <f>IF(ISBLANK(input_svc_cbr_vcdr_vsphere_password),"Value Missing",input_svc_cbr_vcdr_vsphere_password)</f>
        <v>Value Missing</v>
      </c>
      <c r="V125" s="9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9.5" customHeight="1">
      <c r="A126" s="7"/>
      <c r="B126" s="52" t="s">
        <v>6780</v>
      </c>
      <c r="C126" s="52" t="s">
        <v>7376</v>
      </c>
      <c r="D126" s="7"/>
      <c r="E126" s="30" t="s">
        <v>7449</v>
      </c>
      <c r="F126" s="13" t="e">
        <f>IF(ISBLANK(input_wld_witness_vm_folder),"Value Missing",input_wld_witness_vm_folder)</f>
        <v>#REF!</v>
      </c>
      <c r="G126" s="7"/>
      <c r="H126" s="42" t="s">
        <v>7676</v>
      </c>
      <c r="I126" s="13" t="e">
        <f>IF(ISBLANK(input_cluster_az1_mgmt_pg),"Value Missing",input_cluster_az1_mgmt_pg)</f>
        <v>#REF!</v>
      </c>
      <c r="J126" s="7"/>
      <c r="K126" s="30" t="s">
        <v>7636</v>
      </c>
      <c r="L126" s="13" t="str">
        <f>IF(ISBLANK('Active Directory Inputs'!E18),"Value Missing",'Active Directory Inputs'!E18)</f>
        <v>Value Missing</v>
      </c>
      <c r="M126" s="7"/>
      <c r="N126" s="30" t="s">
        <v>7677</v>
      </c>
      <c r="O126" s="13" t="str">
        <f>IF(ISBLANK(input_mgmt_srm_recovery_mask),"Value Missing",input_mgmt_srm_recovery_mask)</f>
        <v>Value Missing</v>
      </c>
      <c r="P126" s="7"/>
      <c r="Q126" s="12" t="s">
        <v>6780</v>
      </c>
      <c r="R126" s="79" t="s">
        <v>6943</v>
      </c>
      <c r="S126" s="7"/>
      <c r="T126" s="30" t="s">
        <v>7678</v>
      </c>
      <c r="U126" s="13" t="str">
        <f>IF(ISBLANK(input_cbr_vm_folder),"Value Missing",input_cbr_vm_folder)</f>
        <v>Value Missing</v>
      </c>
      <c r="V126" s="9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9.5" customHeight="1">
      <c r="A127" s="7"/>
      <c r="B127" s="30" t="s">
        <v>7679</v>
      </c>
      <c r="C127" s="13" t="e">
        <f>IF(ISBLANK(mgmt_principal_storage_chosen),"Value Missing",mgmt_principal_storage_chosen)</f>
        <v>#REF!</v>
      </c>
      <c r="D127" s="7"/>
      <c r="E127" s="30" t="s">
        <v>7680</v>
      </c>
      <c r="F127" s="13" t="e">
        <f>IF(ISBLANK(input_wld_witness_dns1_ip),"Value Missing",input_wld_witness_dns1_ip)</f>
        <v>#REF!</v>
      </c>
      <c r="G127" s="7"/>
      <c r="H127" s="42" t="s">
        <v>7681</v>
      </c>
      <c r="I127" s="13" t="e">
        <f>IF(ISBLANK(cluster_az1_mgmt_lbt_chosen),"Value Missing",cluster_az1_mgmt_lbt_chosen)</f>
        <v>#REF!</v>
      </c>
      <c r="J127" s="7"/>
      <c r="K127" s="30" t="s">
        <v>7682</v>
      </c>
      <c r="L127" s="13" t="str">
        <f>IF(ISBLANK('Active Directory Inputs'!E19),"Value Missing",'Active Directory Inputs'!E19)</f>
        <v>Value Missing</v>
      </c>
      <c r="M127" s="7"/>
      <c r="N127" s="30" t="s">
        <v>7683</v>
      </c>
      <c r="O127" s="13"/>
      <c r="P127" s="7"/>
      <c r="Q127" s="80" t="s">
        <v>6811</v>
      </c>
      <c r="R127" s="13" t="str">
        <f>(CONCATENATE(wld_srm_hostname,".",child_dns_zone))</f>
        <v>Value Missing.Value Missing</v>
      </c>
      <c r="S127" s="7"/>
      <c r="T127" s="30" t="s">
        <v>7684</v>
      </c>
      <c r="U127" s="13" t="str">
        <f>IF(ISBLANK(input_cbr_recovery_sddc_name),"Value Missing",input_cbr_recovery_sddc_name)</f>
        <v>Value Missing</v>
      </c>
      <c r="V127" s="9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9.5" customHeight="1">
      <c r="A128" s="7"/>
      <c r="B128" s="30" t="s">
        <v>7581</v>
      </c>
      <c r="C128" s="13" t="e">
        <f>IF(ISBLANK(input_mgmt_cl01_vsan_datastore),"Value Missing",input_mgmt_cl01_vsan_datastore)</f>
        <v>#REF!</v>
      </c>
      <c r="D128" s="7"/>
      <c r="E128" s="30" t="s">
        <v>7680</v>
      </c>
      <c r="F128" s="13" t="e">
        <f>IF(ISBLANK(input_wld_witness_dns2_ip),"Value Missing",input_wld_witness_dns2_ip)</f>
        <v>#REF!</v>
      </c>
      <c r="G128" s="7"/>
      <c r="H128" s="42" t="s">
        <v>7685</v>
      </c>
      <c r="I128" s="13" t="e">
        <f>IF(ISBLANK(cluster_az1_mgmt_uplink1_chosen),"Value Missing",cluster_az1_mgmt_uplink1_chosen)</f>
        <v>#REF!</v>
      </c>
      <c r="J128" s="7"/>
      <c r="K128" s="7"/>
      <c r="L128" s="7"/>
      <c r="M128" s="7"/>
      <c r="N128" s="30" t="s">
        <v>7686</v>
      </c>
      <c r="O128" s="13" t="str">
        <f>IF(ISBLANK(input_vvs_dr_vr_username),"Value Missing",input_vvs_dr_vr_username)</f>
        <v>Value Missing</v>
      </c>
      <c r="P128" s="7"/>
      <c r="Q128" s="80" t="s">
        <v>7642</v>
      </c>
      <c r="R128" s="13" t="str">
        <f>(CONCATENATE(wld_srm_hostname,".",child_dns_zone))</f>
        <v>Value Missing.Value Missing</v>
      </c>
      <c r="S128" s="7"/>
      <c r="T128" s="30" t="s">
        <v>7687</v>
      </c>
      <c r="U128" s="13" t="str">
        <f>IF(ISBLANK(input_cbr_recovery_region),"Value Missing",input_cbr_recovery_region)</f>
        <v>Value Missing</v>
      </c>
      <c r="V128" s="9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9.5" customHeight="1">
      <c r="A129" s="7"/>
      <c r="B129" s="30" t="s">
        <v>7688</v>
      </c>
      <c r="C129" s="13" t="e">
        <f>IF(ISBLANK(mgmt_cl01_vsan_ftt_chosen),"Value Missing",mgmt_cl01_vsan_ftt_chosen)</f>
        <v>#REF!</v>
      </c>
      <c r="D129" s="7"/>
      <c r="E129" s="30" t="s">
        <v>7689</v>
      </c>
      <c r="F129" s="13" t="e">
        <f>IF(ISBLANK(sample_wld_witness_ntp1_server),"Value Missing",sample_wld_witness_ntp1_server)</f>
        <v>#REF!</v>
      </c>
      <c r="G129" s="7"/>
      <c r="H129" s="42" t="s">
        <v>7690</v>
      </c>
      <c r="I129" s="13" t="e">
        <f>IF(ISBLANK(cluster_az1_mgmt_uplink2_chosen),"Value Missing",cluster_az1_mgmt_uplink2_chosen)</f>
        <v>#REF!</v>
      </c>
      <c r="J129" s="7"/>
      <c r="K129" s="76" t="s">
        <v>7691</v>
      </c>
      <c r="L129" s="76"/>
      <c r="M129" s="7"/>
      <c r="N129" s="30" t="s">
        <v>7692</v>
      </c>
      <c r="O129" s="13" t="str">
        <f>IF(ISBLANK(input_vvs_dr_vr_password),"Value Missing",input_vvs_dr_vr_password)</f>
        <v>Value Missing</v>
      </c>
      <c r="P129" s="7"/>
      <c r="Q129" s="27"/>
      <c r="R129" s="27"/>
      <c r="S129" s="7"/>
      <c r="T129" s="30" t="s">
        <v>7693</v>
      </c>
      <c r="U129" s="13" t="str">
        <f>IF(ISBLANK(input_cbr_recovery_host_type),"Value Missing",input_cbr_recovery_host_type)</f>
        <v>Value Missing</v>
      </c>
      <c r="V129" s="9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9.5" customHeight="1">
      <c r="A130" s="7"/>
      <c r="B130" s="30" t="s">
        <v>7591</v>
      </c>
      <c r="C130" s="13" t="e">
        <f>IF(ISBLANK(mgmt_cl01_vsan_dedupe_compression_chosen),"Value Missing",mgmt_cl01_vsan_dedupe_compression_chosen)</f>
        <v>#REF!</v>
      </c>
      <c r="D130" s="7"/>
      <c r="E130" s="30" t="s">
        <v>7689</v>
      </c>
      <c r="F130" s="13" t="e">
        <f>IF(ISBLANK(sample_wld_witness_ntp2_server),"Value Missing",sample_wld_witness_ntp2_server)</f>
        <v>#REF!</v>
      </c>
      <c r="G130" s="7"/>
      <c r="H130" s="52" t="s">
        <v>7694</v>
      </c>
      <c r="I130" s="52"/>
      <c r="J130" s="7"/>
      <c r="K130" s="12" t="s">
        <v>6780</v>
      </c>
      <c r="L130" s="79" t="s">
        <v>6943</v>
      </c>
      <c r="M130" s="7"/>
      <c r="N130" s="7"/>
      <c r="O130" s="7"/>
      <c r="P130" s="7"/>
      <c r="Q130" s="76" t="s">
        <v>7695</v>
      </c>
      <c r="R130" s="78"/>
      <c r="S130" s="7"/>
      <c r="T130" s="30" t="s">
        <v>7696</v>
      </c>
      <c r="U130" s="13" t="str">
        <f>IF(ISBLANK(input_cbr_recovery_host_count),"Value Missing",input_cbr_recovery_host_count)</f>
        <v>Value Missing</v>
      </c>
      <c r="V130" s="9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9.5" customHeight="1">
      <c r="A131" s="7"/>
      <c r="B131" s="42" t="s">
        <v>7606</v>
      </c>
      <c r="C131" s="13" t="e">
        <f>IF(ISBLANK(input_mgmt_cl01_nfs_share),"Value Missing",input_mgmt_cl01_nfs_share)</f>
        <v>#REF!</v>
      </c>
      <c r="D131" s="7"/>
      <c r="E131" s="27"/>
      <c r="F131" s="27"/>
      <c r="G131" s="7"/>
      <c r="H131" s="42" t="s">
        <v>7676</v>
      </c>
      <c r="I131" s="13" t="e">
        <f>IF(ISBLANK(input_cluster_az1_mgmt_vm_pg),"Value Missing",input_cluster_az1_mgmt_vm_pg)</f>
        <v>#REF!</v>
      </c>
      <c r="J131" s="7"/>
      <c r="K131" s="30" t="str">
        <f>IF(ISBLANK('Active Directory Inputs'!D75),"Value Missing",'Active Directory Inputs'!D75)</f>
        <v>gg-kub-admins</v>
      </c>
      <c r="L131" s="13" t="str">
        <f>IF(ISBLANK('Active Directory Inputs'!E75),"Value Missing",'Active Directory Inputs'!E75)</f>
        <v>Value Missing</v>
      </c>
      <c r="M131" s="7"/>
      <c r="N131" s="7"/>
      <c r="O131" s="7"/>
      <c r="P131" s="7"/>
      <c r="Q131" s="12" t="s">
        <v>6780</v>
      </c>
      <c r="R131" s="79" t="s">
        <v>6943</v>
      </c>
      <c r="S131" s="7"/>
      <c r="T131" s="30" t="s">
        <v>7697</v>
      </c>
      <c r="U131" s="13" t="str">
        <f>IF(ISBLANK(input_cbr_recovery_vpc),"Value Missing",input_cbr_recovery_vpc)</f>
        <v>Value Missing</v>
      </c>
      <c r="V131" s="9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9.5" customHeight="1">
      <c r="A132" s="7"/>
      <c r="B132" s="42" t="s">
        <v>7611</v>
      </c>
      <c r="C132" s="13" t="e">
        <f>IF(ISBLANK(input_mgmt_cl01_nfs_server_ip),"Value Missing",input_mgmt_cl01_nfs_server_ip)</f>
        <v>#REF!</v>
      </c>
      <c r="D132" s="7"/>
      <c r="E132" s="76" t="s">
        <v>7698</v>
      </c>
      <c r="F132" s="78"/>
      <c r="G132" s="7"/>
      <c r="H132" s="42" t="s">
        <v>7681</v>
      </c>
      <c r="I132" s="13" t="e">
        <f>IF(ISBLANK(cluster_az1_mgmt_vm_lbt_chosen),"Value Missing",cluster_az1_mgmt_vm_lbt_chosen)</f>
        <v>#REF!</v>
      </c>
      <c r="J132" s="7"/>
      <c r="K132" s="30" t="str">
        <f>IF(ISBLANK('Active Directory Inputs'!D76),"Value Missing",'Active Directory Inputs'!D76)</f>
        <v>gg-kub-readonly</v>
      </c>
      <c r="L132" s="13" t="str">
        <f>IF(ISBLANK('Active Directory Inputs'!E76),"Value Missing",'Active Directory Inputs'!E76)</f>
        <v>Value Missing</v>
      </c>
      <c r="M132" s="7"/>
      <c r="N132" s="7"/>
      <c r="O132" s="7"/>
      <c r="P132" s="7"/>
      <c r="Q132" s="39" t="s">
        <v>7699</v>
      </c>
      <c r="R132" s="13"/>
      <c r="S132" s="7"/>
      <c r="T132" s="30" t="s">
        <v>7700</v>
      </c>
      <c r="U132" s="13" t="str">
        <f>IF(ISBLANK(input_cbr_recovery_subnet),"Value Missing",input_cbr_recovery_subnet)</f>
        <v>Value Missing</v>
      </c>
      <c r="V132" s="9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9.5" customHeight="1">
      <c r="A133" s="7"/>
      <c r="B133" s="42" t="s">
        <v>7701</v>
      </c>
      <c r="C133" s="13" t="e">
        <f>IF(ISBLANK(mgmt_cl01_nfs_server_bound_to_vmknic_chosen),"Value Missing",mgmt_cl01_nfs_server_bound_to_vmknic_chosen)</f>
        <v>#REF!</v>
      </c>
      <c r="D133" s="7"/>
      <c r="E133" s="12" t="s">
        <v>6780</v>
      </c>
      <c r="F133" s="79" t="s">
        <v>6943</v>
      </c>
      <c r="G133" s="7"/>
      <c r="H133" s="42" t="s">
        <v>7685</v>
      </c>
      <c r="I133" s="13" t="e">
        <f>IF(ISBLANK(cluster_az1_mgmt_vm_uplink1_chosen),"Value Missing",cluster_az1_mgmt_vm_uplink1_chosen)</f>
        <v>#REF!</v>
      </c>
      <c r="J133" s="7"/>
      <c r="K133" s="30" t="s">
        <v>7702</v>
      </c>
      <c r="L133" s="13" t="str">
        <f>IF(ISBLANK(input_parent_gg_wsa_admins_group),"Value Missing",input_parent_gg_wsa_admins_group)</f>
        <v>Value Missing</v>
      </c>
      <c r="M133" s="7"/>
      <c r="N133" s="7"/>
      <c r="O133" s="7"/>
      <c r="P133" s="7"/>
      <c r="Q133" s="39" t="s">
        <v>7703</v>
      </c>
      <c r="R133" s="13"/>
      <c r="S133" s="7"/>
      <c r="T133" s="30" t="s">
        <v>7704</v>
      </c>
      <c r="U133" s="13" t="str">
        <f>IF(ISBLANK(input_cbr_recovery_management_subnet),"Value Missing",input_cbr_recovery_management_subnet)</f>
        <v>Value Missing</v>
      </c>
      <c r="V133" s="9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9.5" customHeight="1">
      <c r="A134" s="7"/>
      <c r="B134" s="7"/>
      <c r="C134" s="7"/>
      <c r="D134" s="7"/>
      <c r="E134" s="80" t="s">
        <v>7187</v>
      </c>
      <c r="F134" s="13" t="e">
        <v>#REF!</v>
      </c>
      <c r="G134" s="7"/>
      <c r="H134" s="42" t="s">
        <v>7690</v>
      </c>
      <c r="I134" s="13" t="e">
        <f>IF(ISBLANK(cluster_az1_mgmt_vm_uplink2_chosen),"Value Missing",cluster_az1_mgmt_vm_uplink2_chosen)</f>
        <v>#REF!</v>
      </c>
      <c r="J134" s="7"/>
      <c r="K134" s="30" t="s">
        <v>7705</v>
      </c>
      <c r="L134" s="13" t="str">
        <f>IF(ISBLANK(input_parent_gg_wsa_directory_admins_group),"Value Missing",input_parent_gg_wsa_directory_admins_group)</f>
        <v>Value Missing</v>
      </c>
      <c r="M134" s="7"/>
      <c r="N134" s="7"/>
      <c r="O134" s="7"/>
      <c r="P134" s="7"/>
      <c r="Q134" s="27"/>
      <c r="R134" s="27"/>
      <c r="S134" s="7"/>
      <c r="T134" s="30" t="s">
        <v>7706</v>
      </c>
      <c r="U134" s="13" t="str">
        <f>IF(ISBLANK(input_cbr_firewall_rule_vcenter),"Value Missing",input_cbr_firewall_rule_vcenter)</f>
        <v>Value Missing</v>
      </c>
      <c r="V134" s="9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9.5" customHeight="1">
      <c r="A135" s="7"/>
      <c r="B135" s="97" t="s">
        <v>7707</v>
      </c>
      <c r="C135" s="98"/>
      <c r="D135" s="7"/>
      <c r="E135" s="80" t="s">
        <v>7449</v>
      </c>
      <c r="F135" s="13" t="e">
        <v>#REF!</v>
      </c>
      <c r="G135" s="7"/>
      <c r="H135" s="52" t="s">
        <v>7202</v>
      </c>
      <c r="I135" s="52"/>
      <c r="J135" s="7"/>
      <c r="K135" s="30" t="s">
        <v>7708</v>
      </c>
      <c r="L135" s="13" t="str">
        <f>IF(ISBLANK(input_parent_gg_wsa_read_only_group),"Value Missing",input_parent_gg_wsa_read_only_group)</f>
        <v>Value Missing</v>
      </c>
      <c r="M135" s="7"/>
      <c r="N135" s="7"/>
      <c r="O135" s="7"/>
      <c r="P135" s="7"/>
      <c r="Q135" s="76" t="s">
        <v>7709</v>
      </c>
      <c r="R135" s="76"/>
      <c r="S135" s="7"/>
      <c r="T135" s="30" t="s">
        <v>7710</v>
      </c>
      <c r="U135" s="13" t="str">
        <f>IF(ISBLANK(input_cbr_vcdr_site_name),"Value Missing",input_cbr_vcdr_site_name)</f>
        <v>Value Missing</v>
      </c>
      <c r="V135" s="9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9.5" customHeight="1">
      <c r="A136" s="7"/>
      <c r="B136" s="52" t="s">
        <v>6780</v>
      </c>
      <c r="C136" s="52" t="s">
        <v>7376</v>
      </c>
      <c r="D136" s="7"/>
      <c r="E136" s="80" t="s">
        <v>7711</v>
      </c>
      <c r="F136" s="13" t="e">
        <f>IF(ISBLANK(input_wld_witness_ip),"Value Missing",input_wld_witness_ip)</f>
        <v>#REF!</v>
      </c>
      <c r="G136" s="7"/>
      <c r="H136" s="42" t="s">
        <v>7676</v>
      </c>
      <c r="I136" s="13" t="e">
        <f>IF(ISBLANK(input_cluster_az1_vmotion_pg),"Value Missing",input_cluster_az1_vmotion_pg)</f>
        <v>#REF!</v>
      </c>
      <c r="J136" s="7"/>
      <c r="K136" s="30" t="s">
        <v>7712</v>
      </c>
      <c r="L136" s="13" t="str">
        <f>IF(ISBLANK('Active Directory Inputs'!E54),"Value Missing",'Active Directory Inputs'!E54)</f>
        <v>Value Missing</v>
      </c>
      <c r="M136" s="7"/>
      <c r="N136" s="7"/>
      <c r="O136" s="7"/>
      <c r="P136" s="7"/>
      <c r="Q136" s="12" t="s">
        <v>6780</v>
      </c>
      <c r="R136" s="79" t="s">
        <v>6943</v>
      </c>
      <c r="S136" s="7"/>
      <c r="T136" s="30" t="s">
        <v>7713</v>
      </c>
      <c r="U136" s="13" t="str">
        <f>IF(ISBLANK(input_cbr_vcdr_timezone),"Value Missing",input_cbr_vcdr_timezone)</f>
        <v>Value Missing</v>
      </c>
      <c r="V136" s="9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9.5" customHeight="1">
      <c r="A137" s="7"/>
      <c r="B137" s="30" t="s">
        <v>7714</v>
      </c>
      <c r="C137" s="13"/>
      <c r="D137" s="7"/>
      <c r="E137" s="80" t="s">
        <v>7187</v>
      </c>
      <c r="F137" s="13" t="e">
        <f>IF(ISBLANK(input_wld_witness_zone_vc_fqdn),"Value Missing",input_wld_witness_zone_vc_fqdn)</f>
        <v>#REF!</v>
      </c>
      <c r="G137" s="7"/>
      <c r="H137" s="42" t="s">
        <v>7681</v>
      </c>
      <c r="I137" s="13" t="e">
        <f>IF(ISBLANK(cluster_az1_vmotion_lbt_chosen),"Value Missing",cluster_az1_vmotion_lbt_chosen)</f>
        <v>#REF!</v>
      </c>
      <c r="J137" s="7"/>
      <c r="K137" s="30" t="s">
        <v>7715</v>
      </c>
      <c r="L137" s="13" t="str">
        <f>IF(ISBLANK('Active Directory Inputs'!E55),"Value Missing",'Active Directory Inputs'!E55)</f>
        <v>Value Missing</v>
      </c>
      <c r="M137" s="7"/>
      <c r="N137" s="7"/>
      <c r="O137" s="7"/>
      <c r="P137" s="7"/>
      <c r="Q137" s="39" t="s">
        <v>7699</v>
      </c>
      <c r="R137" s="13"/>
      <c r="S137" s="7"/>
      <c r="T137" s="30" t="s">
        <v>7716</v>
      </c>
      <c r="U137" s="13" t="str">
        <f t="array" ref="U137">IF(ISBLANK(input_cbr_vcdr_cdp1_hostname),"Value Missing",input_cbr_vcdr_cdp1_hostname)</f>
        <v>Value Missing</v>
      </c>
      <c r="V137" s="9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9.5" customHeight="1">
      <c r="A138" s="7"/>
      <c r="B138" s="30" t="s">
        <v>7717</v>
      </c>
      <c r="C138" s="13" t="e">
        <f>IF(ISBLANK(sizing_mgmt_ec_formfactor_chosen),"Value Missing",sizing_mgmt_ec_formfactor_chosen)</f>
        <v>#REF!</v>
      </c>
      <c r="D138" s="7"/>
      <c r="E138" s="80" t="s">
        <v>7718</v>
      </c>
      <c r="F138" s="13" t="e">
        <f>IF(ISBLANK(input_wld_witnessaz_mgmt_cidr),"Value Missing",input_wld_witnessaz_mgmt_cidr)</f>
        <v>#REF!</v>
      </c>
      <c r="G138" s="7"/>
      <c r="H138" s="42" t="s">
        <v>7685</v>
      </c>
      <c r="I138" s="13" t="e">
        <f>IF(ISBLANK(cluster_az1_vmotion_uplink1_chosen),"Value Missing",cluster_az1_vmotion_uplink1_chosen)</f>
        <v>#REF!</v>
      </c>
      <c r="J138" s="7"/>
      <c r="K138" s="30" t="s">
        <v>7719</v>
      </c>
      <c r="L138" s="13" t="str">
        <f>IF(ISBLANK('Active Directory Inputs'!E56),"Value Missing",'Active Directory Inputs'!E56)</f>
        <v>Value Missing</v>
      </c>
      <c r="M138" s="7"/>
      <c r="N138" s="7"/>
      <c r="O138" s="7"/>
      <c r="P138" s="7"/>
      <c r="Q138" s="39" t="s">
        <v>7703</v>
      </c>
      <c r="R138" s="13"/>
      <c r="S138" s="7"/>
      <c r="T138" s="30" t="s">
        <v>7720</v>
      </c>
      <c r="U138" s="13" t="str">
        <f>IF(ISBLANK(input_cbr_vcdr_cdp1_ip),"Value Missing",input_cbr_vcdr_cdp1_ip)</f>
        <v>Value Missing</v>
      </c>
      <c r="V138" s="9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9.5" customHeight="1">
      <c r="A139" s="7"/>
      <c r="B139" s="30" t="s">
        <v>7721</v>
      </c>
      <c r="C139" s="13" t="e">
        <f>IF(ISBLANK(input_mgmt_ec_mtu),"Value Missing",input_mgmt_ec_mtu)</f>
        <v>#REF!</v>
      </c>
      <c r="D139" s="7"/>
      <c r="E139" s="80" t="s">
        <v>7722</v>
      </c>
      <c r="F139" s="13" t="e">
        <f>IF(ISBLANK(input_wld_witnessaz_mgmt_gateway_ip),"Value Missing",input_wld_witnessaz_mgmt_gateway_ip)</f>
        <v>#REF!</v>
      </c>
      <c r="G139" s="7"/>
      <c r="H139" s="42" t="s">
        <v>7690</v>
      </c>
      <c r="I139" s="13" t="e">
        <f>IF(ISBLANK(cluster_az1_vmotion_uplink2_chosen),"Value Missing",cluster_az1_vmotion_uplink2_chosen)</f>
        <v>#REF!</v>
      </c>
      <c r="J139" s="7"/>
      <c r="K139" s="30" t="s">
        <v>7723</v>
      </c>
      <c r="L139" s="13" t="str">
        <f>IF(ISBLANK('Active Directory Inputs'!E84),"Value Missing",'Active Directory Inputs'!E84)</f>
        <v>Value Missing</v>
      </c>
      <c r="M139" s="7"/>
      <c r="N139" s="7"/>
      <c r="O139" s="7"/>
      <c r="P139" s="7"/>
      <c r="Q139" s="72"/>
      <c r="R139" s="7"/>
      <c r="S139" s="7"/>
      <c r="T139" s="30" t="s">
        <v>7724</v>
      </c>
      <c r="U139" s="13" t="str">
        <f>IF(ISBLANK(input_cbr_vcdr_cdp2_hostname),"Value Missing",input_cbr_vcdr_cdp2_hostname)</f>
        <v>Value Missing</v>
      </c>
      <c r="V139" s="9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9.5" customHeight="1">
      <c r="A140" s="7"/>
      <c r="B140" s="30" t="s">
        <v>7725</v>
      </c>
      <c r="C140" s="13" t="e">
        <f>IF(ISBLANK(input_mgmt_ec_rp_name),"Value Missing",input_mgmt_ec_rp_name)</f>
        <v>#REF!</v>
      </c>
      <c r="D140" s="7"/>
      <c r="E140" s="80" t="s">
        <v>7726</v>
      </c>
      <c r="F140" s="13" t="e">
        <f>IF(wld_witnessaz_mgmt_cidr="Value Missing",wld_witnessaz_mgmt_cidr,(LEFT(wld_witnessaz_mgmt_cidr,(FIND("/",wld_witnessaz_mgmt_cidr)-1))))</f>
        <v>#REF!</v>
      </c>
      <c r="G140" s="7"/>
      <c r="H140" s="52" t="s">
        <v>7261</v>
      </c>
      <c r="I140" s="52"/>
      <c r="J140" s="7"/>
      <c r="K140" s="30" t="s">
        <v>7727</v>
      </c>
      <c r="L140" s="13" t="str">
        <f>IF(ISBLANK('Active Directory Inputs'!E85),"Value Missing",'Active Directory Inputs'!E85)</f>
        <v>Value Missing</v>
      </c>
      <c r="M140" s="7"/>
      <c r="N140" s="7"/>
      <c r="O140" s="7"/>
      <c r="P140" s="7"/>
      <c r="Q140" s="27"/>
      <c r="R140" s="27"/>
      <c r="S140" s="7"/>
      <c r="T140" s="30" t="s">
        <v>7728</v>
      </c>
      <c r="U140" s="13" t="str">
        <f>IF(ISBLANK(input_cbr_vcdr_cdp2_ip),"Value Missing",input_cbr_vcdr_cdp2_ip)</f>
        <v>Value Missing</v>
      </c>
      <c r="V140" s="9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9.5" customHeight="1">
      <c r="A141" s="7"/>
      <c r="B141" s="30" t="s">
        <v>7729</v>
      </c>
      <c r="C141" s="13" t="e">
        <f>IF(ISBLANK(mgmt_ec01_host_group_affinity_rule_chosen),"Value Missing",mgmt_ec01_host_group_affinity_rule_chosen)</f>
        <v>#REF!</v>
      </c>
      <c r="D141" s="7"/>
      <c r="E141" s="80" t="s">
        <v>7730</v>
      </c>
      <c r="F141" s="13" t="e">
        <f>IF(wld_witnessaz_mgmt_cidr="Value Missing",wld_witnessaz_mgmt_cidr,VLOOKUP(INT(RIGHT(wld_witnessaz_mgmt_cidr,LEN(wld_witnessaz_mgmt_cidr)-FIND("/",wld_witnessaz_mgmt_cidr))),table_cidr_to_mask,2,FALSE))</f>
        <v>#REF!</v>
      </c>
      <c r="G141" s="7"/>
      <c r="H141" s="42" t="s">
        <v>7676</v>
      </c>
      <c r="I141" s="13" t="e">
        <f>IF(ISBLANK(input_cluster_az1_principal_storage_pg),"Value Missing",input_cluster_az1_principal_storage_pg)</f>
        <v>#REF!</v>
      </c>
      <c r="J141" s="7"/>
      <c r="K141" s="30" t="s">
        <v>7731</v>
      </c>
      <c r="L141" s="13" t="str">
        <f>IF(ISBLANK('Active Directory Inputs'!E86),"Value Missing",'Active Directory Inputs'!E86)</f>
        <v>Value Missing</v>
      </c>
      <c r="M141" s="7"/>
      <c r="N141" s="7"/>
      <c r="O141" s="7"/>
      <c r="P141" s="7"/>
      <c r="Q141" s="27"/>
      <c r="R141" s="27"/>
      <c r="S141" s="7"/>
      <c r="T141" s="30" t="s">
        <v>7732</v>
      </c>
      <c r="U141" s="13" t="str">
        <f>IF(ISBLANK(input_cbr_vcdr_ova),"Value Missing",input_cbr_vcdr_ova)</f>
        <v>Value Missing</v>
      </c>
      <c r="V141" s="9"/>
      <c r="W141" s="7"/>
      <c r="X141" s="7"/>
      <c r="Y141" s="7"/>
      <c r="Z141" s="27"/>
      <c r="AA141" s="27"/>
      <c r="AB141" s="7"/>
      <c r="AC141" s="7"/>
      <c r="AD141" s="7"/>
      <c r="AE141" s="7"/>
      <c r="AF141" s="7"/>
    </row>
    <row r="142" spans="1:32" ht="19.5" customHeight="1">
      <c r="A142" s="7"/>
      <c r="B142" s="30" t="s">
        <v>7733</v>
      </c>
      <c r="C142" s="13" t="e">
        <f t="array" ref="C142">IF(ISBLANK(input_mgmt_ec01_en01_host_group_affinity_rule_name),"Value Missing",input_mgmt_ec01_en01_host_group_affinity_rule_name)</f>
        <v>#REF!</v>
      </c>
      <c r="D142" s="7"/>
      <c r="E142" s="80" t="s">
        <v>7734</v>
      </c>
      <c r="F142" s="13" t="e">
        <f>IF(ISBLANK(input_xreg_vra_prefix),"Value Missing",input_xreg_vra_prefix)</f>
        <v>#REF!</v>
      </c>
      <c r="G142" s="7"/>
      <c r="H142" s="42" t="s">
        <v>7681</v>
      </c>
      <c r="I142" s="13" t="e">
        <f>IF(ISBLANK(cluster_az1_principal_storage_lbt_chosen),"Value Missing",cluster_az1_principal_storage_lbt_chosen)</f>
        <v>#REF!</v>
      </c>
      <c r="J142" s="7"/>
      <c r="K142" s="30" t="s">
        <v>7735</v>
      </c>
      <c r="L142" s="13" t="str">
        <f>IF(ISBLANK('Active Directory Inputs'!E79),"Value Missing",'Active Directory Inputs'!E79)</f>
        <v>Value Missing</v>
      </c>
      <c r="M142" s="7"/>
      <c r="N142" s="7"/>
      <c r="O142" s="7"/>
      <c r="P142" s="7"/>
      <c r="Q142" s="27"/>
      <c r="R142" s="27"/>
      <c r="S142" s="7"/>
      <c r="T142" s="30" t="s">
        <v>7736</v>
      </c>
      <c r="U142" s="13" t="str">
        <f>IF(ISBLANK(input_cbr_vcdr_orchestrator_fqdn),"Value Missing",input_cbr_vcdr_orchestrator_fqdn)</f>
        <v>Value Missing</v>
      </c>
      <c r="V142" s="9"/>
      <c r="W142" s="7"/>
      <c r="X142" s="27"/>
      <c r="Y142" s="7"/>
      <c r="Z142" s="27"/>
      <c r="AA142" s="27"/>
      <c r="AB142" s="7"/>
      <c r="AC142" s="7"/>
      <c r="AD142" s="7"/>
      <c r="AE142" s="7"/>
      <c r="AF142" s="7"/>
    </row>
    <row r="143" spans="1:32" ht="19.5" customHeight="1">
      <c r="A143" s="7"/>
      <c r="B143" s="30" t="s">
        <v>7733</v>
      </c>
      <c r="C143" s="13" t="e">
        <f t="array" ref="C143">IF(ISBLANK(input_mgmt_ec01_en02_host_group_affinity_rule_name),"Value Missing",input_mgmt_ec01_en02_host_group_affinity_rule_name)</f>
        <v>#REF!</v>
      </c>
      <c r="D143" s="7"/>
      <c r="E143" s="80" t="s">
        <v>7737</v>
      </c>
      <c r="F143" s="13" t="e">
        <f>IF(ISBLANK(input_xreg_vrops_collector_ip),"Value Missing",input_xreg_vrops_collector_ip)</f>
        <v>#REF!</v>
      </c>
      <c r="G143" s="7"/>
      <c r="H143" s="42" t="s">
        <v>7685</v>
      </c>
      <c r="I143" s="13" t="e">
        <f>IF(ISBLANK(cluster_az1_principal_storage_uplink1_chosen),"Value Missing",cluster_az1_principal_storage_uplink1_chosen)</f>
        <v>#REF!</v>
      </c>
      <c r="J143" s="7"/>
      <c r="K143" s="30" t="s">
        <v>7738</v>
      </c>
      <c r="L143" s="13" t="str">
        <f>IF(ISBLANK('Active Directory Inputs'!E80),"Value Missing",'Active Directory Inputs'!E80)</f>
        <v>Value Missing</v>
      </c>
      <c r="M143" s="7"/>
      <c r="N143" s="7"/>
      <c r="O143" s="7"/>
      <c r="P143" s="7"/>
      <c r="Q143" s="27"/>
      <c r="R143" s="27"/>
      <c r="S143" s="7"/>
      <c r="T143" s="30" t="s">
        <v>7739</v>
      </c>
      <c r="U143" s="13" t="str">
        <f>IF(ISBLANK(input_cbr_vcdr_passcode),"Value Missing",input_cbr_vcdr_passcode)</f>
        <v>Value Missing</v>
      </c>
      <c r="V143" s="9"/>
      <c r="W143" s="7"/>
      <c r="X143" s="7"/>
      <c r="Y143" s="7"/>
      <c r="Z143" s="27"/>
      <c r="AA143" s="27"/>
      <c r="AB143" s="7"/>
      <c r="AC143" s="7"/>
      <c r="AD143" s="7"/>
      <c r="AE143" s="7"/>
      <c r="AF143" s="7"/>
    </row>
    <row r="144" spans="1:32" ht="19.5" customHeight="1">
      <c r="A144" s="7"/>
      <c r="B144" s="30" t="s">
        <v>7740</v>
      </c>
      <c r="C144" s="13" t="e">
        <f>IF(ISBLANK(mgmt_ec01_use_host_overlay_chosen),"Value Missing",mgmt_ec01_use_host_overlay_chosen)</f>
        <v>#REF!</v>
      </c>
      <c r="D144" s="7"/>
      <c r="E144" s="80" t="s">
        <v>7741</v>
      </c>
      <c r="F144" s="13" t="e">
        <f>IF(ISBLANK(mgmt_vcfops_appliance_size_chosen),"Value Missing",mgmt_vcfops_appliance_size_chosen)</f>
        <v>#REF!</v>
      </c>
      <c r="G144" s="7"/>
      <c r="H144" s="42" t="s">
        <v>7690</v>
      </c>
      <c r="I144" s="13" t="e">
        <f>IF(ISBLANK(cluster_az1_principal_storage_uplink2_chosen),"Value Missing",cluster_az1_principal_storage_uplink2_chosen)</f>
        <v>#REF!</v>
      </c>
      <c r="J144" s="7"/>
      <c r="K144" s="30" t="s">
        <v>7742</v>
      </c>
      <c r="L144" s="13" t="str">
        <f>IF(ISBLANK('Active Directory Inputs'!E81),"Value Missing",'Active Directory Inputs'!E81)</f>
        <v>Value Missing</v>
      </c>
      <c r="M144" s="7"/>
      <c r="N144" s="7"/>
      <c r="O144" s="7"/>
      <c r="P144" s="7"/>
      <c r="Q144" s="27"/>
      <c r="R144" s="27"/>
      <c r="S144" s="7"/>
      <c r="T144" s="30" t="s">
        <v>7743</v>
      </c>
      <c r="U144" s="13" t="str">
        <f>IF(ISBLANK(input_cbr_vcdr_label),"Value Missing",input_cbr_vcdr_label)</f>
        <v>Value Missing</v>
      </c>
      <c r="V144" s="9"/>
      <c r="W144" s="7"/>
      <c r="X144" s="7"/>
      <c r="Y144" s="7"/>
      <c r="Z144" s="27"/>
      <c r="AA144" s="27"/>
      <c r="AB144" s="7"/>
      <c r="AC144" s="7"/>
      <c r="AD144" s="7"/>
      <c r="AE144" s="7"/>
      <c r="AF144" s="7"/>
    </row>
    <row r="145" spans="1:32" ht="19.5" customHeight="1">
      <c r="A145" s="7"/>
      <c r="B145" s="30" t="s">
        <v>7744</v>
      </c>
      <c r="C145" s="13" t="e">
        <f>IF(mgmt_dpg_reuse_chosen="Use a separate dedicated network","Included","Excluded")</f>
        <v>#REF!</v>
      </c>
      <c r="D145" s="7"/>
      <c r="E145" s="27"/>
      <c r="F145" s="27"/>
      <c r="G145" s="7"/>
      <c r="H145" s="52" t="s">
        <v>7745</v>
      </c>
      <c r="I145" s="52"/>
      <c r="J145" s="7"/>
      <c r="K145" s="30" t="s">
        <v>7746</v>
      </c>
      <c r="L145" s="13" t="str">
        <f>IF(ISBLANK('Active Directory Inputs'!E94),"Value Missing",'Active Directory Inputs'!E94)</f>
        <v>Value Missing</v>
      </c>
      <c r="M145" s="7"/>
      <c r="N145" s="7"/>
      <c r="O145" s="7"/>
      <c r="P145" s="7"/>
      <c r="Q145" s="27"/>
      <c r="R145" s="27"/>
      <c r="S145" s="7"/>
      <c r="T145" s="30" t="s">
        <v>7747</v>
      </c>
      <c r="U145" s="13" t="str">
        <f>IF(ISBLANK(input_cbr_vcdr_anti_affinity),"Value Missing",input_cbr_vcdr_anti_affinity)</f>
        <v>Value Missing</v>
      </c>
      <c r="V145" s="9"/>
      <c r="W145" s="7"/>
      <c r="X145" s="7"/>
      <c r="Y145" s="7"/>
      <c r="Z145" s="27"/>
      <c r="AA145" s="27"/>
      <c r="AB145" s="7"/>
      <c r="AC145" s="7"/>
      <c r="AD145" s="7"/>
      <c r="AE145" s="7"/>
      <c r="AF145" s="7"/>
    </row>
    <row r="146" spans="1:32" ht="19.5" customHeight="1">
      <c r="A146" s="7"/>
      <c r="B146" s="30" t="s">
        <v>7748</v>
      </c>
      <c r="C146" s="13" t="e">
        <f>mgmt_gateway_routing_type_chosen</f>
        <v>#REF!</v>
      </c>
      <c r="D146" s="7"/>
      <c r="E146" s="75" t="s">
        <v>7749</v>
      </c>
      <c r="F146" s="75"/>
      <c r="G146" s="7"/>
      <c r="H146" s="42" t="s">
        <v>7676</v>
      </c>
      <c r="I146" s="13" t="e">
        <f>IF(ISBLANK(input_cluster_az1_vsan_storage_client_pg),"Value Missing",input_cluster_az1_vsan_storage_client_pg)</f>
        <v>#REF!</v>
      </c>
      <c r="J146" s="7"/>
      <c r="K146" s="30" t="s">
        <v>7750</v>
      </c>
      <c r="L146" s="13" t="str">
        <f>IF(ISBLANK('Active Directory Inputs'!E95),"Value Missing",'Active Directory Inputs'!E95)</f>
        <v>Value Missing</v>
      </c>
      <c r="M146" s="7"/>
      <c r="N146" s="7"/>
      <c r="O146" s="7"/>
      <c r="P146" s="7"/>
      <c r="Q146" s="27"/>
      <c r="R146" s="27"/>
      <c r="S146" s="7"/>
      <c r="T146" s="30" t="s">
        <v>7751</v>
      </c>
      <c r="U146" s="13" t="str">
        <f>IF(ISBLANK(input_cbr_vcdr_email_recipient),"Value Missing",input_cbr_vcdr_email_recipient)</f>
        <v>Value Missing</v>
      </c>
      <c r="V146" s="9"/>
      <c r="W146" s="7"/>
      <c r="X146" s="7"/>
      <c r="Y146" s="7"/>
      <c r="Z146" s="27"/>
      <c r="AA146" s="27"/>
      <c r="AB146" s="7"/>
      <c r="AC146" s="7"/>
      <c r="AD146" s="7"/>
      <c r="AE146" s="7"/>
      <c r="AF146" s="7"/>
    </row>
    <row r="147" spans="1:32" ht="19.5" customHeight="1">
      <c r="A147" s="7"/>
      <c r="B147" s="30" t="s">
        <v>7752</v>
      </c>
      <c r="C147" s="13" t="e">
        <f>mgmt_az1_en1_ip_allocation_chosen</f>
        <v>#REF!</v>
      </c>
      <c r="D147" s="7"/>
      <c r="E147" s="52" t="s">
        <v>6780</v>
      </c>
      <c r="F147" s="52" t="s">
        <v>6781</v>
      </c>
      <c r="G147" s="7"/>
      <c r="H147" s="42" t="s">
        <v>7681</v>
      </c>
      <c r="I147" s="13" t="e">
        <f>IF(ISBLANK(cluster_az1_vsan_storage_client_lbt_chosen),"Value Missing",cluster_az1_vsan_storage_client_lbt_chosen)</f>
        <v>#REF!</v>
      </c>
      <c r="J147" s="7"/>
      <c r="K147" s="30" t="s">
        <v>7753</v>
      </c>
      <c r="L147" s="13" t="str">
        <f>IF(ISBLANK('Active Directory Inputs'!E96),"Value Missing",'Active Directory Inputs'!E96)</f>
        <v>Value Missing</v>
      </c>
      <c r="M147" s="7"/>
      <c r="N147" s="7"/>
      <c r="O147" s="7"/>
      <c r="P147" s="7"/>
      <c r="Q147" s="27"/>
      <c r="R147" s="27"/>
      <c r="S147" s="7"/>
      <c r="T147" s="30" t="s">
        <v>7754</v>
      </c>
      <c r="U147" s="13" t="str">
        <f>IF(ISBLANK(input_cbr_vcdr_email_sender),"Value Missing",input_cbr_vcdr_email_sender)</f>
        <v>Value Missing</v>
      </c>
      <c r="V147" s="9"/>
      <c r="W147" s="7"/>
      <c r="X147" s="7"/>
      <c r="Y147" s="7"/>
      <c r="Z147" s="27"/>
      <c r="AA147" s="27"/>
      <c r="AB147" s="7"/>
      <c r="AC147" s="7"/>
      <c r="AD147" s="7"/>
      <c r="AE147" s="7"/>
      <c r="AF147" s="7"/>
    </row>
    <row r="148" spans="1:32" ht="19.5" customHeight="1">
      <c r="A148" s="7"/>
      <c r="B148" s="30" t="s">
        <v>7755</v>
      </c>
      <c r="C148" s="13" t="e">
        <f t="shared" ref="C148:C149" si="1">IF(ISBLANK(mgmt_az1_en1_edge_overlay_network_ip_allocation_chosen),"Value Missing",mgmt_az1_en1_edge_overlay_network_ip_allocation_chosen)</f>
        <v>#REF!</v>
      </c>
      <c r="D148" s="7"/>
      <c r="E148" s="30" t="s">
        <v>7756</v>
      </c>
      <c r="F148" s="13" t="e">
        <f>IF(ISBLANK(input_wld_sso_domain_name),"Value Missing",input_wld_sso_domain_name)</f>
        <v>#REF!</v>
      </c>
      <c r="G148" s="7"/>
      <c r="H148" s="42" t="s">
        <v>7685</v>
      </c>
      <c r="I148" s="13" t="e">
        <f>IF(ISBLANK(cluster_az1_vsan_storage_client_uplink1),"Value Missing",cluster_az1_vsan_storage_client_uplink1)</f>
        <v>#REF!</v>
      </c>
      <c r="J148" s="7"/>
      <c r="K148" s="30" t="s">
        <v>7757</v>
      </c>
      <c r="L148" s="13" t="str">
        <f>IF(ISBLANK('Active Directory Inputs'!E97),"Value Missing",'Active Directory Inputs'!E97)</f>
        <v>Value Missing</v>
      </c>
      <c r="M148" s="7"/>
      <c r="N148" s="7"/>
      <c r="O148" s="7"/>
      <c r="P148" s="7"/>
      <c r="Q148" s="27"/>
      <c r="R148" s="27"/>
      <c r="S148" s="7"/>
      <c r="T148" s="30" t="s">
        <v>7758</v>
      </c>
      <c r="U148" s="13" t="str">
        <f>IF(ISBLANK(input_cbr_aria_logs_url),"Value Missing",input_cbr_aria_logs_url)</f>
        <v>Value Missing</v>
      </c>
      <c r="V148" s="9"/>
      <c r="W148" s="7"/>
      <c r="X148" s="7"/>
      <c r="Y148" s="7"/>
      <c r="Z148" s="27"/>
      <c r="AA148" s="27"/>
      <c r="AB148" s="7"/>
      <c r="AC148" s="7"/>
      <c r="AD148" s="7"/>
      <c r="AE148" s="7"/>
      <c r="AF148" s="7"/>
    </row>
    <row r="149" spans="1:32" ht="19.5" customHeight="1">
      <c r="A149" s="7"/>
      <c r="B149" s="30" t="s">
        <v>7759</v>
      </c>
      <c r="C149" s="13" t="e">
        <f t="shared" si="1"/>
        <v>#REF!</v>
      </c>
      <c r="D149" s="7"/>
      <c r="E149" s="30" t="s">
        <v>7760</v>
      </c>
      <c r="F149" s="13" t="e">
        <f>IF(ISBLANK(input_wld_administrator_vsphere_local_password),"Value Missing",input_wld_administrator_vsphere_local_password)</f>
        <v>#REF!</v>
      </c>
      <c r="G149" s="7"/>
      <c r="H149" s="42" t="s">
        <v>7690</v>
      </c>
      <c r="I149" s="13" t="e">
        <f>IF(ISBLANK(cluster_az1_vsan_storage_client_uplink2),"Value Missing",cluster_az1_vsan_storage_client_uplink2)</f>
        <v>#REF!</v>
      </c>
      <c r="J149" s="7"/>
      <c r="K149" s="30" t="s">
        <v>7761</v>
      </c>
      <c r="L149" s="13" t="str">
        <f>IF(ISBLANK('Active Directory Inputs'!E103),"Value Missing",'Active Directory Inputs'!E103)</f>
        <v>Value Missing</v>
      </c>
      <c r="M149" s="7"/>
      <c r="N149" s="7"/>
      <c r="O149" s="7"/>
      <c r="P149" s="7"/>
      <c r="Q149" s="27"/>
      <c r="R149" s="27"/>
      <c r="S149" s="7"/>
      <c r="T149" s="30" t="s">
        <v>7762</v>
      </c>
      <c r="U149" s="13" t="str">
        <f>IF(ISBLANK(input_cbr_aria_logs_key),"Value Missing",input_cbr_aria_logs_key)</f>
        <v>Value Missing</v>
      </c>
      <c r="V149" s="9"/>
      <c r="W149" s="7"/>
      <c r="X149" s="7"/>
      <c r="Y149" s="7"/>
      <c r="Z149" s="27"/>
      <c r="AA149" s="27"/>
      <c r="AB149" s="7"/>
      <c r="AC149" s="7"/>
      <c r="AD149" s="7"/>
      <c r="AE149" s="7"/>
      <c r="AF149" s="7"/>
    </row>
    <row r="150" spans="1:32" ht="19.5" customHeight="1">
      <c r="A150" s="7"/>
      <c r="B150" s="30" t="s">
        <v>7763</v>
      </c>
      <c r="C150" s="13" t="e">
        <f>mgmt_az1_ec01_password_creation_chosen</f>
        <v>#REF!</v>
      </c>
      <c r="D150" s="7"/>
      <c r="E150" s="30" t="s">
        <v>7764</v>
      </c>
      <c r="F150" s="13" t="e">
        <f>(CONCATENATE("administrator@",input_wld_sso_domain_name))</f>
        <v>#REF!</v>
      </c>
      <c r="G150" s="7"/>
      <c r="H150" s="52" t="s">
        <v>6064</v>
      </c>
      <c r="I150" s="52"/>
      <c r="J150" s="7"/>
      <c r="K150" s="30" t="s">
        <v>7765</v>
      </c>
      <c r="L150" s="13" t="str">
        <f>IF(ISBLANK('Active Directory Inputs'!E104),"Value Missing",'Active Directory Inputs'!E104)</f>
        <v>Value Missing</v>
      </c>
      <c r="M150" s="7"/>
      <c r="N150" s="7"/>
      <c r="O150" s="7"/>
      <c r="P150" s="7"/>
      <c r="Q150" s="27"/>
      <c r="R150" s="27"/>
      <c r="S150" s="7"/>
      <c r="T150" s="27"/>
      <c r="U150" s="27"/>
      <c r="V150" s="9"/>
      <c r="W150" s="7"/>
      <c r="X150" s="27"/>
      <c r="Y150" s="7"/>
      <c r="Z150" s="27"/>
      <c r="AA150" s="27"/>
      <c r="AB150" s="7"/>
      <c r="AC150" s="7"/>
      <c r="AD150" s="7"/>
      <c r="AE150" s="7"/>
      <c r="AF150" s="7"/>
    </row>
    <row r="151" spans="1:32" ht="19.5" customHeight="1">
      <c r="A151" s="7"/>
      <c r="B151" s="30" t="s">
        <v>7766</v>
      </c>
      <c r="C151" s="13" t="e">
        <f>IF(ISBLANK(mgmt_tier0_skip_chosen),"Value Missing",mgmt_tier0_skip_chosen)</f>
        <v>#NAME?</v>
      </c>
      <c r="D151" s="7"/>
      <c r="E151" s="80" t="s">
        <v>7767</v>
      </c>
      <c r="F151" s="13" t="e">
        <f>IF(ISBLANK(input_wld_cl01_image_name),"Value Missing",input_wld_cl01_image_name)</f>
        <v>#REF!</v>
      </c>
      <c r="G151" s="7"/>
      <c r="H151" s="30" t="s">
        <v>7768</v>
      </c>
      <c r="I151" s="13" t="e">
        <f>cluster_nsx_default_operation_mode_chosen</f>
        <v>#REF!</v>
      </c>
      <c r="J151" s="7"/>
      <c r="K151" s="30" t="s">
        <v>7769</v>
      </c>
      <c r="L151" s="13" t="str">
        <f>IF(ISBLANK('Active Directory Inputs'!E105),"Value Missing",'Active Directory Inputs'!E105)</f>
        <v>Value Missing</v>
      </c>
      <c r="M151" s="7"/>
      <c r="N151" s="7"/>
      <c r="O151" s="7"/>
      <c r="P151" s="7"/>
      <c r="Q151" s="27"/>
      <c r="R151" s="27"/>
      <c r="S151" s="7"/>
      <c r="T151" s="180" t="s">
        <v>7770</v>
      </c>
      <c r="U151" s="181"/>
      <c r="V151" s="9"/>
      <c r="W151" s="7"/>
      <c r="X151" s="27"/>
      <c r="Y151" s="7"/>
      <c r="Z151" s="27"/>
      <c r="AA151" s="27"/>
      <c r="AB151" s="7"/>
      <c r="AC151" s="7"/>
      <c r="AD151" s="7"/>
      <c r="AE151" s="7"/>
      <c r="AF151" s="7"/>
    </row>
    <row r="152" spans="1:32" ht="19.5" customHeight="1">
      <c r="A152" s="7"/>
      <c r="B152" s="30" t="s">
        <v>7771</v>
      </c>
      <c r="C152" s="13" t="e">
        <f>IF(ISBLANK(wld_az1_ec01_password_creation_chosen),"Value Missing",wld_az1_ec01_password_creation_chosen)</f>
        <v>#REF!</v>
      </c>
      <c r="D152" s="7"/>
      <c r="E152" s="30" t="s">
        <v>7772</v>
      </c>
      <c r="F152" s="13" t="e">
        <f>wld_centralized_connectivity_chosen</f>
        <v>#REF!</v>
      </c>
      <c r="G152" s="7"/>
      <c r="H152" s="30" t="s">
        <v>6375</v>
      </c>
      <c r="I152" s="13" t="e">
        <f>cluster_nsx_operation_mode_chosen</f>
        <v>#REF!</v>
      </c>
      <c r="J152" s="7"/>
      <c r="K152" s="30" t="s">
        <v>7773</v>
      </c>
      <c r="L152" s="13" t="str">
        <f>IF(ISBLANK(input_gg_vcf_admins_group),"Value Missing",input_gg_vcf_admins_group)</f>
        <v>Value Missing</v>
      </c>
      <c r="M152" s="7"/>
      <c r="N152" s="7"/>
      <c r="O152" s="7"/>
      <c r="P152" s="7"/>
      <c r="Q152" s="27"/>
      <c r="R152" s="27"/>
      <c r="S152" s="7"/>
      <c r="T152" s="12" t="s">
        <v>6780</v>
      </c>
      <c r="U152" s="79" t="s">
        <v>6943</v>
      </c>
      <c r="V152" s="9"/>
      <c r="W152" s="7"/>
      <c r="X152" s="27"/>
      <c r="Y152" s="7"/>
      <c r="Z152" s="27"/>
      <c r="AA152" s="27"/>
      <c r="AB152" s="7"/>
      <c r="AC152" s="7"/>
      <c r="AD152" s="7"/>
      <c r="AE152" s="7"/>
      <c r="AF152" s="7"/>
    </row>
    <row r="153" spans="1:32" ht="19.5" customHeight="1">
      <c r="A153" s="7"/>
      <c r="B153" s="7"/>
      <c r="C153" s="7"/>
      <c r="D153" s="7"/>
      <c r="E153" s="30" t="s">
        <v>7774</v>
      </c>
      <c r="F153" s="13" t="e">
        <f>IF(ISBLANK(input_wld_nsxt_lm_audit_password),"Value Missing",input_wld_nsxt_lm_audit_password)</f>
        <v>#REF!</v>
      </c>
      <c r="G153" s="7"/>
      <c r="H153" s="52" t="s">
        <v>6641</v>
      </c>
      <c r="I153" s="52"/>
      <c r="J153" s="7"/>
      <c r="K153" s="30" t="s">
        <v>7775</v>
      </c>
      <c r="L153" s="13" t="str">
        <f>IF(ISBLANK(input_gg_vcf_operators_group),"Value Missing",input_gg_vcf_operators_group)</f>
        <v>Value Missing</v>
      </c>
      <c r="M153" s="7"/>
      <c r="N153" s="7"/>
      <c r="O153" s="7"/>
      <c r="P153" s="7"/>
      <c r="Q153" s="27"/>
      <c r="R153" s="27"/>
      <c r="S153" s="7"/>
      <c r="T153" s="30" t="s">
        <v>7776</v>
      </c>
      <c r="U153" s="13" t="str">
        <f>IF(ISBLANK(input_ccm_hcx_vsphere_role),"Value Missing",input_ccm_hcx_vsphere_role)</f>
        <v>Value Missing</v>
      </c>
      <c r="V153" s="9"/>
      <c r="W153" s="7"/>
      <c r="X153" s="27"/>
      <c r="Y153" s="7"/>
      <c r="Z153" s="27"/>
      <c r="AA153" s="27"/>
      <c r="AB153" s="7"/>
      <c r="AC153" s="7"/>
      <c r="AD153" s="7"/>
      <c r="AE153" s="7"/>
      <c r="AF153" s="7"/>
    </row>
    <row r="154" spans="1:32" ht="19.5" customHeight="1">
      <c r="A154" s="7"/>
      <c r="B154" s="97" t="s">
        <v>7777</v>
      </c>
      <c r="C154" s="98"/>
      <c r="D154" s="7"/>
      <c r="E154" s="30" t="s">
        <v>7778</v>
      </c>
      <c r="F154" s="13" t="e">
        <f>IF(ISBLANK(input_wld_nsxt_lm_admin_password),"Value Missing",input_wld_nsxt_lm_admin_password)</f>
        <v>#REF!</v>
      </c>
      <c r="G154" s="7"/>
      <c r="H154" s="30" t="s">
        <v>6643</v>
      </c>
      <c r="I154" s="13" t="e">
        <f>IF(ISBLANK(input_cluster_host_overlay_transportzone),"Value Missing",input_cluster_host_overlay_transportzone)</f>
        <v>#REF!</v>
      </c>
      <c r="J154" s="7"/>
      <c r="K154" s="30" t="s">
        <v>7779</v>
      </c>
      <c r="L154" s="13" t="str">
        <f>IF(ISBLANK(input_gg_vcf_viewers_group),"Value Missing",input_gg_vcf_viewers_group)</f>
        <v>Value Missing</v>
      </c>
      <c r="M154" s="7"/>
      <c r="N154" s="7"/>
      <c r="O154" s="7"/>
      <c r="P154" s="7"/>
      <c r="Q154" s="27"/>
      <c r="R154" s="27"/>
      <c r="S154" s="7"/>
      <c r="T154" s="30" t="s">
        <v>7780</v>
      </c>
      <c r="U154" s="13" t="str">
        <f>IF(ISBLANK(input_svc_ccm_hcx_vsphere_user),"Value Missing",input_svc_ccm_hcx_vsphere_user)</f>
        <v>Value Missing</v>
      </c>
      <c r="V154" s="9"/>
      <c r="W154" s="7"/>
      <c r="X154" s="27"/>
      <c r="Y154" s="7"/>
      <c r="Z154" s="27"/>
      <c r="AA154" s="27"/>
      <c r="AB154" s="7"/>
      <c r="AC154" s="7"/>
      <c r="AD154" s="7"/>
      <c r="AE154" s="7"/>
      <c r="AF154" s="7"/>
    </row>
    <row r="155" spans="1:32" ht="19.5" customHeight="1">
      <c r="A155" s="7"/>
      <c r="B155" s="52" t="s">
        <v>6780</v>
      </c>
      <c r="C155" s="52" t="s">
        <v>6943</v>
      </c>
      <c r="D155" s="7"/>
      <c r="E155" s="30" t="s">
        <v>7781</v>
      </c>
      <c r="F155" s="13" t="e">
        <f>wld_nsx_ha_mode_chosen</f>
        <v>#REF!</v>
      </c>
      <c r="G155" s="7"/>
      <c r="H155" s="30" t="s">
        <v>7175</v>
      </c>
      <c r="I155" s="13" t="e">
        <f>IF(ISBLANK(input_cluster_az1_host_overlay_vlan),"Value Missing",input_cluster_az1_host_overlay_vlan)</f>
        <v>#REF!</v>
      </c>
      <c r="J155" s="7"/>
      <c r="K155" s="30" t="s">
        <v>7782</v>
      </c>
      <c r="L155" s="13" t="str">
        <f>IF(ISBLANK(input_gg_vc_admins_group),"Value Missing",input_gg_vc_admins_group)</f>
        <v>Value Missing</v>
      </c>
      <c r="M155" s="7"/>
      <c r="N155" s="7"/>
      <c r="O155" s="7"/>
      <c r="P155" s="7"/>
      <c r="Q155" s="27"/>
      <c r="R155" s="27"/>
      <c r="S155" s="7"/>
      <c r="T155" s="30" t="s">
        <v>7783</v>
      </c>
      <c r="U155" s="13" t="str">
        <f>IF(ISBLANK(input_svc_ccm_hcx_vsphere_password),"Value Missing",input_svc_ccm_hcx_vsphere_password)</f>
        <v>Value Missing</v>
      </c>
      <c r="V155" s="9"/>
      <c r="W155" s="7"/>
      <c r="X155" s="27"/>
      <c r="Y155" s="7"/>
      <c r="Z155" s="27"/>
      <c r="AA155" s="27"/>
      <c r="AB155" s="7"/>
      <c r="AC155" s="7"/>
      <c r="AD155" s="7"/>
      <c r="AE155" s="7"/>
      <c r="AF155" s="7"/>
    </row>
    <row r="156" spans="1:32" ht="19.5" customHeight="1">
      <c r="A156" s="7"/>
      <c r="B156" s="30" t="s">
        <v>7784</v>
      </c>
      <c r="C156" s="13" t="e">
        <f>IF(ISBLANK(input_flt_vidb_version),"Value Missing",input_flt_vidb_version)</f>
        <v>#NAME?</v>
      </c>
      <c r="D156" s="7"/>
      <c r="E156" s="30" t="s">
        <v>7785</v>
      </c>
      <c r="F156" s="13"/>
      <c r="G156" s="7"/>
      <c r="H156" s="30" t="s">
        <v>7786</v>
      </c>
      <c r="I156" s="13" t="e">
        <f>IF(ISBLANK(cluster_host_overlay_addressing_chosen),"Value Missing",cluster_host_overlay_addressing_chosen)</f>
        <v>#REF!</v>
      </c>
      <c r="J156" s="7"/>
      <c r="K156" s="30" t="s">
        <v>7787</v>
      </c>
      <c r="L156" s="13" t="str">
        <f>IF(ISBLANK(input_gg_vc_read_only_group),"Value Missing",input_gg_vc_read_only_group)</f>
        <v>Value Missing</v>
      </c>
      <c r="M156" s="7"/>
      <c r="N156" s="7"/>
      <c r="O156" s="7"/>
      <c r="P156" s="7"/>
      <c r="Q156" s="27"/>
      <c r="R156" s="27"/>
      <c r="S156" s="7"/>
      <c r="T156" s="30" t="s">
        <v>7788</v>
      </c>
      <c r="U156" s="13" t="str">
        <f>IF(ISBLANK(input_ccm_vm_folder),"Value Missing",input_ccm_vm_folder)</f>
        <v>Value Missing</v>
      </c>
      <c r="V156" s="9"/>
      <c r="W156" s="7"/>
      <c r="X156" s="27"/>
      <c r="Y156" s="7"/>
      <c r="Z156" s="27"/>
      <c r="AA156" s="27"/>
      <c r="AB156" s="7"/>
      <c r="AC156" s="7"/>
      <c r="AD156" s="7"/>
      <c r="AE156" s="7"/>
      <c r="AF156" s="7"/>
    </row>
    <row r="157" spans="1:32" ht="19.5" customHeight="1">
      <c r="A157" s="7"/>
      <c r="B157" s="30" t="s">
        <v>7789</v>
      </c>
      <c r="C157" s="13" t="e">
        <f>IF(ISBLANK(flt_vidb_size_chosen),"Value Missing",flt_vidb_size_chosen)</f>
        <v>#NAME?</v>
      </c>
      <c r="D157" s="7"/>
      <c r="E157" s="30" t="s">
        <v>7790</v>
      </c>
      <c r="F157" s="13" t="e">
        <f>IF(ISBLANK(input_wld_ec_rp_name),"Value Missing",input_wld_ec_rp_name)</f>
        <v>#REF!</v>
      </c>
      <c r="G157" s="7"/>
      <c r="H157" s="30" t="s">
        <v>7791</v>
      </c>
      <c r="I157" s="13" t="e">
        <f>IF(ISBLANK(cluster_az1_host_overlay_new_pool_chosen),"Value Missing",cluster_az1_host_overlay_new_pool_chosen)</f>
        <v>#REF!</v>
      </c>
      <c r="J157" s="7"/>
      <c r="K157" s="30" t="s">
        <v>7792</v>
      </c>
      <c r="L157" s="13" t="str">
        <f>IF(ISBLANK(input_gg_sso_admins_group),"Value Missing",input_gg_sso_admins_group)</f>
        <v>Value Missing</v>
      </c>
      <c r="M157" s="7"/>
      <c r="N157" s="7"/>
      <c r="O157" s="7"/>
      <c r="P157" s="7"/>
      <c r="Q157" s="27"/>
      <c r="R157" s="27"/>
      <c r="S157" s="7"/>
      <c r="T157" s="30" t="s">
        <v>7793</v>
      </c>
      <c r="U157" s="13" t="str">
        <f>IF(ISBLANK(input_ccm_hcx_vm_folder),"Value Missing",input_ccm_hcx_vm_folder)</f>
        <v>Value Missing</v>
      </c>
      <c r="V157" s="9"/>
      <c r="W157" s="7"/>
      <c r="X157" s="27"/>
      <c r="Y157" s="7"/>
      <c r="Z157" s="27"/>
      <c r="AA157" s="27"/>
      <c r="AB157" s="7"/>
      <c r="AC157" s="7"/>
      <c r="AD157" s="7"/>
      <c r="AE157" s="7"/>
      <c r="AF157" s="7"/>
    </row>
    <row r="158" spans="1:32" ht="19.5" customHeight="1">
      <c r="A158" s="7"/>
      <c r="B158" s="30" t="s">
        <v>7794</v>
      </c>
      <c r="C158" s="13" t="e">
        <f>IF(ISBLANK(input_flt_vidb_cert_alias),"Value Missing",input_flt_vidb_cert_alias)</f>
        <v>#NAME?</v>
      </c>
      <c r="D158" s="7"/>
      <c r="E158" s="30" t="s">
        <v>7795</v>
      </c>
      <c r="F158" s="13" t="e">
        <f>IF(ISBLANK(wld_ec01_host_group_affinity_rule_chosen),"Value Missing",wld_ec01_host_group_affinity_rule_chosen)</f>
        <v>#REF!</v>
      </c>
      <c r="G158" s="7"/>
      <c r="H158" s="30" t="s">
        <v>6645</v>
      </c>
      <c r="I158" s="13" t="e">
        <f>IF(ISBLANK(input_cluster_az1_host_overlay_network_pool_name),"Value Missing",input_cluster_az1_host_overlay_network_pool_name)</f>
        <v>#REF!</v>
      </c>
      <c r="J158" s="7"/>
      <c r="K158" s="30" t="s">
        <v>7796</v>
      </c>
      <c r="L158" s="13" t="str">
        <f>IF(ISBLANK(input_gg_nsx_enterprise_admins_group),"Value Missing",input_gg_nsx_enterprise_admins_group)</f>
        <v>Value Missing</v>
      </c>
      <c r="M158" s="7"/>
      <c r="N158" s="7"/>
      <c r="O158" s="7"/>
      <c r="P158" s="7"/>
      <c r="Q158" s="27"/>
      <c r="R158" s="27"/>
      <c r="S158" s="7"/>
      <c r="T158" s="30" t="s">
        <v>7797</v>
      </c>
      <c r="U158" s="13" t="str">
        <f>IF(ISBLANK(input_ccm_hcx_resource_pool),"Value Missing",input_ccm_hcx_resource_pool)</f>
        <v>Value Missing</v>
      </c>
      <c r="V158" s="9"/>
      <c r="W158" s="7"/>
      <c r="X158" s="27"/>
      <c r="Y158" s="7"/>
      <c r="Z158" s="27"/>
      <c r="AA158" s="27"/>
      <c r="AB158" s="7"/>
      <c r="AC158" s="7"/>
      <c r="AD158" s="7"/>
      <c r="AE158" s="7"/>
      <c r="AF158" s="7"/>
    </row>
    <row r="159" spans="1:32" ht="19.5" customHeight="1">
      <c r="A159" s="7"/>
      <c r="B159" s="30" t="s">
        <v>7798</v>
      </c>
      <c r="C159" s="13" t="e">
        <f>IF(ISBLANK(input_flt_vidb_cert_common_name),"Value Missing",input_flt_vidb_cert_common_name)</f>
        <v>#NAME?</v>
      </c>
      <c r="D159" s="7"/>
      <c r="E159" s="30" t="s">
        <v>7799</v>
      </c>
      <c r="F159" s="13" t="e">
        <f>IF(ISBLANK(input_wld_ec01_en01_host_group_affinity_rule_name),"Value Missing",input_wld_ec01_en01_host_group_affinity_rule_name)</f>
        <v>#REF!</v>
      </c>
      <c r="G159" s="7"/>
      <c r="H159" s="30" t="s">
        <v>7800</v>
      </c>
      <c r="I159" s="13" t="e">
        <f>IF(ISBLANK(input_cluster_az1_host_overlay_network_pool_description),"Value Missing",input_cluster_az1_host_overlay_network_pool_description)</f>
        <v>#REF!</v>
      </c>
      <c r="J159" s="7"/>
      <c r="K159" s="30" t="s">
        <v>7801</v>
      </c>
      <c r="L159" s="13" t="str">
        <f>IF(ISBLANK(input_gg_nsx_network_admins_group),"Value Missing",input_gg_nsx_network_admins_group)</f>
        <v>Value Missing</v>
      </c>
      <c r="M159" s="7"/>
      <c r="N159" s="7"/>
      <c r="O159" s="7"/>
      <c r="P159" s="7"/>
      <c r="Q159" s="7"/>
      <c r="R159" s="7"/>
      <c r="S159" s="7"/>
      <c r="T159" s="30" t="s">
        <v>7802</v>
      </c>
      <c r="U159" s="13" t="str">
        <f>IF(ISBLANK(input_svc_ccm_hcx_nsx_user),"Value Missing",input_svc_ccm_hcx_nsx_user)</f>
        <v>Value Missing</v>
      </c>
      <c r="V159" s="9"/>
      <c r="W159" s="7"/>
      <c r="X159" s="27"/>
      <c r="Y159" s="7"/>
      <c r="Z159" s="27"/>
      <c r="AA159" s="27"/>
      <c r="AB159" s="7"/>
      <c r="AC159" s="7"/>
      <c r="AD159" s="7"/>
      <c r="AE159" s="7"/>
      <c r="AF159" s="7"/>
    </row>
    <row r="160" spans="1:32" ht="19.5" customHeight="1">
      <c r="A160" s="7"/>
      <c r="B160" s="30" t="s">
        <v>7803</v>
      </c>
      <c r="C160" s="13" t="e">
        <f>IF(ISBLANK(input_flt_vidb_cert_organisation),"Value Missing",input_flt_vidb_cert_organisation)</f>
        <v>#NAME?</v>
      </c>
      <c r="D160" s="7"/>
      <c r="E160" s="39" t="s">
        <v>7804</v>
      </c>
      <c r="F160" s="13" t="e">
        <f>IF(ISBLANK(input_wld_ec01_en02_host_group_affinity_rule_name),"Value Missing",input_wld_ec01_en02_host_group_affinity_rule_name)</f>
        <v>#REF!</v>
      </c>
      <c r="G160" s="7"/>
      <c r="H160" s="30" t="s">
        <v>6410</v>
      </c>
      <c r="I160" s="13" t="e">
        <f>IF(ISBLANK(input_cluster_az1_host_overlay_cidr),"Value Missing",input_cluster_az1_host_overlay_cidr)</f>
        <v>#REF!</v>
      </c>
      <c r="J160" s="7"/>
      <c r="K160" s="30" t="s">
        <v>7805</v>
      </c>
      <c r="L160" s="13" t="str">
        <f>IF(ISBLANK(input_gg_nsx_auditors_group),"Value Missing",input_gg_nsx_auditors_group)</f>
        <v>Value Missing</v>
      </c>
      <c r="M160" s="7"/>
      <c r="N160" s="7"/>
      <c r="O160" s="7"/>
      <c r="P160" s="7"/>
      <c r="Q160" s="7"/>
      <c r="R160" s="7"/>
      <c r="S160" s="7"/>
      <c r="T160" s="30" t="s">
        <v>7806</v>
      </c>
      <c r="U160" s="13" t="str">
        <f t="array" ref="U160">IF(ISBLANK(input_svc_ccm_hcx_nsx_password),"Value Missing",input_svc_ccm_hcx_nsx_password)</f>
        <v>Value Missing</v>
      </c>
      <c r="V160" s="9"/>
      <c r="W160" s="7"/>
      <c r="X160" s="27"/>
      <c r="Y160" s="7"/>
      <c r="Z160" s="27"/>
      <c r="AA160" s="27"/>
      <c r="AB160" s="7"/>
      <c r="AC160" s="7"/>
      <c r="AD160" s="7"/>
      <c r="AE160" s="60"/>
      <c r="AF160" s="7"/>
    </row>
    <row r="161" spans="1:32" ht="19.5" customHeight="1">
      <c r="A161" s="7"/>
      <c r="B161" s="30" t="s">
        <v>7807</v>
      </c>
      <c r="C161" s="13" t="e">
        <f>IF(ISBLANK(input_flt_vidb_ou_cert),"Value Missing",input_flt_vidb_ou_cert)</f>
        <v>#NAME?</v>
      </c>
      <c r="D161" s="7"/>
      <c r="E161" s="30" t="s">
        <v>7808</v>
      </c>
      <c r="F161" s="13" t="e">
        <f>IF(ISBLANK(wld_ec01_use_host_overlay_chosen),"Value Missing",wld_ec01_use_host_overlay_chosen)</f>
        <v>#REF!</v>
      </c>
      <c r="G161" s="7"/>
      <c r="H161" s="30" t="s">
        <v>7248</v>
      </c>
      <c r="I161" s="13" t="e">
        <f>IF(ISBLANK(input_cluster_az1_host_overlay_pool_start_ip),"Value Missing",input_cluster_az1_host_overlay_pool_start_ip)</f>
        <v>#REF!</v>
      </c>
      <c r="J161" s="7"/>
      <c r="K161" s="7"/>
      <c r="L161" s="7"/>
      <c r="M161" s="27"/>
      <c r="N161" s="7"/>
      <c r="O161" s="7"/>
      <c r="P161" s="27"/>
      <c r="Q161" s="7"/>
      <c r="R161" s="7"/>
      <c r="S161" s="7"/>
      <c r="T161" s="30" t="s">
        <v>7809</v>
      </c>
      <c r="U161" s="13" t="str">
        <f>IF(ISBLANK(input_ccm_aws_sddc_name),"Value Missing",input_ccm_aws_sddc_name)</f>
        <v>Value Missing</v>
      </c>
      <c r="V161" s="9"/>
      <c r="W161" s="7"/>
      <c r="X161" s="27"/>
      <c r="Y161" s="7"/>
      <c r="Z161" s="27"/>
      <c r="AA161" s="27"/>
      <c r="AB161" s="7"/>
      <c r="AC161" s="7"/>
      <c r="AD161" s="7"/>
      <c r="AE161" s="7"/>
      <c r="AF161" s="7"/>
    </row>
    <row r="162" spans="1:32" ht="19.5" customHeight="1">
      <c r="A162" s="7"/>
      <c r="B162" s="30" t="s">
        <v>7810</v>
      </c>
      <c r="C162" s="13" t="e">
        <f>IF(ISBLANK(input_flt_vidb_cert_country_code),"Value Missing",input_flt_vidb_cert_country_code)</f>
        <v>#NAME?</v>
      </c>
      <c r="D162" s="7"/>
      <c r="E162" s="30" t="s">
        <v>7811</v>
      </c>
      <c r="F162" s="13" t="e">
        <f>wld_gateway_routing_type_chosen</f>
        <v>#REF!</v>
      </c>
      <c r="G162" s="7"/>
      <c r="H162" s="30" t="s">
        <v>7254</v>
      </c>
      <c r="I162" s="13" t="e">
        <f>IF(ISBLANK(input_cluster_az1_host_overlay_pool_end_ip),"Value Missing",input_cluster_az1_host_overlay_pool_end_ip)</f>
        <v>#REF!</v>
      </c>
      <c r="J162" s="7"/>
      <c r="K162" s="180" t="s">
        <v>7812</v>
      </c>
      <c r="L162" s="181"/>
      <c r="M162" s="27"/>
      <c r="N162" s="7"/>
      <c r="O162" s="7"/>
      <c r="P162" s="27"/>
      <c r="Q162" s="7"/>
      <c r="R162" s="7"/>
      <c r="S162" s="7"/>
      <c r="T162" s="30" t="s">
        <v>7687</v>
      </c>
      <c r="U162" s="13" t="str">
        <f>IF(ISBLANK(input_ccm_aws_region),"Value Missing",input_ccm_aws_region)</f>
        <v>Value Missing</v>
      </c>
      <c r="V162" s="9"/>
      <c r="W162" s="7"/>
      <c r="X162" s="27"/>
      <c r="Y162" s="27"/>
      <c r="Z162" s="27"/>
      <c r="AA162" s="27"/>
      <c r="AB162" s="7"/>
      <c r="AC162" s="7"/>
      <c r="AD162" s="7"/>
      <c r="AE162" s="7"/>
      <c r="AF162" s="7"/>
    </row>
    <row r="163" spans="1:32" ht="19.5" customHeight="1">
      <c r="A163" s="7"/>
      <c r="B163" s="30" t="s">
        <v>7813</v>
      </c>
      <c r="C163" s="13" t="e">
        <f>IF(ISBLANK(input_flt_vidb_cert_locality),"Value Missing",input_flt_vidb_cert_locality)</f>
        <v>#NAME?</v>
      </c>
      <c r="D163" s="7"/>
      <c r="E163" s="52" t="s">
        <v>7814</v>
      </c>
      <c r="F163" s="52" t="s">
        <v>6943</v>
      </c>
      <c r="G163" s="7"/>
      <c r="H163" s="30" t="s">
        <v>7815</v>
      </c>
      <c r="I163" s="13" t="e">
        <f>IF(ISBLANK(input_cluster_az1_host_overlay_gateway_ip),"Value Missing",input_cluster_az1_host_overlay_gateway_ip)</f>
        <v>#REF!</v>
      </c>
      <c r="J163" s="7"/>
      <c r="K163" s="12" t="s">
        <v>6780</v>
      </c>
      <c r="L163" s="79" t="s">
        <v>6943</v>
      </c>
      <c r="M163" s="27"/>
      <c r="N163" s="7"/>
      <c r="O163" s="7"/>
      <c r="P163" s="27"/>
      <c r="Q163" s="7"/>
      <c r="R163" s="7"/>
      <c r="S163" s="7"/>
      <c r="T163" s="30" t="s">
        <v>7693</v>
      </c>
      <c r="U163" s="13" t="str">
        <f>IF(ISBLANK(input_ccm_aws_host_type),"Value Missing",input_ccm_aws_host_type)</f>
        <v>Value Missing</v>
      </c>
      <c r="V163" s="9"/>
      <c r="W163" s="27"/>
      <c r="X163" s="27"/>
      <c r="Y163" s="7"/>
      <c r="Z163" s="27"/>
      <c r="AA163" s="27"/>
      <c r="AB163" s="7"/>
      <c r="AC163" s="7"/>
      <c r="AD163" s="7"/>
      <c r="AE163" s="7"/>
      <c r="AF163" s="7"/>
    </row>
    <row r="164" spans="1:32" ht="19.5" customHeight="1">
      <c r="A164" s="7"/>
      <c r="B164" s="30" t="s">
        <v>7816</v>
      </c>
      <c r="C164" s="13" t="e">
        <f>IF(ISBLANK(input_flt_vidb_cert_state),"Value Missing",input_flt_vidb_cert_state)</f>
        <v>#NAME?</v>
      </c>
      <c r="D164" s="7"/>
      <c r="E164" s="39" t="s">
        <v>7768</v>
      </c>
      <c r="F164" s="13" t="e">
        <f>wld_nsx_default_operation_mode_chosen</f>
        <v>#REF!</v>
      </c>
      <c r="G164" s="7"/>
      <c r="H164" s="30" t="s">
        <v>6643</v>
      </c>
      <c r="I164" s="13" t="e">
        <f>IF(ISBLANK(input_cluster_nsx_vlan_transport_zone_name),"Value Missing",input_cluster_nsx_vlan_transport_zone_name)</f>
        <v>#REF!</v>
      </c>
      <c r="J164" s="7"/>
      <c r="K164" s="30" t="s">
        <v>7817</v>
      </c>
      <c r="L164" s="13"/>
      <c r="M164" s="27"/>
      <c r="N164" s="27"/>
      <c r="O164" s="27"/>
      <c r="P164" s="27"/>
      <c r="Q164" s="7"/>
      <c r="R164" s="7"/>
      <c r="S164" s="7"/>
      <c r="T164" s="30" t="s">
        <v>7696</v>
      </c>
      <c r="U164" s="13" t="str">
        <f>IF(ISBLANK(input_ccm_aws_host_count),"Value Missing",input_ccm_aws_host_count)</f>
        <v>Value Missing</v>
      </c>
      <c r="V164" s="9"/>
      <c r="W164" s="27"/>
      <c r="X164" s="27"/>
      <c r="Y164" s="7"/>
      <c r="Z164" s="27"/>
      <c r="AA164" s="27"/>
      <c r="AB164" s="7"/>
      <c r="AC164" s="7"/>
      <c r="AD164" s="7"/>
      <c r="AE164" s="7"/>
      <c r="AF164" s="7"/>
    </row>
    <row r="165" spans="1:32" ht="19.5" customHeight="1">
      <c r="A165" s="7"/>
      <c r="B165" s="30" t="s">
        <v>7818</v>
      </c>
      <c r="C165" s="13" t="e">
        <f>IF(ISBLANK(flt_vidb_cert_key_length_chosen),"Value Missing",flt_vidb_cert_key_length_chosen)</f>
        <v>#NAME?</v>
      </c>
      <c r="D165" s="7"/>
      <c r="E165" s="39" t="s">
        <v>7819</v>
      </c>
      <c r="F165" s="13" t="e">
        <f>IF(ISBLANK(mgmt_nsx_operation_mode_chosen),"Value Missing",mgmt_nsx_operation_mode_chosen)</f>
        <v>#REF!</v>
      </c>
      <c r="G165" s="7"/>
      <c r="H165" s="30" t="s">
        <v>7820</v>
      </c>
      <c r="I165" s="13" t="e">
        <f>IF(ISBLANK(input_cluster_az1_nsx_uplink_count),"Value Missing",input_cluster_az1_nsx_uplink_count)</f>
        <v>#REF!</v>
      </c>
      <c r="J165" s="7"/>
      <c r="K165" s="7"/>
      <c r="L165" s="7"/>
      <c r="M165" s="27"/>
      <c r="N165" s="27"/>
      <c r="O165" s="27"/>
      <c r="P165" s="27"/>
      <c r="Q165" s="7"/>
      <c r="R165" s="7"/>
      <c r="S165" s="7"/>
      <c r="T165" s="30" t="s">
        <v>7697</v>
      </c>
      <c r="U165" s="13" t="str">
        <f>IF(ISBLANK(input_ccm_aws_vpc),"Value Missing",input_ccm_aws_vpc)</f>
        <v>Value Missing</v>
      </c>
      <c r="V165" s="9"/>
      <c r="W165" s="27"/>
      <c r="X165" s="27"/>
      <c r="Y165" s="7"/>
      <c r="Z165" s="27"/>
      <c r="AA165" s="27"/>
      <c r="AB165" s="7"/>
      <c r="AC165" s="7"/>
      <c r="AD165" s="7"/>
      <c r="AE165" s="7"/>
      <c r="AF165" s="7"/>
    </row>
    <row r="166" spans="1:32" ht="19.5" customHeight="1">
      <c r="A166" s="7"/>
      <c r="B166" s="30" t="s">
        <v>7821</v>
      </c>
      <c r="C166" s="13" t="e">
        <f>IF(ISBLANK(input_flt_vidb_folder),"Value Missing",input_flt_vidb_folder)</f>
        <v>#NAME?</v>
      </c>
      <c r="D166" s="7"/>
      <c r="E166" s="39" t="s">
        <v>7822</v>
      </c>
      <c r="F166" s="13" t="e">
        <f>wld_domain_password_creation_chosen</f>
        <v>#REF!</v>
      </c>
      <c r="G166" s="7"/>
      <c r="H166" s="30" t="s">
        <v>7823</v>
      </c>
      <c r="I166" s="13" t="e">
        <f>IF(ISBLANK(input_cluster_az1_nsx_uplink1),"Value Missing",input_cluster_az1_nsx_uplink1)</f>
        <v>#REF!</v>
      </c>
      <c r="J166" s="7"/>
      <c r="K166" s="212" t="s">
        <v>7824</v>
      </c>
      <c r="L166" s="181"/>
      <c r="M166" s="27"/>
      <c r="N166" s="27"/>
      <c r="O166" s="27"/>
      <c r="P166" s="27"/>
      <c r="Q166" s="27"/>
      <c r="R166" s="7"/>
      <c r="S166" s="7"/>
      <c r="T166" s="30" t="s">
        <v>7700</v>
      </c>
      <c r="U166" s="13" t="str">
        <f>IF(ISBLANK(input_ccm_aws_subnet),"Value Missing",input_ccm_aws_subnet)</f>
        <v>Value Missing</v>
      </c>
      <c r="V166" s="9"/>
      <c r="W166" s="27"/>
      <c r="X166" s="27"/>
      <c r="Y166" s="7"/>
      <c r="Z166" s="27"/>
      <c r="AA166" s="27"/>
      <c r="AB166" s="7"/>
      <c r="AC166" s="7"/>
      <c r="AD166" s="7"/>
      <c r="AE166" s="7"/>
      <c r="AF166" s="7"/>
    </row>
    <row r="167" spans="1:32" ht="19.5" customHeight="1">
      <c r="A167" s="7"/>
      <c r="B167" s="30" t="s">
        <v>6698</v>
      </c>
      <c r="C167" s="13" t="e">
        <f>IF(ISBLANK(input_flt_vidb_gateway_ip),"Value Missing",input_flt_vidb_gateway_ip)</f>
        <v>#NAME?</v>
      </c>
      <c r="D167" s="7"/>
      <c r="E167" s="39" t="s">
        <v>7825</v>
      </c>
      <c r="F167" s="13" t="e">
        <f>wld_az1_en1_edge_overlay_network_ip_allocation_chosen</f>
        <v>#REF!</v>
      </c>
      <c r="G167" s="7"/>
      <c r="H167" s="30" t="s">
        <v>7826</v>
      </c>
      <c r="I167" s="13" t="e">
        <f>IF(ISBLANK(input_cluster_az1_nsx_uplink2),"Value Missing",input_cluster_az1_nsx_uplink2)</f>
        <v>#REF!</v>
      </c>
      <c r="J167" s="7"/>
      <c r="K167" s="30" t="s">
        <v>7827</v>
      </c>
      <c r="L167" s="13" t="e">
        <f t="shared" ref="L167:L169" si="2">IF(ISBLANK(input_mgmt_witness_zone_vc_fqdn),"Value Missing",input_mgmt_witness_zone_vc_fqdn)</f>
        <v>#REF!</v>
      </c>
      <c r="M167" s="27"/>
      <c r="N167" s="27"/>
      <c r="O167" s="27"/>
      <c r="P167" s="27"/>
      <c r="Q167" s="27"/>
      <c r="R167" s="7"/>
      <c r="S167" s="7"/>
      <c r="T167" s="30" t="s">
        <v>7704</v>
      </c>
      <c r="U167" s="13" t="str">
        <f>IF(ISBLANK(input_ccm_aws_management_subnet),"Value Missing",input_ccm_aws_management_subnet)</f>
        <v>Value Missing</v>
      </c>
      <c r="V167" s="9"/>
      <c r="W167" s="27"/>
      <c r="X167" s="27"/>
      <c r="Y167" s="7"/>
      <c r="Z167" s="27"/>
      <c r="AA167" s="27"/>
      <c r="AB167" s="7"/>
      <c r="AC167" s="7"/>
      <c r="AD167" s="7"/>
      <c r="AE167" s="7"/>
      <c r="AF167" s="7"/>
    </row>
    <row r="168" spans="1:32" ht="19.5" customHeight="1">
      <c r="A168" s="7"/>
      <c r="B168" s="30" t="s">
        <v>6699</v>
      </c>
      <c r="C168" s="13" t="e">
        <f>IF(ISBLANK(input_flt_vidb_mask),"Value Missing",input_flt_vidb_mask)</f>
        <v>#NAME?</v>
      </c>
      <c r="D168" s="7"/>
      <c r="E168" s="39" t="s">
        <v>7828</v>
      </c>
      <c r="F168" s="13" t="e">
        <f>wld_az1_en1_ip_allocation_chosen</f>
        <v>#REF!</v>
      </c>
      <c r="G168" s="7"/>
      <c r="H168" s="39" t="s">
        <v>7829</v>
      </c>
      <c r="I168" s="13" t="e">
        <f>IF(ISBLANK(input_cluster_az1_host_overlay_uplink_profile_name),"Value Missing",input_cluster_az1_host_overlay_uplink_profile_name)</f>
        <v>#REF!</v>
      </c>
      <c r="J168" s="7"/>
      <c r="K168" s="30" t="s">
        <v>7830</v>
      </c>
      <c r="L168" s="13" t="e">
        <f t="shared" si="2"/>
        <v>#REF!</v>
      </c>
      <c r="M168" s="27"/>
      <c r="N168" s="7"/>
      <c r="O168" s="27"/>
      <c r="P168" s="27"/>
      <c r="Q168" s="27"/>
      <c r="R168" s="7"/>
      <c r="S168" s="7"/>
      <c r="T168" s="30" t="s">
        <v>7706</v>
      </c>
      <c r="U168" s="13" t="str">
        <f>IF(ISBLANK(input_ccm_firewall_rule_vcenter),"Value Missing",input_ccm_firewall_rule_vcenter)</f>
        <v>Value Missing</v>
      </c>
      <c r="V168" s="9"/>
      <c r="W168" s="27"/>
      <c r="X168" s="27"/>
      <c r="Y168" s="7"/>
      <c r="Z168" s="27"/>
      <c r="AA168" s="27"/>
      <c r="AB168" s="7"/>
      <c r="AC168" s="7"/>
      <c r="AD168" s="7"/>
      <c r="AE168" s="7"/>
      <c r="AF168" s="7"/>
    </row>
    <row r="169" spans="1:32" ht="19.5" customHeight="1">
      <c r="A169" s="7"/>
      <c r="B169" s="30" t="s">
        <v>7831</v>
      </c>
      <c r="C169" s="13" t="e">
        <f>IF(ISBLANK(input_flt_vidb_resource_pool),"Value Missing",input_flt_vidb_resource_pool)</f>
        <v>#NAME?</v>
      </c>
      <c r="D169" s="7"/>
      <c r="E169" s="39" t="s">
        <v>7832</v>
      </c>
      <c r="F169" s="13"/>
      <c r="G169" s="7"/>
      <c r="H169" s="30" t="s">
        <v>7681</v>
      </c>
      <c r="I169" s="13" t="e">
        <f>IF(ISBLANK(cluster_az1_nsx_lbt_chosen),"Value Missing",cluster_az1_nsx_lbt_chosen)</f>
        <v>#REF!</v>
      </c>
      <c r="J169" s="7"/>
      <c r="K169" s="30" t="s">
        <v>7833</v>
      </c>
      <c r="L169" s="13" t="e">
        <f t="shared" si="2"/>
        <v>#REF!</v>
      </c>
      <c r="M169" s="27"/>
      <c r="N169" s="7"/>
      <c r="O169" s="27"/>
      <c r="P169" s="27"/>
      <c r="Q169" s="27"/>
      <c r="R169" s="7"/>
      <c r="S169" s="7"/>
      <c r="T169" s="30" t="s">
        <v>7834</v>
      </c>
      <c r="U169" s="13" t="str">
        <f>IF(ISBLANK(input_ccm_firewall_rule_hcx),"Value Missing",input_ccm_firewall_rule_hcx)</f>
        <v>Value Missing</v>
      </c>
      <c r="V169" s="9"/>
      <c r="W169" s="27"/>
      <c r="X169" s="27"/>
      <c r="Y169" s="7"/>
      <c r="Z169" s="27"/>
      <c r="AA169" s="27"/>
      <c r="AB169" s="7"/>
      <c r="AC169" s="7"/>
      <c r="AD169" s="7"/>
      <c r="AE169" s="7"/>
      <c r="AF169" s="7"/>
    </row>
    <row r="170" spans="1:32" ht="19.5" customHeight="1">
      <c r="A170" s="7"/>
      <c r="B170" s="30" t="s">
        <v>7835</v>
      </c>
      <c r="C170" s="13" t="e">
        <f>IF(ISBLANK(input_flt_vidb_port_group),"Value Missing",input_flt_vidb_port_group)</f>
        <v>#NAME?</v>
      </c>
      <c r="D170" s="7"/>
      <c r="E170" s="39" t="s">
        <v>7836</v>
      </c>
      <c r="F170" s="13" t="e">
        <f>wld_az1_en2_ip_allocation_chosen</f>
        <v>#REF!</v>
      </c>
      <c r="G170" s="7"/>
      <c r="H170" s="30" t="s">
        <v>7837</v>
      </c>
      <c r="I170" s="13" t="e">
        <f>IF(ISBLANK(input_cluster_az1_nsx_uplink1_active),"Value Missing",input_cluster_az1_nsx_uplink1_active)</f>
        <v>#REF!</v>
      </c>
      <c r="J170" s="7"/>
      <c r="K170" s="30" t="s">
        <v>7838</v>
      </c>
      <c r="L170" s="13" t="e">
        <f>IF(ISBLANK(input_mgmt_witnessaz_mgmt_mtu),"Value Missing",input_mgmt_witnessaz_mgmt_mtu)</f>
        <v>#REF!</v>
      </c>
      <c r="M170" s="27"/>
      <c r="N170" s="7"/>
      <c r="O170" s="27"/>
      <c r="P170" s="27"/>
      <c r="Q170" s="27"/>
      <c r="R170" s="7"/>
      <c r="S170" s="7"/>
      <c r="T170" s="30" t="s">
        <v>7839</v>
      </c>
      <c r="U170" s="13" t="str">
        <f>IF(ISBLANK(input_ccm_firewall_group),"Value Missing",input_ccm_firewall_group)</f>
        <v>Value Missing</v>
      </c>
      <c r="V170" s="9"/>
      <c r="W170" s="27"/>
      <c r="X170" s="27"/>
      <c r="Y170" s="27"/>
      <c r="Z170" s="27"/>
      <c r="AA170" s="27"/>
      <c r="AB170" s="7"/>
      <c r="AC170" s="7"/>
      <c r="AD170" s="7"/>
      <c r="AE170" s="7"/>
      <c r="AF170" s="7"/>
    </row>
    <row r="171" spans="1:32" ht="19.5" customHeight="1">
      <c r="A171" s="7"/>
      <c r="B171" s="30" t="s">
        <v>6248</v>
      </c>
      <c r="C171" s="13" t="e">
        <f>IF(ISBLANK(input_flt_vidb_vcenter_fqdn),"Value Missing",input_flt_vidb_vcenter_fqdn)</f>
        <v>#NAME?</v>
      </c>
      <c r="D171" s="7"/>
      <c r="E171" s="39" t="s">
        <v>7840</v>
      </c>
      <c r="F171" s="13" t="s">
        <v>7840</v>
      </c>
      <c r="G171" s="7"/>
      <c r="H171" s="30" t="s">
        <v>7841</v>
      </c>
      <c r="I171" s="13" t="e">
        <f>IF(ISBLANK(input_cluster_az1_nsx_uplink2_active),"Value Missing",input_cluster_az1_nsx_uplink2_active)</f>
        <v>#REF!</v>
      </c>
      <c r="J171" s="7"/>
      <c r="K171" s="30" t="s">
        <v>7842</v>
      </c>
      <c r="L171" s="13" t="e">
        <f>IF(ISBLANK(input_mgmt_witnessaz_mgmt_vlan),"Value Missing",input_mgmt_witnessaz_mgmt_vlan)</f>
        <v>#REF!</v>
      </c>
      <c r="M171" s="27"/>
      <c r="N171" s="7"/>
      <c r="O171" s="27"/>
      <c r="P171" s="27"/>
      <c r="Q171" s="27"/>
      <c r="R171" s="7"/>
      <c r="S171" s="7"/>
      <c r="T171" s="30" t="s">
        <v>7843</v>
      </c>
      <c r="U171" s="13" t="str">
        <f>IF(ISBLANK(input_ccm_firewall_ip_addresses),"Value Missing",input_ccm_firewall_ip_addresses)</f>
        <v>Value Missing</v>
      </c>
      <c r="V171" s="9"/>
      <c r="W171" s="27"/>
      <c r="X171" s="27"/>
      <c r="Y171" s="27"/>
      <c r="Z171" s="27"/>
      <c r="AA171" s="27"/>
      <c r="AB171" s="7"/>
      <c r="AC171" s="7"/>
      <c r="AD171" s="7"/>
      <c r="AE171" s="7"/>
      <c r="AF171" s="7"/>
    </row>
    <row r="172" spans="1:32" ht="19.5" customHeight="1">
      <c r="A172" s="7"/>
      <c r="B172" s="30" t="s">
        <v>6317</v>
      </c>
      <c r="C172" s="13" t="e">
        <f>IF(ISBLANK(input_flt_vidb_cluster),"Value Missing",input_flt_vidb_cluster)</f>
        <v>#NAME?</v>
      </c>
      <c r="D172" s="7"/>
      <c r="E172" s="39" t="s">
        <v>7844</v>
      </c>
      <c r="F172" s="13" t="e">
        <f>IF(ISBLANK(wld_az1_host_overlay_new_pool_chosen),"Value Missing",wld_az1_host_overlay_new_pool_chosen)</f>
        <v>#REF!</v>
      </c>
      <c r="G172" s="7"/>
      <c r="H172" s="7"/>
      <c r="I172" s="7"/>
      <c r="J172" s="7"/>
      <c r="K172" s="30" t="s">
        <v>7845</v>
      </c>
      <c r="L172" s="13"/>
      <c r="M172" s="27"/>
      <c r="N172" s="7"/>
      <c r="O172" s="27"/>
      <c r="P172" s="27"/>
      <c r="Q172" s="27"/>
      <c r="R172" s="7"/>
      <c r="S172" s="7"/>
      <c r="T172" s="30" t="s">
        <v>7846</v>
      </c>
      <c r="U172" s="13" t="str">
        <f>IF(ISBLANK(input_ccm_hcx_license),"Value Missing",input_ccm_hcx_license)</f>
        <v>Value Missing</v>
      </c>
      <c r="V172" s="9"/>
      <c r="W172" s="27"/>
      <c r="X172" s="27"/>
      <c r="Y172" s="27"/>
      <c r="Z172" s="27"/>
      <c r="AA172" s="27"/>
      <c r="AB172" s="7"/>
      <c r="AC172" s="7"/>
      <c r="AD172" s="7"/>
      <c r="AE172" s="7"/>
      <c r="AF172" s="7"/>
    </row>
    <row r="173" spans="1:32" ht="19.5" customHeight="1">
      <c r="A173" s="7"/>
      <c r="B173" s="30" t="s">
        <v>7847</v>
      </c>
      <c r="C173" s="13" t="e">
        <f>IF(ISBLANK(input_flt_vidb_datastore),"Value Missing",input_flt_vidb_datastore)</f>
        <v>#NAME?</v>
      </c>
      <c r="D173" s="7"/>
      <c r="E173" s="39" t="s">
        <v>7848</v>
      </c>
      <c r="F173" s="13" t="e">
        <f>wld_nsx_default_operation_mode_chosen</f>
        <v>#REF!</v>
      </c>
      <c r="G173" s="7"/>
      <c r="H173" s="75" t="s">
        <v>7849</v>
      </c>
      <c r="I173" s="75"/>
      <c r="J173" s="7"/>
      <c r="K173" s="30" t="s">
        <v>7850</v>
      </c>
      <c r="L173" s="13" t="e">
        <f>IF(mgmt_witnessaz_mgmt_cidr="Value Missing",mgmt_witnessaz_mgmt_cidr,(LEFT(mgmt_witnessaz_mgmt_cidr,(FIND("/",mgmt_witnessaz_mgmt_cidr)-1))))</f>
        <v>#REF!</v>
      </c>
      <c r="M173" s="27"/>
      <c r="N173" s="7"/>
      <c r="O173" s="27"/>
      <c r="P173" s="27"/>
      <c r="Q173" s="27"/>
      <c r="R173" s="7"/>
      <c r="S173" s="7"/>
      <c r="T173" s="30" t="s">
        <v>7851</v>
      </c>
      <c r="U173" s="13" t="str">
        <f>IF(ISBLANK(input_ccm_hcx_dc_location),"Value Missing",input_ccm_hcx_dc_location)</f>
        <v>Value Missing</v>
      </c>
      <c r="V173" s="9"/>
      <c r="W173" s="27"/>
      <c r="X173" s="27"/>
      <c r="Y173" s="27"/>
      <c r="Z173" s="27"/>
      <c r="AA173" s="27"/>
      <c r="AB173" s="7"/>
      <c r="AC173" s="7"/>
      <c r="AD173" s="7"/>
      <c r="AE173" s="7"/>
      <c r="AF173" s="7"/>
    </row>
    <row r="174" spans="1:32" ht="19.5" customHeight="1">
      <c r="A174" s="7"/>
      <c r="B174" s="30" t="s">
        <v>7852</v>
      </c>
      <c r="C174" s="13"/>
      <c r="D174" s="7"/>
      <c r="E174" s="39" t="s">
        <v>7853</v>
      </c>
      <c r="F174" s="13"/>
      <c r="G174" s="7"/>
      <c r="H174" s="52" t="s">
        <v>6780</v>
      </c>
      <c r="I174" s="52" t="s">
        <v>6943</v>
      </c>
      <c r="J174" s="7"/>
      <c r="K174" s="30" t="s">
        <v>7854</v>
      </c>
      <c r="L174" s="13" t="e">
        <f>IF(mgmt_witnessaz_mgmt_cidr="Value Missing",mgmt_witnessaz_mgmt_cidr,VLOOKUP(INT(RIGHT(mgmt_witnessaz_mgmt_cidr,LEN(mgmt_witnessaz_mgmt_cidr)-FIND("/",mgmt_witnessaz_mgmt_cidr))),table_cidr_to_mask,2,FALSE))</f>
        <v>#REF!</v>
      </c>
      <c r="M174" s="27"/>
      <c r="N174" s="7"/>
      <c r="O174" s="27"/>
      <c r="P174" s="27"/>
      <c r="Q174" s="27"/>
      <c r="R174" s="7"/>
      <c r="S174" s="7"/>
      <c r="T174" s="136" t="s">
        <v>7855</v>
      </c>
      <c r="U174" s="13" t="str">
        <f>IF(ISBLANK(input_ccm_hcx_cdp_hostname),"Value Missing",input_ccm_hcx_cdp_hostname)</f>
        <v>Value Missing</v>
      </c>
      <c r="V174" s="9"/>
      <c r="W174" s="27"/>
      <c r="X174" s="27"/>
      <c r="Y174" s="27"/>
      <c r="Z174" s="27"/>
      <c r="AA174" s="27"/>
      <c r="AB174" s="7"/>
      <c r="AC174" s="7"/>
      <c r="AD174" s="7"/>
      <c r="AE174" s="7"/>
      <c r="AF174" s="7"/>
    </row>
    <row r="175" spans="1:32" ht="19.5" customHeight="1">
      <c r="A175" s="7"/>
      <c r="B175" s="30" t="s">
        <v>7856</v>
      </c>
      <c r="C175" s="13" t="e">
        <f>flt_vidb_identity_provider_chosen</f>
        <v>#REF!</v>
      </c>
      <c r="D175" s="7"/>
      <c r="E175" s="39" t="s">
        <v>7857</v>
      </c>
      <c r="F175" s="13" t="e">
        <f>wld_cl01_vds_copy_profile_chosen</f>
        <v>#REF!</v>
      </c>
      <c r="G175" s="7"/>
      <c r="H175" s="30" t="s">
        <v>7858</v>
      </c>
      <c r="I175" s="13" t="e">
        <f>wld_bf_vcenter_type_chosen</f>
        <v>#REF!</v>
      </c>
      <c r="J175" s="7"/>
      <c r="K175" s="30"/>
      <c r="L175" s="13"/>
      <c r="M175" s="27"/>
      <c r="N175" s="7"/>
      <c r="O175" s="27"/>
      <c r="P175" s="27"/>
      <c r="Q175" s="27"/>
      <c r="R175" s="7"/>
      <c r="S175" s="7"/>
      <c r="T175" s="30" t="s">
        <v>7859</v>
      </c>
      <c r="U175" s="13" t="str">
        <f>IF(ISBLANK(input_ccm_hcx_admin_password),"Value Missing",input_ccm_hcx_admin_password)</f>
        <v>Value Missing</v>
      </c>
      <c r="V175" s="9"/>
      <c r="W175" s="27"/>
      <c r="X175" s="27"/>
      <c r="Y175" s="27"/>
      <c r="Z175" s="27"/>
      <c r="AA175" s="27"/>
      <c r="AB175" s="7"/>
      <c r="AC175" s="7"/>
      <c r="AD175" s="7"/>
      <c r="AE175" s="7"/>
      <c r="AF175" s="7"/>
    </row>
    <row r="176" spans="1:32" ht="19.5" customHeight="1">
      <c r="A176" s="7"/>
      <c r="B176" s="30" t="s">
        <v>7860</v>
      </c>
      <c r="C176" s="13" t="e">
        <f>IF(ISBLANK(input_flt_vidb_directory_name),"Value Missing",input_flt_vidb_directory_name)</f>
        <v>#REF!</v>
      </c>
      <c r="D176" s="27"/>
      <c r="E176" s="39" t="s">
        <v>7820</v>
      </c>
      <c r="F176" s="13" t="e">
        <f>IF(ISBLANK(input_wld_cl01_az1_nsx_uplink_count),"Value Missing",input_wld_cl01_az1_nsx_uplink_count)</f>
        <v>#REF!</v>
      </c>
      <c r="G176" s="7"/>
      <c r="H176" s="30" t="s">
        <v>7861</v>
      </c>
      <c r="I176" s="13" t="e">
        <f>IF(ISBLANK(input_wld_bf_vc_fqdn),"Value Missing",input_wld_bf_vc_fqdn)</f>
        <v>#REF!</v>
      </c>
      <c r="J176" s="7"/>
      <c r="K176" s="30" t="s">
        <v>7862</v>
      </c>
      <c r="L176" s="13" t="e">
        <f>IF(ISBLANK(input_mgmt_witness_ip),"Value Missing",input_mgmt_witness_ip)</f>
        <v>#REF!</v>
      </c>
      <c r="M176" s="27"/>
      <c r="N176" s="7"/>
      <c r="O176" s="27"/>
      <c r="P176" s="27"/>
      <c r="Q176" s="27"/>
      <c r="R176" s="7"/>
      <c r="S176" s="7"/>
      <c r="T176" s="30" t="s">
        <v>7863</v>
      </c>
      <c r="U176" s="13" t="str">
        <f>IF(ISBLANK(input_ccm_hcx_root_password),"Value Missing",input_ccm_hcx_root_password)</f>
        <v>Value Missing</v>
      </c>
      <c r="V176" s="9"/>
      <c r="W176" s="27"/>
      <c r="X176" s="27"/>
      <c r="Y176" s="27"/>
      <c r="Z176" s="27"/>
      <c r="AA176" s="27"/>
      <c r="AB176" s="7"/>
      <c r="AC176" s="7"/>
      <c r="AD176" s="7"/>
      <c r="AE176" s="7"/>
      <c r="AF176" s="7"/>
    </row>
    <row r="177" spans="1:32" ht="19.5" customHeight="1">
      <c r="A177" s="7"/>
      <c r="B177" s="30" t="s">
        <v>7864</v>
      </c>
      <c r="C177" s="13" t="e">
        <f>flt_vidb_server_location_chosen</f>
        <v>#REF!</v>
      </c>
      <c r="D177" s="27"/>
      <c r="E177" s="39" t="s">
        <v>7865</v>
      </c>
      <c r="F177" s="13" t="e">
        <f>IF(ISBLANK(input_wld_nsx_vlan_transport_zone_name),"Value Missing",input_wld_nsx_vlan_transport_zone_name)</f>
        <v>#REF!</v>
      </c>
      <c r="G177" s="7"/>
      <c r="H177" s="30" t="s">
        <v>7866</v>
      </c>
      <c r="I177" s="13" t="e">
        <f>IF(ISBLANK(input_wld_bf_vc_root_password),"Value Missing",input_wld_bf_vc_root_password)</f>
        <v>#REF!</v>
      </c>
      <c r="J177" s="7"/>
      <c r="K177" s="30" t="s">
        <v>7867</v>
      </c>
      <c r="L177" s="13" t="e">
        <f>IF(ISBLANK(input_mgmt_witnessaz_mgmt_cidr),"Value Missing",input_mgmt_witnessaz_mgmt_cidr)</f>
        <v>#REF!</v>
      </c>
      <c r="M177" s="27"/>
      <c r="N177" s="7"/>
      <c r="O177" s="27"/>
      <c r="P177" s="27"/>
      <c r="Q177" s="27"/>
      <c r="R177" s="7"/>
      <c r="S177" s="7"/>
      <c r="T177" s="30" t="s">
        <v>7868</v>
      </c>
      <c r="U177" s="13" t="str">
        <f>IF(ISBLANK(input_ccm_hcx_cdp_ip),"Value Missing",input_ccm_hcx_cdp_ip)</f>
        <v>Value Missing</v>
      </c>
      <c r="V177" s="9"/>
      <c r="W177" s="27"/>
      <c r="X177" s="27"/>
      <c r="Y177" s="27"/>
      <c r="Z177" s="27"/>
      <c r="AA177" s="27"/>
      <c r="AB177" s="7"/>
      <c r="AC177" s="7"/>
      <c r="AD177" s="27"/>
      <c r="AE177" s="7"/>
      <c r="AF177" s="7"/>
    </row>
    <row r="178" spans="1:32" ht="19.5" customHeight="1">
      <c r="A178" s="7"/>
      <c r="B178" s="30" t="s">
        <v>7869</v>
      </c>
      <c r="C178" s="13" t="e">
        <f>flt_vidb_global_catalog_chosen</f>
        <v>#REF!</v>
      </c>
      <c r="D178" s="27"/>
      <c r="E178" s="30" t="s">
        <v>7870</v>
      </c>
      <c r="F178" s="13" t="e">
        <f>IF(ISBLANK(wld_az1_nsx_uplink1_active_chosen),"Value Missing",wld_az1_nsx_uplink1_active_chosen)</f>
        <v>#REF!</v>
      </c>
      <c r="G178" s="7"/>
      <c r="H178" s="30" t="s">
        <v>7871</v>
      </c>
      <c r="I178" s="13" t="e">
        <f>IF(ISBLANK(input_wld_bf_vc_sso_username),"Value Missing",input_wld_bf_vc_sso_username)</f>
        <v>#REF!</v>
      </c>
      <c r="J178" s="7"/>
      <c r="K178" s="30" t="s">
        <v>7872</v>
      </c>
      <c r="L178" s="13" t="e">
        <f>IF(ISBLANK(input_mgmt_witnessaz_mgmt_gateway_ip),"Value Missing",input_mgmt_witnessaz_mgmt_gateway_ip)</f>
        <v>#REF!</v>
      </c>
      <c r="M178" s="27"/>
      <c r="N178" s="7"/>
      <c r="O178" s="27"/>
      <c r="P178" s="27"/>
      <c r="Q178" s="27"/>
      <c r="R178" s="7"/>
      <c r="S178" s="7"/>
      <c r="T178" s="30" t="s">
        <v>7873</v>
      </c>
      <c r="U178" s="13" t="str">
        <f>IF(ISBLANK(input_ccm_hcx_remote_url),"Value Missing",input_ccm_hcx_remote_url)</f>
        <v>Value Missing</v>
      </c>
      <c r="V178" s="9"/>
      <c r="W178" s="27"/>
      <c r="X178" s="27"/>
      <c r="Y178" s="27"/>
      <c r="Z178" s="27"/>
      <c r="AA178" s="27"/>
      <c r="AB178" s="7"/>
      <c r="AC178" s="7"/>
      <c r="AD178" s="27"/>
      <c r="AE178" s="7"/>
      <c r="AF178" s="7"/>
    </row>
    <row r="179" spans="1:32" ht="19.5" customHeight="1">
      <c r="A179" s="7"/>
      <c r="B179" s="30" t="s">
        <v>7874</v>
      </c>
      <c r="C179" s="13" t="e">
        <f>flt_vidb_encrypted_connection_chosen</f>
        <v>#REF!</v>
      </c>
      <c r="D179" s="27"/>
      <c r="E179" s="30" t="s">
        <v>7875</v>
      </c>
      <c r="F179" s="13" t="e">
        <f>IF(ISBLANK(wld_az1_nsx_uplink2_active_chosen),"Value Missing",wld_az1_nsx_uplink2_active_chosen)</f>
        <v>#REF!</v>
      </c>
      <c r="G179" s="7"/>
      <c r="H179" s="30" t="s">
        <v>7876</v>
      </c>
      <c r="I179" s="13" t="e">
        <f>IF(ISBLANK(input_wld_bf_vc_sso_password),"Value Missing",input_wld_bf_vc_sso_password)</f>
        <v>#REF!</v>
      </c>
      <c r="J179" s="7"/>
      <c r="K179" s="30" t="s">
        <v>7877</v>
      </c>
      <c r="L179" s="13" t="e">
        <f>IF(ISBLANK(input_sftp_server),"Value Missing",input_sftp_server)</f>
        <v>#REF!</v>
      </c>
      <c r="M179" s="27"/>
      <c r="N179" s="7"/>
      <c r="O179" s="27"/>
      <c r="P179" s="27"/>
      <c r="Q179" s="27"/>
      <c r="R179" s="7"/>
      <c r="S179" s="7"/>
      <c r="T179" s="30" t="s">
        <v>7878</v>
      </c>
      <c r="U179" s="13" t="str">
        <f>IF(ISBLANK(input_ccm_aws_admin_ssouser),"Value Missing",input_ccm_aws_admin_ssouser)</f>
        <v>Value Missing</v>
      </c>
      <c r="V179" s="9"/>
      <c r="W179" s="27"/>
      <c r="X179" s="27"/>
      <c r="Y179" s="27"/>
      <c r="Z179" s="27"/>
      <c r="AA179" s="27"/>
      <c r="AB179" s="7"/>
      <c r="AC179" s="7"/>
      <c r="AD179" s="27"/>
      <c r="AE179" s="7"/>
      <c r="AF179" s="7"/>
    </row>
    <row r="180" spans="1:32" ht="19.5" customHeight="1">
      <c r="A180" s="7"/>
      <c r="B180" s="30" t="s">
        <v>7879</v>
      </c>
      <c r="C180" s="13" t="e">
        <f>IF(ISBLANK(input_flt_vidb_encrypted_cert),"Value Missing",input_flt_vidb_encrypted_cert)</f>
        <v>#REF!</v>
      </c>
      <c r="D180" s="27"/>
      <c r="E180" s="56" t="s">
        <v>7880</v>
      </c>
      <c r="F180" s="13" t="e">
        <f>IF(ISBLANK(input_wld_nsxt_en_admin_password),"Value Missing",input_wld_nsxt_en_admin_password)</f>
        <v>#REF!</v>
      </c>
      <c r="G180" s="7"/>
      <c r="H180" s="30" t="s">
        <v>7881</v>
      </c>
      <c r="I180" s="13" t="e">
        <f>IF(ISBLANK(wld_bf_nsx_existing_chosen),"Value Missing",wld_bf_nsx_existing_chosen)</f>
        <v>#REF!</v>
      </c>
      <c r="J180" s="7"/>
      <c r="K180" s="7"/>
      <c r="L180" s="27"/>
      <c r="M180" s="27"/>
      <c r="N180" s="7"/>
      <c r="O180" s="27"/>
      <c r="P180" s="27"/>
      <c r="Q180" s="27"/>
      <c r="R180" s="7"/>
      <c r="S180" s="7"/>
      <c r="T180" s="30" t="s">
        <v>7882</v>
      </c>
      <c r="U180" s="13" t="str">
        <f>IF(ISBLANK(input_ccm_aws_admin_password),"Value Missing",input_ccm_aws_admin_password)</f>
        <v>Value Missing</v>
      </c>
      <c r="V180" s="9"/>
      <c r="W180" s="27"/>
      <c r="X180" s="27"/>
      <c r="Y180" s="27"/>
      <c r="Z180" s="27"/>
      <c r="AA180" s="27"/>
      <c r="AB180" s="7"/>
      <c r="AC180" s="7"/>
      <c r="AD180" s="27"/>
      <c r="AE180" s="27"/>
      <c r="AF180" s="7"/>
    </row>
    <row r="181" spans="1:32" ht="19.5" customHeight="1">
      <c r="A181" s="7"/>
      <c r="B181" s="30" t="s">
        <v>7883</v>
      </c>
      <c r="C181" s="13" t="e">
        <f>IF(ISBLANK(input_flt_vidb_primary_domain_controller),"Value Missing",input_flt_vidb_primary_domain_controller)</f>
        <v>#REF!</v>
      </c>
      <c r="D181" s="27"/>
      <c r="E181" s="58" t="s">
        <v>7884</v>
      </c>
      <c r="F181" s="13" t="e">
        <f>IF(ISBLANK(input_wld_nsxt_en_root_password),"Value Missing",input_wld_nsxt_en_root_password)</f>
        <v>#REF!</v>
      </c>
      <c r="G181" s="7"/>
      <c r="H181" s="39" t="s">
        <v>7885</v>
      </c>
      <c r="I181" s="13" t="e">
        <f>IF(ISBLANK(wld_bf_nsx_join_manager_chosen),"Value Missing",wld_bf_nsx_join_manager_chosen)</f>
        <v>#REF!</v>
      </c>
      <c r="J181" s="7"/>
      <c r="K181" s="75" t="s">
        <v>7886</v>
      </c>
      <c r="L181" s="75"/>
      <c r="M181" s="27"/>
      <c r="N181" s="7"/>
      <c r="O181" s="27"/>
      <c r="P181" s="27"/>
      <c r="Q181" s="27"/>
      <c r="R181" s="27"/>
      <c r="S181" s="7"/>
      <c r="T181" s="30" t="s">
        <v>7887</v>
      </c>
      <c r="U181" s="13" t="str">
        <f t="array" ref="U181">IF(ISBLANK(input_ccm_hcx_mgmt_network_ip_range),"Value Missing",input_ccm_hcx_mgmt_network_ip_range)</f>
        <v>Value Missing</v>
      </c>
      <c r="V181" s="27"/>
      <c r="W181" s="27"/>
      <c r="X181" s="27"/>
      <c r="Y181" s="27"/>
      <c r="Z181" s="27"/>
      <c r="AA181" s="27"/>
      <c r="AB181" s="7"/>
      <c r="AC181" s="7"/>
      <c r="AD181" s="27"/>
      <c r="AE181" s="27"/>
      <c r="AF181" s="7"/>
    </row>
    <row r="182" spans="1:32" ht="19.5" customHeight="1">
      <c r="A182" s="7"/>
      <c r="B182" s="30" t="s">
        <v>7888</v>
      </c>
      <c r="C182" s="13" t="e">
        <f>IF(ISBLANK(input_flt_vidb_primary_domain_controller_port),"Value Missing",input_flt_vidb_primary_domain_controller_port)</f>
        <v>#REF!</v>
      </c>
      <c r="D182" s="27"/>
      <c r="E182" s="58" t="s">
        <v>7889</v>
      </c>
      <c r="F182" s="13" t="e">
        <f>IF(ISBLANK(input_wld_ec_mtu),"Value Missing",input_wld_ec_mtu)</f>
        <v>#REF!</v>
      </c>
      <c r="G182" s="7"/>
      <c r="H182" s="39" t="s">
        <v>7890</v>
      </c>
      <c r="I182" s="13" t="e">
        <f>IF(ISBLANK(wld_bf_nsx_ha_mode_chosen),"Value Missing",wld_bf_nsx_ha_mode_chosen)</f>
        <v>#REF!</v>
      </c>
      <c r="J182" s="27"/>
      <c r="K182" s="52" t="s">
        <v>6780</v>
      </c>
      <c r="L182" s="52" t="s">
        <v>6943</v>
      </c>
      <c r="M182" s="27"/>
      <c r="N182" s="7"/>
      <c r="O182" s="27"/>
      <c r="P182" s="27"/>
      <c r="Q182" s="27"/>
      <c r="R182" s="27"/>
      <c r="S182" s="7"/>
      <c r="T182" s="30" t="s">
        <v>7891</v>
      </c>
      <c r="U182" s="13" t="str">
        <f t="array" ref="U182">IF(ISBLANK(input_ccm_hcx_vmotion_network_ip_range),"Value Missing",input_ccm_hcx_vmotion_network_ip_range)</f>
        <v>Value Missing</v>
      </c>
      <c r="V182" s="27"/>
      <c r="W182" s="27"/>
      <c r="X182" s="27"/>
      <c r="Y182" s="27"/>
      <c r="Z182" s="27"/>
      <c r="AA182" s="27"/>
      <c r="AB182" s="7"/>
      <c r="AC182" s="7"/>
      <c r="AD182" s="27"/>
      <c r="AE182" s="27"/>
      <c r="AF182" s="7"/>
    </row>
    <row r="183" spans="1:32" ht="19.5" customHeight="1">
      <c r="A183" s="27"/>
      <c r="B183" s="30" t="s">
        <v>7892</v>
      </c>
      <c r="C183" s="13" t="e">
        <f>IF(ISBLANK(input_flt_vidb_secondary_domain_controller),"Value Missing",input_flt_vidb_secondary_domain_controller)</f>
        <v>#REF!</v>
      </c>
      <c r="D183" s="27"/>
      <c r="E183" s="39" t="s">
        <v>7893</v>
      </c>
      <c r="F183" s="13" t="e">
        <f>IF(ISBLANK(input_wld_cl01_cluster_zn_name),"Value Missing",input_wld_cl01_cluster_zn_name)</f>
        <v>#REF!</v>
      </c>
      <c r="G183" s="27"/>
      <c r="H183" s="39" t="s">
        <v>6849</v>
      </c>
      <c r="I183" s="13" t="e">
        <f>IF(ISBLANK(wld_bf_nsx_appliance_size_chosen),"Value Missing",wld_bf_nsx_appliance_size_chosen)</f>
        <v>#REF!</v>
      </c>
      <c r="J183" s="27"/>
      <c r="K183" s="30" t="s">
        <v>6663</v>
      </c>
      <c r="L183" s="13" t="e">
        <f>IF(ISBLANK(input_flt_logs_cert_alias),"Value Missing",input_flt_logs_cert_alias)</f>
        <v>#NAME?</v>
      </c>
      <c r="M183" s="27"/>
      <c r="N183" s="7"/>
      <c r="O183" s="27"/>
      <c r="P183" s="27"/>
      <c r="Q183" s="27"/>
      <c r="R183" s="27"/>
      <c r="S183" s="27"/>
      <c r="T183" s="30" t="s">
        <v>7894</v>
      </c>
      <c r="U183" s="13" t="str">
        <f>IF(ISBLANK(input_ccm_hcx_compute_profile),"Value Missing",input_ccm_hcx_compute_profile)</f>
        <v>Value Missing</v>
      </c>
      <c r="V183" s="27"/>
      <c r="W183" s="27"/>
      <c r="X183" s="27"/>
      <c r="Y183" s="27"/>
      <c r="Z183" s="27"/>
      <c r="AA183" s="27"/>
      <c r="AB183" s="7"/>
      <c r="AC183" s="7"/>
      <c r="AD183" s="27"/>
      <c r="AE183" s="27"/>
      <c r="AF183" s="27"/>
    </row>
    <row r="184" spans="1:32" ht="19.5" customHeight="1">
      <c r="A184" s="27"/>
      <c r="B184" s="30" t="s">
        <v>7895</v>
      </c>
      <c r="C184" s="13" t="e">
        <f>IF(ISBLANK(input_flt_vidb_secondary_domain_controller_port),"Value Missing",input_flt_vidb_secondary_domain_controller_port)</f>
        <v>#REF!</v>
      </c>
      <c r="D184" s="27"/>
      <c r="E184" s="39" t="s">
        <v>7896</v>
      </c>
      <c r="F184" s="13" t="e">
        <f>IF(ISBLANK(input_wld_cl01_supervisor_control_plane_ip_range),"Value Missing",input_wld_cl01_supervisor_control_plane_ip_range)</f>
        <v>#REF!</v>
      </c>
      <c r="G184" s="27"/>
      <c r="H184" s="39" t="s">
        <v>6862</v>
      </c>
      <c r="I184" s="13" t="e">
        <f>IF(ISBLANK(input_wld_bf_nsxt_mgra_fqdn),"Value Missing",input_wld_bf_nsxt_mgra_fqdn)</f>
        <v>#REF!</v>
      </c>
      <c r="J184" s="27"/>
      <c r="K184" s="30" t="s">
        <v>6668</v>
      </c>
      <c r="L184" s="13" t="e">
        <f>IF(ISBLANK(input_flt_logs_common_name),"Value Missing",input_flt_logs_common_name)</f>
        <v>#NAME?</v>
      </c>
      <c r="M184" s="27"/>
      <c r="N184" s="7"/>
      <c r="O184" s="27"/>
      <c r="P184" s="27"/>
      <c r="Q184" s="27"/>
      <c r="R184" s="27"/>
      <c r="S184" s="27"/>
      <c r="T184" s="30" t="s">
        <v>7897</v>
      </c>
      <c r="U184" s="13" t="str">
        <f>IF(ISBLANK(input_ccm_hcx_service_mesh),"Value Missing",input_ccm_hcx_service_mesh)</f>
        <v>Value Missing</v>
      </c>
      <c r="V184" s="27"/>
      <c r="W184" s="27"/>
      <c r="X184" s="27"/>
      <c r="Y184" s="27"/>
      <c r="Z184" s="27"/>
      <c r="AA184" s="27"/>
      <c r="AB184" s="7"/>
      <c r="AC184" s="7"/>
      <c r="AD184" s="27"/>
      <c r="AE184" s="27"/>
      <c r="AF184" s="27"/>
    </row>
    <row r="185" spans="1:32" ht="19.5" customHeight="1">
      <c r="A185" s="27"/>
      <c r="B185" s="30" t="s">
        <v>7898</v>
      </c>
      <c r="C185" s="13" t="e">
        <f>flt_vidb_directory_search_chosen</f>
        <v>#REF!</v>
      </c>
      <c r="D185" s="27"/>
      <c r="E185" s="39" t="s">
        <v>7899</v>
      </c>
      <c r="F185" s="13" t="e">
        <f>IF(ISBLANK(input_wld_cl01_supervisor_dns),"Value Missing",input_wld_cl01_supervisor_dns)</f>
        <v>#REF!</v>
      </c>
      <c r="G185" s="27"/>
      <c r="H185" s="39" t="s">
        <v>7900</v>
      </c>
      <c r="I185" s="13" t="e">
        <f>IF(ISBLANK(input_wld_bf_nsxt_mgrb_fqdn),"Value Missing",input_wld_bf_nsxt_mgrb_fqdn)</f>
        <v>#REF!</v>
      </c>
      <c r="J185" s="27"/>
      <c r="K185" s="30" t="s">
        <v>6670</v>
      </c>
      <c r="L185" s="13" t="e">
        <f>IF(ISBLANK(input_flt_logs_cert_organisation),"Value Missing",input_flt_logs_cert_organisation)</f>
        <v>#NAME?</v>
      </c>
      <c r="M185" s="27"/>
      <c r="N185" s="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7"/>
      <c r="AC185" s="7"/>
      <c r="AD185" s="27"/>
      <c r="AE185" s="27"/>
      <c r="AF185" s="27"/>
    </row>
    <row r="186" spans="1:32" ht="19.5" customHeight="1">
      <c r="A186" s="27"/>
      <c r="B186" s="30" t="s">
        <v>7901</v>
      </c>
      <c r="C186" s="13" t="e">
        <f>IF(ISBLANK(input_flt_vidb_base_dn),"Value Missing",input_flt_vidb_base_dn)</f>
        <v>#REF!</v>
      </c>
      <c r="D186" s="27"/>
      <c r="E186" s="39" t="s">
        <v>7902</v>
      </c>
      <c r="F186" s="13" t="e">
        <f>IF(ISBLANK(input_wld_cl01_supervisor_name),"Value Missing",input_wld_cl01_supervisor_name)</f>
        <v>#REF!</v>
      </c>
      <c r="G186" s="27"/>
      <c r="H186" s="39" t="s">
        <v>7903</v>
      </c>
      <c r="I186" s="13" t="e">
        <f>IF(ISBLANK(input_wld_bf_nsxt_mgrc_fqdn),"Value Missing",input_wld_bf_nsxt_mgrc_fqdn)</f>
        <v>#REF!</v>
      </c>
      <c r="J186" s="27"/>
      <c r="K186" s="30" t="s">
        <v>6673</v>
      </c>
      <c r="L186" s="13" t="e">
        <f>IF(ISBLANK(input_flt_logs_ou_cert),"Value Missing",input_flt_logs_ou_cert)</f>
        <v>#NAME?</v>
      </c>
      <c r="M186" s="27"/>
      <c r="N186" s="7"/>
      <c r="O186" s="27"/>
      <c r="P186" s="27"/>
      <c r="Q186" s="27"/>
      <c r="R186" s="27"/>
      <c r="S186" s="27"/>
      <c r="T186" s="180" t="s">
        <v>7904</v>
      </c>
      <c r="U186" s="181"/>
      <c r="V186" s="27"/>
      <c r="W186" s="27"/>
      <c r="X186" s="27"/>
      <c r="Y186" s="27"/>
      <c r="Z186" s="27"/>
      <c r="AA186" s="27"/>
      <c r="AB186" s="7"/>
      <c r="AC186" s="27"/>
      <c r="AD186" s="27"/>
      <c r="AE186" s="27"/>
      <c r="AF186" s="27"/>
    </row>
    <row r="187" spans="1:32" ht="19.5" customHeight="1">
      <c r="A187" s="27"/>
      <c r="B187" s="30" t="s">
        <v>7905</v>
      </c>
      <c r="C187" s="13" t="e">
        <f>IF(ISBLANK(input_flt_vidb_bind_username),"Value Missing",input_flt_vidb_bind_username)</f>
        <v>#REF!</v>
      </c>
      <c r="D187" s="27"/>
      <c r="E187" s="39" t="s">
        <v>7906</v>
      </c>
      <c r="F187" s="13" t="e">
        <f>IF(ISBLANK(input_wld_cl01_supervisor_nsx_project),"Value Missing",input_wld_cl01_supervisor_nsx_project)</f>
        <v>#REF!</v>
      </c>
      <c r="G187" s="27"/>
      <c r="H187" s="39" t="s">
        <v>6865</v>
      </c>
      <c r="I187" s="13" t="e">
        <f>IF(ISBLANK(input_wld_bf_nsxt_vip_fqdn),"Value Missing",input_wld_bf_nsxt_vip_fqdn)</f>
        <v>#REF!</v>
      </c>
      <c r="J187" s="27"/>
      <c r="K187" s="30" t="s">
        <v>6675</v>
      </c>
      <c r="L187" s="13" t="e">
        <f>IF(ISBLANK(input_flt_logs_cert_country_code),"Value Missing",input_flt_logs_cert_country_code)</f>
        <v>#NAME?</v>
      </c>
      <c r="M187" s="27"/>
      <c r="N187" s="7"/>
      <c r="O187" s="27"/>
      <c r="P187" s="27"/>
      <c r="Q187" s="27"/>
      <c r="R187" s="27"/>
      <c r="S187" s="27"/>
      <c r="T187" s="70" t="s">
        <v>7907</v>
      </c>
      <c r="U187" s="13" t="str">
        <f>IF(ISBLANK(input_mgmt_rwr_vc_fqdn),"Value Missing",input_mgmt_rwr_vc_fqdn)</f>
        <v>Value Missing</v>
      </c>
      <c r="V187" s="27"/>
      <c r="W187" s="27"/>
      <c r="X187" s="27"/>
      <c r="Y187" s="27"/>
      <c r="Z187" s="27"/>
      <c r="AA187" s="27"/>
      <c r="AB187" s="7"/>
      <c r="AC187" s="27"/>
      <c r="AD187" s="27"/>
      <c r="AE187" s="27"/>
      <c r="AF187" s="27"/>
    </row>
    <row r="188" spans="1:32" ht="19.5" customHeight="1">
      <c r="A188" s="27"/>
      <c r="B188" s="30" t="s">
        <v>7908</v>
      </c>
      <c r="C188" s="13" t="e">
        <f>IF(ISBLANK(input_flt_vidb_bind_password),"Value Missing",input_flt_vidb_bind_password)</f>
        <v>#REF!</v>
      </c>
      <c r="D188" s="27"/>
      <c r="E188" s="39" t="s">
        <v>7909</v>
      </c>
      <c r="F188" s="13" t="e">
        <f>IF(ISBLANK(input_wld_cl01_supervisor_ntp),"Value Missing",input_wld_cl01_supervisor_ntp)</f>
        <v>#REF!</v>
      </c>
      <c r="G188" s="27"/>
      <c r="H188" s="30" t="s">
        <v>7910</v>
      </c>
      <c r="I188" s="13" t="e">
        <f>IF(ISBLANK(wld_bf_nsxt_enable_edge_sync_chosen),"Value Missing",wld_bf_nsxt_enable_edge_sync_chosen)</f>
        <v>#REF!</v>
      </c>
      <c r="J188" s="7"/>
      <c r="K188" s="30" t="s">
        <v>6677</v>
      </c>
      <c r="L188" s="13" t="e">
        <f>IF(ISBLANK(input_flt_logs_cert_locality),"Value Missing",input_flt_logs_cert_locality)</f>
        <v>#NAME?</v>
      </c>
      <c r="M188" s="27"/>
      <c r="N188" s="7"/>
      <c r="O188" s="27"/>
      <c r="P188" s="27"/>
      <c r="Q188" s="27"/>
      <c r="R188" s="27"/>
      <c r="S188" s="27"/>
      <c r="T188" s="70" t="s">
        <v>7911</v>
      </c>
      <c r="U188" s="13" t="str">
        <f>IF(ISBLANK(input_wld_rwr_vc_fqdn),"Value Missing",input_wld_rwr_vc_fqdn)</f>
        <v>Value Missing</v>
      </c>
      <c r="V188" s="27"/>
      <c r="W188" s="27"/>
      <c r="X188" s="27"/>
      <c r="Y188" s="27"/>
      <c r="Z188" s="27"/>
      <c r="AA188" s="27"/>
      <c r="AB188" s="7"/>
      <c r="AC188" s="27"/>
      <c r="AD188" s="27"/>
      <c r="AE188" s="27"/>
      <c r="AF188" s="27"/>
    </row>
    <row r="189" spans="1:32" ht="19.5" customHeight="1">
      <c r="A189" s="27"/>
      <c r="B189" s="30" t="s">
        <v>7912</v>
      </c>
      <c r="C189" s="13" t="e">
        <f>IF(ISBLANK(input_flt_vidb_user_name),"Value Missing",input_flt_vidb_user_name)</f>
        <v>#REF!</v>
      </c>
      <c r="D189" s="27"/>
      <c r="E189" s="39" t="s">
        <v>7913</v>
      </c>
      <c r="F189" s="13" t="e">
        <f>IF(ISBLANK(input_wld_cl01_supervisor_private_cidr),"Value Missing",input_wld_cl01_supervisor_private_cidr)</f>
        <v>#NAME?</v>
      </c>
      <c r="G189" s="27"/>
      <c r="H189" s="39" t="s">
        <v>7914</v>
      </c>
      <c r="I189" s="13" t="e">
        <f>IF(ISBLANK(wld_bf_nsxt_enable_edge_sync_chosen),"Value Missing",wld_bf_nsxt_configure_overlay_on_mgmt_pg_chosen)</f>
        <v>#REF!</v>
      </c>
      <c r="J189" s="7"/>
      <c r="K189" s="30" t="s">
        <v>6679</v>
      </c>
      <c r="L189" s="13" t="e">
        <f>IF(ISBLANK(input_flt_logs_cert_state),"Value Missing",input_flt_logs_cert_state)</f>
        <v>#NAME?</v>
      </c>
      <c r="M189" s="27"/>
      <c r="N189" s="7"/>
      <c r="O189" s="27"/>
      <c r="P189" s="27"/>
      <c r="Q189" s="27"/>
      <c r="R189" s="27"/>
      <c r="S189" s="27"/>
      <c r="T189" s="70" t="s">
        <v>7915</v>
      </c>
      <c r="U189" s="13" t="str">
        <f>IF(ISBLANK(input_wld_vlr_hostname),"Value Missing",input_wld_vlr_hostname)</f>
        <v>Value Missing</v>
      </c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</row>
    <row r="190" spans="1:32" ht="19.5" customHeight="1">
      <c r="A190" s="27"/>
      <c r="B190" s="30" t="s">
        <v>7916</v>
      </c>
      <c r="C190" s="13" t="e">
        <f>IF(ISBLANK(input_flt_vidb_first_name),"Value Missing",input_flt_vidb_first_name)</f>
        <v>#REF!</v>
      </c>
      <c r="D190" s="27"/>
      <c r="E190" s="39" t="s">
        <v>7917</v>
      </c>
      <c r="F190" s="13" t="e">
        <f>IF(ISBLANK(input_wld_cl01_supervisor_private_transit_gateway_cidr),"Value Missing",input_wld_cl01_supervisor_private_transit_gateway_cidr)</f>
        <v>#REF!</v>
      </c>
      <c r="G190" s="27"/>
      <c r="H190" s="39" t="s">
        <v>7918</v>
      </c>
      <c r="I190" s="13" t="e">
        <f>IF(ISBLANK(wld_bf_nsx_create_passwords_chosen),"Value Missing",wld_bf_nsx_create_passwords_chosen)</f>
        <v>#REF!</v>
      </c>
      <c r="J190" s="7"/>
      <c r="K190" s="30" t="s">
        <v>6681</v>
      </c>
      <c r="L190" s="13" t="e">
        <f>IF(ISBLANK(flt_logs_cert_key_length_chosen),"Value Missing",flt_logs_cert_key_length_chosen)</f>
        <v>#NAME?</v>
      </c>
      <c r="M190" s="27"/>
      <c r="N190" s="27"/>
      <c r="O190" s="27"/>
      <c r="P190" s="27"/>
      <c r="Q190" s="27"/>
      <c r="R190" s="27"/>
      <c r="S190" s="27"/>
      <c r="T190" s="70" t="s">
        <v>7919</v>
      </c>
      <c r="U190" s="13" t="str">
        <f>CONCATENATE(wld_vlr_hostname,".",rwr_child_dns_zone)</f>
        <v>Value Missing.Value Missing</v>
      </c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</row>
    <row r="191" spans="1:32" ht="19.5" customHeight="1">
      <c r="A191" s="27"/>
      <c r="B191" s="30" t="s">
        <v>7920</v>
      </c>
      <c r="C191" s="13" t="e">
        <f>IF(ISBLANK(input_flt_vidb_last_name),"Value Missing",input_flt_vidb_last_name)</f>
        <v>#REF!</v>
      </c>
      <c r="D191" s="7"/>
      <c r="E191" s="39" t="s">
        <v>7921</v>
      </c>
      <c r="F191" s="13" t="e">
        <f>IF(ISBLANK(input_wld_cl01_supervisor_service_cidr),"Value Missing",input_wld_cl01_supervisor_service_cidr)</f>
        <v>#REF!</v>
      </c>
      <c r="G191" s="27"/>
      <c r="H191" s="30" t="s">
        <v>7922</v>
      </c>
      <c r="I191" s="13" t="e">
        <f>IF(ISBLANK(input_wld_bf_nsxt_admin_password),"Value Missing",input_wld_bf_nsxt_admin_password)</f>
        <v>#REF!</v>
      </c>
      <c r="J191" s="7"/>
      <c r="K191" s="30" t="s">
        <v>7923</v>
      </c>
      <c r="L191" s="13" t="e">
        <f>IF(ISBLANK(input_flt_logs_vip_fqdn),"Value Missing",input_flt_logs_vip_fqdn)</f>
        <v>#REF!</v>
      </c>
      <c r="M191" s="27"/>
      <c r="N191" s="27"/>
      <c r="O191" s="27"/>
      <c r="P191" s="27"/>
      <c r="Q191" s="27"/>
      <c r="R191" s="27"/>
      <c r="S191" s="27"/>
      <c r="T191" s="70" t="s">
        <v>7924</v>
      </c>
      <c r="U191" s="13" t="str">
        <f t="array" ref="U191">IF(ISBLANK(input_wld_rwr_cl02_cluster),"Value Missing",input_wld_rwr_cl02_cluster)</f>
        <v>Value Missing</v>
      </c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</row>
    <row r="192" spans="1:32" ht="19.5" customHeight="1">
      <c r="A192" s="27"/>
      <c r="B192" s="30" t="s">
        <v>7925</v>
      </c>
      <c r="C192" s="13" t="e">
        <f>IF(ISBLANK(input_flt_vidb_distinguished_name),"Value Missing",input_flt_vidb_distinguished_name)</f>
        <v>#REF!</v>
      </c>
      <c r="D192" s="7"/>
      <c r="E192" s="39" t="s">
        <v>7926</v>
      </c>
      <c r="F192" s="13" t="e">
        <f>IF(ISBLANK(wld_cl01_supervisor_use_mgmt_vmk_chosen),"Value Missing",wld_cl01_supervisor_use_mgmt_vmk_chosen)</f>
        <v>#REF!</v>
      </c>
      <c r="G192" s="27"/>
      <c r="H192" s="30" t="s">
        <v>7927</v>
      </c>
      <c r="I192" s="13" t="e">
        <f>IF(ISBLANK(input_wld_bf_nsxt_root_password),"Value Missing",input_wld_bf_nsxt_root_password)</f>
        <v>#REF!</v>
      </c>
      <c r="J192" s="7"/>
      <c r="K192" s="30" t="s">
        <v>7928</v>
      </c>
      <c r="L192" s="13" t="e">
        <f>IF(ISBLANK(input_flt_logs_nodea_fqdn),"Value Missing",input_flt_logs_nodea_fqdn)</f>
        <v>#NAME?</v>
      </c>
      <c r="M192" s="27"/>
      <c r="N192" s="27"/>
      <c r="O192" s="27"/>
      <c r="P192" s="27"/>
      <c r="Q192" s="27"/>
      <c r="R192" s="27"/>
      <c r="S192" s="27"/>
      <c r="T192" s="70" t="s">
        <v>7929</v>
      </c>
      <c r="U192" s="13" t="str">
        <f>IF(ISBLANK(input_wld_rwr_cl02_vds01),"Value Missing",input_wld_rwr_cl02_vds01)</f>
        <v>Value Missing</v>
      </c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</row>
    <row r="193" spans="1:32" ht="19.5" customHeight="1">
      <c r="A193" s="27"/>
      <c r="B193" s="30" t="s">
        <v>7930</v>
      </c>
      <c r="C193" s="13" t="e">
        <f>IF(ISBLANK(input_flt_vidb_employeeID),"Value Missing",input_flt_vidb_employeeID)</f>
        <v>#REF!</v>
      </c>
      <c r="D193" s="7"/>
      <c r="E193" s="39" t="s">
        <v>7931</v>
      </c>
      <c r="F193" s="13" t="e">
        <f>IF(ISBLANK(input_wld_cl01_supervisor_vpc_profile),"Value Missing",input_wld_cl01_supervisor_vpc_profile)</f>
        <v>#REF!</v>
      </c>
      <c r="G193" s="27"/>
      <c r="H193" s="30" t="s">
        <v>7774</v>
      </c>
      <c r="I193" s="13" t="e">
        <f>IF(ISBLANK(input_wld_bf_nsxt_audit_password),"Value Missing",input_wld_bf_nsxt_audit_password)</f>
        <v>#REF!</v>
      </c>
      <c r="J193" s="7"/>
      <c r="K193" s="30" t="s">
        <v>7932</v>
      </c>
      <c r="L193" s="13" t="e">
        <f>IF(ISBLANK(input_flt_logs_nodeb_fqdn),"Value Missing",input_flt_logs_nodeb_fqdn)</f>
        <v>#NAME?</v>
      </c>
      <c r="M193" s="27"/>
      <c r="N193" s="27"/>
      <c r="O193" s="27"/>
      <c r="P193" s="27"/>
      <c r="Q193" s="27"/>
      <c r="R193" s="27"/>
      <c r="S193" s="27"/>
      <c r="T193" s="70"/>
      <c r="U193" s="13" t="str">
        <f>IF(ISBLANK(input_rwr_sso_domain_name),"Value Missing",input_rwr_sso_domain_name)</f>
        <v>Value Missing</v>
      </c>
      <c r="V193" s="27"/>
      <c r="W193" s="27"/>
      <c r="X193" s="27"/>
      <c r="Y193" s="27"/>
      <c r="Z193" s="27"/>
      <c r="AA193" s="27"/>
      <c r="AB193" s="27"/>
      <c r="AC193" s="27"/>
      <c r="AD193" s="27"/>
      <c r="AE193" s="7"/>
      <c r="AF193" s="27"/>
    </row>
    <row r="194" spans="1:32" ht="19.5" customHeight="1">
      <c r="A194" s="27"/>
      <c r="B194" s="30" t="s">
        <v>7933</v>
      </c>
      <c r="C194" s="13" t="e">
        <f>IF(ISBLANK(input_flt_vidb_mail),"Value Missing",input_flt_vidb_mail)</f>
        <v>#REF!</v>
      </c>
      <c r="D194" s="7"/>
      <c r="E194" s="56" t="s">
        <v>7889</v>
      </c>
      <c r="F194" s="13" t="e">
        <f>IF(ISBLANK(input_wld_ec_mtu),"Value Missing",input_wld_ec_mtu)</f>
        <v>#REF!</v>
      </c>
      <c r="G194" s="27"/>
      <c r="H194" s="39" t="s">
        <v>7934</v>
      </c>
      <c r="I194" s="13" t="e">
        <f>IF(ISBLANK(input_wld_bf_sddc_domain),"Value Missing",input_wld_bf_sddc_domain)</f>
        <v>#REF!</v>
      </c>
      <c r="J194" s="7"/>
      <c r="K194" s="30" t="s">
        <v>7935</v>
      </c>
      <c r="L194" s="13" t="e">
        <f>IF(ISBLANK(input_flt_logs_nodec_fqdn),"Value Missing",input_flt_logs_nodec_fqdn)</f>
        <v>#NAME?</v>
      </c>
      <c r="M194" s="27"/>
      <c r="N194" s="27"/>
      <c r="O194" s="27"/>
      <c r="P194" s="27"/>
      <c r="Q194" s="27"/>
      <c r="R194" s="27"/>
      <c r="S194" s="27"/>
      <c r="T194" s="27"/>
      <c r="U194" s="13" t="str">
        <f>IF(ISBLANK(input_wld_vlr_replication_user),"Value Missing",input_wld_vlr_replication_user)</f>
        <v>Value Missing</v>
      </c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</row>
    <row r="195" spans="1:32" ht="19.5" customHeight="1">
      <c r="A195" s="27"/>
      <c r="B195" s="30" t="s">
        <v>7936</v>
      </c>
      <c r="C195" s="13" t="e">
        <f>IF(ISBLANK(input_flt_vidb_user_principal_name),"Value Missing",input_flt_vidb_user_principal_name)</f>
        <v>#REF!</v>
      </c>
      <c r="D195" s="7"/>
      <c r="E195" s="56" t="s">
        <v>7880</v>
      </c>
      <c r="F195" s="13" t="e">
        <f>IF(ISBLANK(input_wld_nsxt_en_admin_password),"Value Missing",input_wld_nsxt_en_admin_password)</f>
        <v>#REF!</v>
      </c>
      <c r="G195" s="27"/>
      <c r="H195" s="27"/>
      <c r="I195" s="27"/>
      <c r="J195" s="7"/>
      <c r="K195" s="30" t="s">
        <v>7937</v>
      </c>
      <c r="L195" s="13" t="e">
        <f>IF(ISBLANK(input_flt_logs_vip_ip),"Value Missing",input_flt_logs_vip_ip)</f>
        <v>#REF!</v>
      </c>
      <c r="M195" s="27"/>
      <c r="N195" s="27"/>
      <c r="O195" s="27"/>
      <c r="P195" s="27"/>
      <c r="Q195" s="27"/>
      <c r="R195" s="27"/>
      <c r="S195" s="27"/>
      <c r="T195" s="27"/>
      <c r="U195" s="13" t="str">
        <f>IF(ISBLANK(input_rwr_child_dns_zone),"Value Missing",input_rwr_child_dns_zone)</f>
        <v>Value Missing</v>
      </c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</row>
    <row r="196" spans="1:32" ht="19.5" customHeight="1">
      <c r="A196" s="27"/>
      <c r="B196" s="30" t="s">
        <v>7938</v>
      </c>
      <c r="C196" s="13" t="e">
        <f>IF(ISBLANK(input_flt_vidb_group_base_dn),"Value Missing",input_flt_vidb_group_base_dn)</f>
        <v>#REF!</v>
      </c>
      <c r="D196" s="27"/>
      <c r="E196" s="58" t="s">
        <v>7884</v>
      </c>
      <c r="F196" s="13" t="e">
        <f>IF(ISBLANK(input_wld_nsxt_en_root_password),"Value Missing",input_wld_nsxt_en_root_password)</f>
        <v>#REF!</v>
      </c>
      <c r="G196" s="27"/>
      <c r="H196" s="75" t="s">
        <v>7939</v>
      </c>
      <c r="I196" s="75"/>
      <c r="J196" s="7"/>
      <c r="K196" s="30" t="s">
        <v>7937</v>
      </c>
      <c r="L196" s="13" t="e">
        <f>IF(ISBLANK(input_flt_logs_nodea_ip),"Value Missing",input_flt_logs_nodea_ip)</f>
        <v>#NAME?</v>
      </c>
      <c r="M196" s="27"/>
      <c r="N196" s="27"/>
      <c r="O196" s="27"/>
      <c r="P196" s="27"/>
      <c r="Q196" s="27"/>
      <c r="R196" s="27"/>
      <c r="S196" s="27"/>
      <c r="T196" s="27"/>
      <c r="U196" s="13" t="str">
        <f>IF(ISBLANK(input_rwr_vlr_replication_password),"Value Missing",input_rwr_vlr_replication_password)</f>
        <v>Value Missing</v>
      </c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7"/>
    </row>
    <row r="197" spans="1:32" ht="19.5" customHeight="1">
      <c r="A197" s="27"/>
      <c r="B197" s="30" t="s">
        <v>7940</v>
      </c>
      <c r="C197" s="13" t="e">
        <f>IF(ISBLANK(input_flt_vidb_user_base_dn),"Value Missing",input_flt_vidb_user_base_dn)</f>
        <v>#REF!</v>
      </c>
      <c r="D197" s="27"/>
      <c r="E197" s="27"/>
      <c r="F197" s="27"/>
      <c r="G197" s="27"/>
      <c r="H197" s="52" t="s">
        <v>6780</v>
      </c>
      <c r="I197" s="52" t="s">
        <v>6943</v>
      </c>
      <c r="J197" s="7"/>
      <c r="K197" s="30" t="s">
        <v>7937</v>
      </c>
      <c r="L197" s="13" t="e">
        <f>IF(ISBLANK(input_flt_logs_nodeb_ip),"Value Missing",input_flt_logs_nodeb_ip)</f>
        <v>#NAME?</v>
      </c>
      <c r="M197" s="27"/>
      <c r="N197" s="27"/>
      <c r="O197" s="27"/>
      <c r="P197" s="27"/>
      <c r="Q197" s="27"/>
      <c r="R197" s="27"/>
      <c r="S197" s="27"/>
      <c r="T197" s="27"/>
      <c r="U197" s="13" t="str">
        <f>IF(ISBLANK(input_rwr_vrms_pg),"Value Missing",input_rwr_vrms_pg)</f>
        <v>Value Missing</v>
      </c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</row>
    <row r="198" spans="1:32" ht="19.5" customHeight="1">
      <c r="A198" s="27"/>
      <c r="B198" s="27"/>
      <c r="C198" s="27"/>
      <c r="D198" s="27"/>
      <c r="E198" s="27"/>
      <c r="F198" s="27"/>
      <c r="G198" s="27"/>
      <c r="H198" s="42" t="s">
        <v>7175</v>
      </c>
      <c r="I198" s="13" t="e">
        <f>IF(ISBLANK(input_cluster_az2_mgmt_vlan),"Value Missing",input_cluster_az2_mgmt_vlan)</f>
        <v>#REF!</v>
      </c>
      <c r="J198" s="7"/>
      <c r="K198" s="30" t="s">
        <v>7937</v>
      </c>
      <c r="L198" s="13" t="e">
        <f>IF(ISBLANK(input_flt_logs_nodec_ip),"Value Missing",input_flt_logs_nodec_ip)</f>
        <v>#NAME?</v>
      </c>
      <c r="M198" s="27"/>
      <c r="N198" s="27"/>
      <c r="O198" s="27"/>
      <c r="P198" s="27"/>
      <c r="Q198" s="27"/>
      <c r="R198" s="27"/>
      <c r="S198" s="27"/>
      <c r="T198" s="27"/>
      <c r="U198" s="13" t="str">
        <f>IF(ISBLANK(input_wld_rwr_recovery_site_vc_fqdn),"Value Missing",input_wld_rwr_recovery_site_vc_fqdn)</f>
        <v>Value Missing</v>
      </c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</row>
    <row r="199" spans="1:32" ht="19.5" customHeight="1">
      <c r="A199" s="27"/>
      <c r="B199" s="77" t="s">
        <v>7941</v>
      </c>
      <c r="C199" s="78"/>
      <c r="D199" s="27"/>
      <c r="E199" s="75" t="s">
        <v>7942</v>
      </c>
      <c r="F199" s="75"/>
      <c r="G199" s="27"/>
      <c r="H199" s="42" t="s">
        <v>7180</v>
      </c>
      <c r="I199" s="13" t="e">
        <f>IF(ISBLANK(input_cluster_az2_mgmt_gateway_ip),"Value Missing",input_cluster_az2_mgmt_gateway_ip)</f>
        <v>#REF!</v>
      </c>
      <c r="J199" s="7"/>
      <c r="K199" s="30" t="s">
        <v>6687</v>
      </c>
      <c r="L199" s="13" t="e">
        <f>IF(ISBLANK(input_flt_logs_folder),"Value Missing",input_flt_logs_folder)</f>
        <v>#NAME?</v>
      </c>
      <c r="M199" s="27"/>
      <c r="N199" s="27"/>
      <c r="O199" s="27"/>
      <c r="P199" s="27"/>
      <c r="Q199" s="27"/>
      <c r="R199" s="27"/>
      <c r="S199" s="27"/>
      <c r="T199" s="27"/>
      <c r="U199" s="13" t="str">
        <f>IF(ISBLANK(input_rwr_datacenter),"Value Missing",input_rwr_datacenter)</f>
        <v>Value Missing</v>
      </c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</row>
    <row r="200" spans="1:32" ht="19.5" customHeight="1">
      <c r="A200" s="27"/>
      <c r="B200" s="12" t="s">
        <v>6780</v>
      </c>
      <c r="C200" s="79" t="s">
        <v>6943</v>
      </c>
      <c r="D200" s="27"/>
      <c r="E200" s="30" t="s">
        <v>7943</v>
      </c>
      <c r="F200" s="13" t="e">
        <f t="array" ref="F200">IF(ISBLANK(input_wld_vpc_ext_ip_blocks_name),"Value Missing",input_wld_vpc_ext_ip_blocks_name)</f>
        <v>#REF!</v>
      </c>
      <c r="G200" s="27"/>
      <c r="H200" s="42" t="s">
        <v>7188</v>
      </c>
      <c r="I200" s="13" t="e">
        <f>IF(ISBLANK(input_cluster_az2_mgmt_cidr),"Value Missing",input_cluster_az2_mgmt_cidr)</f>
        <v>#REF!</v>
      </c>
      <c r="J200" s="7"/>
      <c r="K200" s="30" t="s">
        <v>6689</v>
      </c>
      <c r="L200" s="13" t="e">
        <f>IF(ISBLANK(input_flt_logs_resource_pool),"Value Missing",input_flt_logs_resource_pool)</f>
        <v>#NAME?</v>
      </c>
      <c r="M200" s="27"/>
      <c r="N200" s="27"/>
      <c r="O200" s="27"/>
      <c r="P200" s="27"/>
      <c r="Q200" s="27"/>
      <c r="R200" s="27"/>
      <c r="S200" s="27"/>
      <c r="T200" s="27"/>
      <c r="U200" s="13" t="str">
        <f>IF(ISBLANK(input_wld_rwr_recoverysite_fd),"Value Missing",input_wld_rwr_recoverysite_fd)</f>
        <v>Value Missing</v>
      </c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</row>
    <row r="201" spans="1:32" ht="19.5" customHeight="1">
      <c r="A201" s="27"/>
      <c r="B201" s="80" t="s">
        <v>7187</v>
      </c>
      <c r="C201" s="13" t="e">
        <v>#REF!</v>
      </c>
      <c r="D201" s="27"/>
      <c r="E201" s="30" t="s">
        <v>7944</v>
      </c>
      <c r="F201" s="13" t="e">
        <f t="array" ref="F201">IF(ISBLANK(input_wld_vpc_ext_ip_blocks_visability),"Value Missing",input_wld_vpc_ext_ip_blocks_visability)</f>
        <v>#REF!</v>
      </c>
      <c r="G201" s="27"/>
      <c r="H201" s="42" t="s">
        <v>7196</v>
      </c>
      <c r="I201" s="13" t="e">
        <f>IF(ISBLANK(input_cluster_az2_mgmt_mtu),"Value Missing",input_cluster_az2_mgmt_mtu)</f>
        <v>#REF!</v>
      </c>
      <c r="J201" s="7"/>
      <c r="K201" s="30" t="s">
        <v>7945</v>
      </c>
      <c r="L201" s="13" t="e">
        <f>IF(ISBLANK(input_flt_logs_portgroup),"Value Missing",input_flt_logs_portgroup)</f>
        <v>#NAME?</v>
      </c>
      <c r="M201" s="27"/>
      <c r="N201" s="27"/>
      <c r="O201" s="27"/>
      <c r="P201" s="27"/>
      <c r="Q201" s="27"/>
      <c r="R201" s="27"/>
      <c r="S201" s="27"/>
      <c r="T201" s="30" t="s">
        <v>7946</v>
      </c>
      <c r="U201" s="13" t="e">
        <f>IF(AND(this_instance="sfo",wld_domain_number_chosen=1),"10.23.",IF(AND(this_instance="sfo",wld_domain_number_chosen=2),"10.25.",IF(AND(this_instance="sfo",wld_domain_number_chosen=3),"10.27.",IF(AND(this_instance="lax",wld_domain_number_chosen=1),"10.13.",IF(AND(this_instance="lax",wld_domain_number_chosen=2),"10.15.",IF(AND(this_instance="lax",wld_domain_number_chosen=3),"10.17."))))))</f>
        <v>#REF!</v>
      </c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</row>
    <row r="202" spans="1:32" ht="19.5" customHeight="1">
      <c r="A202" s="27"/>
      <c r="B202" s="80" t="s">
        <v>7449</v>
      </c>
      <c r="C202" s="13" t="e">
        <f>IF(ISBLANK(input_mgmt_witness_hostname),"Value Missing",input_mgmt_witness_hostname)</f>
        <v>#REF!</v>
      </c>
      <c r="D202" s="27"/>
      <c r="E202" s="30" t="s">
        <v>7303</v>
      </c>
      <c r="F202" s="13" t="e">
        <f t="array" ref="F202">IF(ISBLANK(input_wld_vpc_ext_ip_blocks_cidr),"Value Missing",input_wld_vpc_ext_ip_blocks_cidr)</f>
        <v>#REF!</v>
      </c>
      <c r="G202" s="27"/>
      <c r="H202" s="42" t="s">
        <v>7424</v>
      </c>
      <c r="I202" s="13" t="e">
        <f>IF(ISBLANK(input_cluster_az2_host1_mgmt_ip),"Value Missing",input_cluster_az2_host1_mgmt_ip)</f>
        <v>#REF!</v>
      </c>
      <c r="J202" s="7"/>
      <c r="K202" s="30" t="s">
        <v>7947</v>
      </c>
      <c r="L202" s="13" t="e">
        <f>IF(ISBLANK(input_flt_logs_gateway_ip),"Value Missing",input_flt_logs_gateway_ip)</f>
        <v>#NAME?</v>
      </c>
      <c r="M202" s="27"/>
      <c r="N202" s="27"/>
      <c r="O202" s="27"/>
      <c r="P202" s="27"/>
      <c r="Q202" s="27"/>
      <c r="R202" s="27"/>
      <c r="S202" s="27"/>
      <c r="T202" s="27" t="s">
        <v>7948</v>
      </c>
      <c r="U202" s="13" t="str">
        <f>IF(ISBLANK(input_wld_rwr_az1_vrms_gateway_ip),"Value Missing",input_wld_rwr_az1_vrms_gateway_ip)</f>
        <v>Value Missing</v>
      </c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</row>
    <row r="203" spans="1:32" ht="19.5" customHeight="1">
      <c r="A203" s="27"/>
      <c r="B203" s="7"/>
      <c r="C203" s="7"/>
      <c r="D203" s="27"/>
      <c r="E203" s="30" t="s">
        <v>7949</v>
      </c>
      <c r="F203" s="13" t="e">
        <f t="array" ref="F203">IF(ISBLANK(input_wld_vpc_ext_ip_blocks_excluded_ips),"Value Missing",input_wld_vpc_ext_ip_blocks_excluded_ips)</f>
        <v>#REF!</v>
      </c>
      <c r="G203" s="27"/>
      <c r="H203" s="42" t="s">
        <v>7428</v>
      </c>
      <c r="I203" s="13" t="e">
        <f>IF(ISBLANK(input_cluster_az2_host2_mgmt_ip),"Value Missing",input_cluster_az2_host2_mgmt_ip)</f>
        <v>#REF!</v>
      </c>
      <c r="J203" s="7"/>
      <c r="K203" s="30" t="s">
        <v>7950</v>
      </c>
      <c r="L203" s="13" t="e">
        <f>IF(ISBLANK(input_flt_logs_mask),"Value Missing",input_flt_logs_mask)</f>
        <v>#NAME?</v>
      </c>
      <c r="M203" s="27"/>
      <c r="N203" s="27"/>
      <c r="O203" s="27"/>
      <c r="P203" s="27"/>
      <c r="Q203" s="27"/>
      <c r="R203" s="27"/>
      <c r="S203" s="27"/>
      <c r="T203" s="27" t="s">
        <v>7951</v>
      </c>
      <c r="U203" s="13" t="str">
        <f>IF(ISBLANK(input_wld_rwr_recovery_site_az1_vrms_cidr),"Value Missing",input_wld_rwr_recovery_site_az1_vrms_cidr)</f>
        <v>Value Missing</v>
      </c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</row>
    <row r="204" spans="1:32" ht="19.5" customHeight="1">
      <c r="A204" s="27"/>
      <c r="B204" s="75" t="s">
        <v>7952</v>
      </c>
      <c r="C204" s="75"/>
      <c r="D204" s="27"/>
      <c r="E204" s="30" t="s">
        <v>7953</v>
      </c>
      <c r="F204" s="13" t="e">
        <f t="array" ref="F204">IF(ISBLANK(input_wld_vpc_ext_ip_blocks_reserved),"Value Missing",input_wld_vpc_ext_ip_blocks_reserved)</f>
        <v>#REF!</v>
      </c>
      <c r="G204" s="27"/>
      <c r="H204" s="42" t="s">
        <v>7433</v>
      </c>
      <c r="I204" s="13" t="e">
        <f>IF(ISBLANK(input_cluster_az2_host3_mgmt_ip),"Value Missing",input_cluster_az2_host3_mgmt_ip)</f>
        <v>#REF!</v>
      </c>
      <c r="J204" s="7"/>
      <c r="K204" s="30" t="s">
        <v>6248</v>
      </c>
      <c r="L204" s="13" t="e">
        <f>IF(ISBLANK(input_flt_logs_vcenter_fqdn),"Value Missing",input_flt_logs_vcenter_fqdn)</f>
        <v>#NAME?</v>
      </c>
      <c r="M204" s="27"/>
      <c r="N204" s="27"/>
      <c r="O204" s="27"/>
      <c r="P204" s="27"/>
      <c r="Q204" s="27"/>
      <c r="R204" s="27"/>
      <c r="S204" s="27"/>
      <c r="T204" s="27" t="s">
        <v>7954</v>
      </c>
      <c r="U204" s="13" t="str">
        <f>IF(ISBLANK(input_wld_rwr_az1_vrms_gateway_mask),"Value Missing",input_wld_rwr_az1_vrms_gateway_mask)</f>
        <v>Value Missing</v>
      </c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</row>
    <row r="205" spans="1:32" ht="19.5" customHeight="1">
      <c r="A205" s="27"/>
      <c r="B205" s="52" t="s">
        <v>6780</v>
      </c>
      <c r="C205" s="52" t="s">
        <v>6943</v>
      </c>
      <c r="D205" s="27"/>
      <c r="E205" s="30" t="s">
        <v>7955</v>
      </c>
      <c r="F205" s="13" t="e">
        <f t="array" ref="F205">IF(ISBLANK(input_wld_vpc_priv_ip_blocks_name),"Value Missing",input_wld_vpc_priv_ip_blocks_name)</f>
        <v>#REF!</v>
      </c>
      <c r="G205" s="27"/>
      <c r="H205" s="42" t="s">
        <v>7439</v>
      </c>
      <c r="I205" s="13" t="e">
        <f>IF(ISBLANK(input_cluster_az2_host4_mgmt_ip),"Value Missing",input_cluster_az2_host4_mgmt_ip)</f>
        <v>#REF!</v>
      </c>
      <c r="J205" s="7"/>
      <c r="K205" s="30" t="s">
        <v>6317</v>
      </c>
      <c r="L205" s="13" t="e">
        <f>IF(ISBLANK(input_flt_logs_cluster),"Value Missing",input_flt_logs_cluster)</f>
        <v>#NAME?</v>
      </c>
      <c r="M205" s="27"/>
      <c r="N205" s="27"/>
      <c r="O205" s="27"/>
      <c r="P205" s="27"/>
      <c r="Q205" s="27"/>
      <c r="R205" s="27"/>
      <c r="S205" s="27"/>
      <c r="T205" s="27"/>
      <c r="U205" s="13" t="str">
        <f>IF(ISBLANK(input_mgmt_rwr_recovery_site_az1_mgmt_cidr),"Value Missing",input_mgmt_rwr_recovery_site_az1_mgmt_cidr)</f>
        <v>Value Missing</v>
      </c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</row>
    <row r="206" spans="1:32" ht="19.5" customHeight="1">
      <c r="A206" s="27"/>
      <c r="B206" s="30" t="s">
        <v>7644</v>
      </c>
      <c r="C206" s="13" t="s">
        <v>7092</v>
      </c>
      <c r="D206" s="27"/>
      <c r="E206" s="30" t="s">
        <v>7944</v>
      </c>
      <c r="F206" s="13" t="e">
        <f t="array" ref="F206">IF(ISBLANK(input_wld_vpc_priv_ip_blocks_visability),"Value Missing",input_wld_vpc_priv_ip_blocks_visability)</f>
        <v>#REF!</v>
      </c>
      <c r="G206" s="27"/>
      <c r="H206" s="42" t="s">
        <v>7443</v>
      </c>
      <c r="I206" s="13" t="e">
        <f>IF(ISBLANK(input_cluster_az2_host5_mgmt_ip),"Value Missing",input_cluster_az2_host5_mgmt_ip)</f>
        <v>#REF!</v>
      </c>
      <c r="J206" s="7"/>
      <c r="K206" s="30" t="s">
        <v>7847</v>
      </c>
      <c r="L206" s="13" t="e">
        <f>IF(ISBLANK(input_flt_logs_datastore),"Value Missing",input_flt_logs_datastore)</f>
        <v>#NAME?</v>
      </c>
      <c r="M206" s="27"/>
      <c r="N206" s="27"/>
      <c r="O206" s="27"/>
      <c r="P206" s="27"/>
      <c r="Q206" s="27"/>
      <c r="R206" s="27"/>
      <c r="S206" s="27"/>
      <c r="T206" s="27" t="s">
        <v>7956</v>
      </c>
      <c r="U206" s="13" t="str">
        <f>IF(ISBLANK(input_wld_rwr_vcfops_vlsr_username),"Value Missing",input_wld_rwr_vcfops_vlsr_username)</f>
        <v>Value Missing</v>
      </c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</row>
    <row r="207" spans="1:32" ht="19.5" customHeight="1">
      <c r="A207" s="27"/>
      <c r="B207" s="30" t="s">
        <v>7648</v>
      </c>
      <c r="C207" s="13" t="s">
        <v>7092</v>
      </c>
      <c r="D207" s="27"/>
      <c r="E207" s="30" t="s">
        <v>7309</v>
      </c>
      <c r="F207" s="13" t="e">
        <f t="array" ref="F207">IF(ISBLANK(input_wld_vpc_transit_gateway_ip_blocks_cidr),"Value Missing",input_wld_vpc_transit_gateway_ip_blocks_cidr)</f>
        <v>#REF!</v>
      </c>
      <c r="G207" s="27"/>
      <c r="H207" s="42" t="s">
        <v>7447</v>
      </c>
      <c r="I207" s="13" t="e">
        <f>IF(ISBLANK(input_cluster_az2_host6_mgmt_ip),"Value Missing",input_cluster_az2_host6_mgmt_ip)</f>
        <v>#REF!</v>
      </c>
      <c r="J207" s="7"/>
      <c r="K207" s="39" t="s">
        <v>7957</v>
      </c>
      <c r="L207" s="13" t="e">
        <f>IF(ISBLANK(input_flt_logs_admin_password_alias),"Value Missing",input_flt_logs_admin_password_alias)</f>
        <v>#NAME?</v>
      </c>
      <c r="M207" s="27"/>
      <c r="N207" s="27"/>
      <c r="O207" s="27"/>
      <c r="P207" s="27"/>
      <c r="Q207" s="27"/>
      <c r="R207" s="27"/>
      <c r="S207" s="27"/>
      <c r="T207" s="27"/>
      <c r="U207" s="13" t="str">
        <f>IF(ISBLANK(input_wld_rwr_vcfops_vr_username),"Value Missing",input_wld_rwr_vcfops_vr_username)</f>
        <v>Value Missing</v>
      </c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</row>
    <row r="208" spans="1:32" ht="19.5" customHeight="1">
      <c r="A208" s="27"/>
      <c r="B208" s="30" t="s">
        <v>7651</v>
      </c>
      <c r="C208" s="13" t="s">
        <v>7092</v>
      </c>
      <c r="D208" s="27"/>
      <c r="E208" s="30" t="s">
        <v>7949</v>
      </c>
      <c r="F208" s="13" t="e">
        <f t="array" ref="F208">IF(ISBLANK(input_wld_vpc_priv_ip_blocks_excluded_ips),"Value Missing",input_wld_vpc_priv_ip_blocks_excluded_ips)</f>
        <v>#REF!</v>
      </c>
      <c r="G208" s="27"/>
      <c r="H208" s="42" t="s">
        <v>7450</v>
      </c>
      <c r="I208" s="13" t="e">
        <f>IF(ISBLANK(input_cluster_az2_host7_mgmt_ip),"Value Missing",input_cluster_az2_host7_mgmt_ip)</f>
        <v>#REF!</v>
      </c>
      <c r="J208" s="7"/>
      <c r="K208" s="42" t="s">
        <v>7958</v>
      </c>
      <c r="L208" s="13" t="e">
        <f>IF(ISBLANK(input_flt_logs_admin_password),"Value Missing",input_flt_logs_admin_password)</f>
        <v>#REF!</v>
      </c>
      <c r="M208" s="27"/>
      <c r="N208" s="27"/>
      <c r="O208" s="27"/>
      <c r="P208" s="27"/>
      <c r="Q208" s="27"/>
      <c r="R208" s="27"/>
      <c r="S208" s="27"/>
      <c r="T208" s="31" t="s">
        <v>6450</v>
      </c>
      <c r="U208" s="13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</row>
    <row r="209" spans="1:32" ht="19.5" customHeight="1">
      <c r="A209" s="27"/>
      <c r="B209" s="30" t="s">
        <v>7653</v>
      </c>
      <c r="C209" s="13" t="s">
        <v>7092</v>
      </c>
      <c r="D209" s="27"/>
      <c r="E209" s="30" t="s">
        <v>7953</v>
      </c>
      <c r="F209" s="13" t="e">
        <f t="array" ref="F209">IF(ISBLANK(input_wld_vpc_priv_ip_blocks_reserved),"Value Missing",input_wld_vpc_priv_ip_blocks_reserved)</f>
        <v>#REF!</v>
      </c>
      <c r="G209" s="27"/>
      <c r="H209" s="42" t="s">
        <v>7453</v>
      </c>
      <c r="I209" s="13" t="e">
        <f>IF(ISBLANK(input_cluster_az2_host8_mgmt_ip),"Value Missing",input_cluster_az2_host8_mgmt_ip)</f>
        <v>#REF!</v>
      </c>
      <c r="J209" s="7"/>
      <c r="K209" s="42" t="s">
        <v>7959</v>
      </c>
      <c r="L209" s="13" t="e">
        <f>IF(ISBLANK(input_flt_logs_admin_password_description),"Value Missing",input_flt_logs_admin_password_description)</f>
        <v>#NAME?</v>
      </c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</row>
    <row r="210" spans="1:32" ht="19.5" customHeight="1">
      <c r="A210" s="27"/>
      <c r="B210" s="30" t="s">
        <v>7960</v>
      </c>
      <c r="C210" s="13" t="e">
        <v>#REF!</v>
      </c>
      <c r="D210" s="27"/>
      <c r="E210" s="30" t="s">
        <v>7671</v>
      </c>
      <c r="F210" s="13" t="e">
        <f t="array" ref="F210">IF(ISBLANK(input_wld_vpc_vna_cluster_name),"Value Missing",input_wld_vpc_vna_cluster_name)</f>
        <v>#REF!</v>
      </c>
      <c r="G210" s="27"/>
      <c r="H210" s="42" t="s">
        <v>7458</v>
      </c>
      <c r="I210" s="13" t="e">
        <f>IF(ISBLANK(input_cluster_az2_host9_mgmt_ip),"Value Missing",input_cluster_az2_host9_mgmt_ip)</f>
        <v>#REF!</v>
      </c>
      <c r="J210" s="7"/>
      <c r="K210" s="42" t="s">
        <v>7961</v>
      </c>
      <c r="L210" s="13" t="e">
        <f>IF(ISBLANK(input_flt_logs_admin_username),"Value Missing",input_flt_logs_admin_username)</f>
        <v>#REF!</v>
      </c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</row>
    <row r="211" spans="1:32" ht="19.5" customHeight="1">
      <c r="A211" s="27"/>
      <c r="B211" s="30" t="s">
        <v>6969</v>
      </c>
      <c r="C211" s="13" t="e">
        <v>#REF!</v>
      </c>
      <c r="D211" s="27"/>
      <c r="E211" s="30" t="s">
        <v>7962</v>
      </c>
      <c r="F211" s="13" t="e">
        <f>IF(ISBLANK(input_wld_vnaa_fqdn),"Value Missing",input_wld_vnaa_fqdn)</f>
        <v>#REF!</v>
      </c>
      <c r="G211" s="27"/>
      <c r="H211" s="42" t="s">
        <v>7461</v>
      </c>
      <c r="I211" s="13" t="e">
        <f>IF(ISBLANK(input_cluster_az2_host10_mgmt_ip),"Value Missing",input_cluster_az2_host10_mgmt_ip)</f>
        <v>#REF!</v>
      </c>
      <c r="J211" s="7"/>
      <c r="K211" s="42" t="s">
        <v>6707</v>
      </c>
      <c r="L211" s="13" t="e">
        <f>IF(ISBLANK(input_flt_logs_root_password_alias),"Value Missing",input_flt_logs_root_password_alias)</f>
        <v>#NAME?</v>
      </c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</row>
    <row r="212" spans="1:32" ht="19.5" customHeight="1">
      <c r="A212" s="27"/>
      <c r="B212" s="7"/>
      <c r="C212" s="7"/>
      <c r="D212" s="7"/>
      <c r="E212" s="30" t="s">
        <v>7962</v>
      </c>
      <c r="F212" s="13" t="e">
        <f>IF(ISBLANK(input_wld_vnab_fqdn),"Value Missing",input_wld_vnab_fqdn)</f>
        <v>#REF!</v>
      </c>
      <c r="G212" s="27"/>
      <c r="H212" s="42" t="s">
        <v>7466</v>
      </c>
      <c r="I212" s="13" t="e">
        <f>IF(ISBLANK(input_cluster_az2_host11_mgmt_ip),"Value Missing",input_cluster_az2_host11_mgmt_ip)</f>
        <v>#REF!</v>
      </c>
      <c r="J212" s="7"/>
      <c r="K212" s="42" t="s">
        <v>6708</v>
      </c>
      <c r="L212" s="13" t="e">
        <f>IF(ISBLANK(input_flt_logs_root_password),"Value Missing",input_flt_logs_root_password)</f>
        <v>#NAME?</v>
      </c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</row>
    <row r="213" spans="1:32" ht="19.5" customHeight="1">
      <c r="A213" s="27"/>
      <c r="B213" s="76" t="s">
        <v>7963</v>
      </c>
      <c r="C213" s="76"/>
      <c r="D213" s="7"/>
      <c r="E213" s="30" t="s">
        <v>7964</v>
      </c>
      <c r="F213" s="13" t="e">
        <f t="array" ref="F213">IF(ISBLANK(input_wld_vnaa_cidr),"Value Missing",input_wld_vnaa_cidr)</f>
        <v>#REF!</v>
      </c>
      <c r="G213" s="27"/>
      <c r="H213" s="42" t="s">
        <v>7471</v>
      </c>
      <c r="I213" s="13" t="e">
        <f>IF(ISBLANK(input_cluster_az2_host12_mgmt_ip),"Value Missing",input_cluster_az2_host12_mgmt_ip)</f>
        <v>#REF!</v>
      </c>
      <c r="J213" s="7"/>
      <c r="K213" s="42" t="s">
        <v>6710</v>
      </c>
      <c r="L213" s="13" t="e">
        <f>IF(ISBLANK(input_flt_logs_root_password_description),"Value Missing",input_flt_logs_root_password_description)</f>
        <v>#NAME?</v>
      </c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</row>
    <row r="214" spans="1:32" ht="19.5" customHeight="1">
      <c r="A214" s="27"/>
      <c r="B214" s="12" t="s">
        <v>6780</v>
      </c>
      <c r="C214" s="79" t="s">
        <v>6943</v>
      </c>
      <c r="D214" s="7"/>
      <c r="E214" s="30" t="s">
        <v>7964</v>
      </c>
      <c r="F214" s="13" t="e">
        <f t="array" ref="F214">IF(ISBLANK(input_wld_vnab_cidr),"Value Missing",input_wld_vnab_cidr)</f>
        <v>#REF!</v>
      </c>
      <c r="G214" s="27"/>
      <c r="H214" s="42" t="s">
        <v>7475</v>
      </c>
      <c r="I214" s="13" t="e">
        <f>IF(ISBLANK(input_cluster_az2_host13_mgmt_ip),"Value Missing",input_cluster_az2_host13_mgmt_ip)</f>
        <v>#REF!</v>
      </c>
      <c r="J214" s="7"/>
      <c r="K214" s="42" t="s">
        <v>6712</v>
      </c>
      <c r="L214" s="13" t="e">
        <f>IF(ISBLANK(input_flt_logs_root_username),"Value Missing",input_flt_logs_root_username)</f>
        <v>#NAME?</v>
      </c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</row>
    <row r="215" spans="1:32" ht="19.5" customHeight="1">
      <c r="A215" s="27"/>
      <c r="B215" s="30" t="s">
        <v>6692</v>
      </c>
      <c r="C215" s="13" t="e">
        <f>IF(ISBLANK(input_mgmt_sddc_domain),"Value Missing",input_mgmt_sddc_domain)</f>
        <v>#REF!</v>
      </c>
      <c r="D215" s="7"/>
      <c r="E215" s="30" t="s">
        <v>7965</v>
      </c>
      <c r="F215" s="13" t="e">
        <f t="array" ref="F215">IF(ISBLANK(input_wld_vna_rp_name),"Value Missing",input_wld_vna_rp_name)</f>
        <v>#REF!</v>
      </c>
      <c r="G215" s="27"/>
      <c r="H215" s="42" t="s">
        <v>7479</v>
      </c>
      <c r="I215" s="13" t="e">
        <f>IF(ISBLANK(input_cluster_az2_host14_mgmt_ip),"Value Missing",input_cluster_az2_host14_mgmt_ip)</f>
        <v>#REF!</v>
      </c>
      <c r="J215" s="7"/>
      <c r="K215" s="30" t="s">
        <v>7966</v>
      </c>
      <c r="L215" s="13" t="e">
        <f>IF(ISBLANK(flt_logs_node_size_chosen),"Value Missing",flt_logs_node_size_chosen)</f>
        <v>#REF!</v>
      </c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</row>
    <row r="216" spans="1:32" ht="19.5" customHeight="1">
      <c r="A216" s="27"/>
      <c r="B216" s="30" t="s">
        <v>7581</v>
      </c>
      <c r="C216" s="13" t="e">
        <v>#REF!</v>
      </c>
      <c r="D216" s="7"/>
      <c r="E216" s="27"/>
      <c r="F216" s="27"/>
      <c r="G216" s="27"/>
      <c r="H216" s="42" t="s">
        <v>7482</v>
      </c>
      <c r="I216" s="13" t="e">
        <f>IF(ISBLANK(input_cluster_az2_host15_mgmt_ip),"Value Missing",input_cluster_az2_host15_mgmt_ip)</f>
        <v>#REF!</v>
      </c>
      <c r="J216" s="7"/>
      <c r="K216" s="30" t="s">
        <v>7967</v>
      </c>
      <c r="L216" s="13" t="e">
        <f>IF(ISBLANK(input_flt_logs_admin_email),"Value Missing",input_flt_logs_admin_email)</f>
        <v>#NAME?</v>
      </c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</row>
    <row r="217" spans="1:32" ht="19.5" customHeight="1">
      <c r="A217" s="27"/>
      <c r="B217" s="30" t="s">
        <v>7671</v>
      </c>
      <c r="C217" s="13" t="e">
        <v>#REF!</v>
      </c>
      <c r="D217" s="27"/>
      <c r="E217" s="75" t="s">
        <v>7968</v>
      </c>
      <c r="F217" s="75"/>
      <c r="G217" s="27"/>
      <c r="H217" s="42" t="s">
        <v>7485</v>
      </c>
      <c r="I217" s="13" t="e">
        <f>IF(ISBLANK(input_cluster_az2_host16_mgmt_ip),"Value Missing",input_cluster_az2_host16_mgmt_ip)</f>
        <v>#REF!</v>
      </c>
      <c r="J217" s="7"/>
      <c r="K217" s="30" t="s">
        <v>7969</v>
      </c>
      <c r="L217" s="13" t="e">
        <f>IF(ISBLANK(input_flt_logs_nodea_hostname),"Value Missing",input_flt_logs_nodea_hostname)</f>
        <v>#NAME?</v>
      </c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</row>
    <row r="218" spans="1:32" ht="19.5" customHeight="1">
      <c r="A218" s="27"/>
      <c r="B218" s="30" t="s">
        <v>7449</v>
      </c>
      <c r="C218" s="13" t="e">
        <f>IF(ISBLANK(input_mgmt_witness_vm_folder),"Value Missing",input_mgmt_witness_vm_folder)</f>
        <v>#REF!</v>
      </c>
      <c r="D218" s="27"/>
      <c r="E218" s="30" t="s">
        <v>7970</v>
      </c>
      <c r="F218" s="13" t="e">
        <f>IF(ISBLANK(input_wld_supvr_name),"Value Missing",input_wld_supvr_name)</f>
        <v>#REF!</v>
      </c>
      <c r="G218" s="27"/>
      <c r="H218" s="42" t="s">
        <v>6965</v>
      </c>
      <c r="I218" s="13" t="e">
        <f>IF(ISBLANK(input_cluster_az2_pool_name),"Value Missing",input_cluster_az2_pool_name)</f>
        <v>#REF!</v>
      </c>
      <c r="J218" s="7"/>
      <c r="K218" s="30" t="s">
        <v>7971</v>
      </c>
      <c r="L218" s="13" t="e">
        <f>IF(ISBLANK(input_flt_logs_nodeb_hostname),"Value Missing",input_flt_logs_nodeb_hostname)</f>
        <v>#NAME?</v>
      </c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</row>
    <row r="219" spans="1:32" ht="19.5" customHeight="1">
      <c r="A219" s="27"/>
      <c r="B219" s="27"/>
      <c r="C219" s="27"/>
      <c r="D219" s="27"/>
      <c r="E219" s="30" t="s">
        <v>7972</v>
      </c>
      <c r="F219" s="13" t="e">
        <f t="array" ref="F219">IF(ISBLANK(input_wld_supvr_zone_name),"Value Missing",input_wld_supvr_zone_name)</f>
        <v>#REF!</v>
      </c>
      <c r="G219" s="27"/>
      <c r="H219" s="213" t="s">
        <v>6790</v>
      </c>
      <c r="I219" s="181"/>
      <c r="J219" s="7"/>
      <c r="K219" s="30" t="s">
        <v>7973</v>
      </c>
      <c r="L219" s="13" t="e">
        <f>IF(ISBLANK(input_flt_logs_nodec_hostname),"Value Missing",input_flt_logs_nodec_hostname)</f>
        <v>#NAME?</v>
      </c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</row>
    <row r="220" spans="1:32" ht="19.5" customHeight="1">
      <c r="A220" s="27"/>
      <c r="B220" s="76" t="s">
        <v>7974</v>
      </c>
      <c r="C220" s="76"/>
      <c r="D220" s="27"/>
      <c r="E220" s="30" t="s">
        <v>7975</v>
      </c>
      <c r="F220" s="13" t="e">
        <f>IF(ISBLANK(input_wld_supvr_cp_storage_policy),"Value Missing",input_wld_supvr_cp_storage_policy)</f>
        <v>#REF!</v>
      </c>
      <c r="G220" s="27"/>
      <c r="H220" s="42" t="s">
        <v>7976</v>
      </c>
      <c r="I220" s="13" t="e">
        <f>IF(ISBLANK(input_cluster_az2_vmotion_vlan),"Value Missing",input_cluster_az2_vmotion_vlan)</f>
        <v>#REF!</v>
      </c>
      <c r="J220" s="7"/>
      <c r="K220" s="30" t="s">
        <v>7977</v>
      </c>
      <c r="L220" s="13" t="e">
        <f>IF(ISBLANK(input_flt_logs_vip_ip),"Value Missing",input_flt_logs_vip_ip)</f>
        <v>#REF!</v>
      </c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</row>
    <row r="221" spans="1:32" ht="19.5" customHeight="1">
      <c r="A221" s="27"/>
      <c r="B221" s="12" t="s">
        <v>6780</v>
      </c>
      <c r="C221" s="79" t="s">
        <v>6943</v>
      </c>
      <c r="D221" s="27"/>
      <c r="E221" s="30" t="s">
        <v>7978</v>
      </c>
      <c r="F221" s="13" t="e">
        <f>IF(ISBLANK(input_wld_supvr_ed_storage_policy),"Value Missing",input_wld_supvr_ed_storage_policy)</f>
        <v>#REF!</v>
      </c>
      <c r="G221" s="27"/>
      <c r="H221" s="42" t="s">
        <v>7196</v>
      </c>
      <c r="I221" s="13" t="e">
        <f>IF(ISBLANK(input_cluster_az2_vmotion_mtu),"Value Missing",input_cluster_az2_vmotion_mtu)</f>
        <v>#REF!</v>
      </c>
      <c r="J221" s="7"/>
      <c r="K221" s="30" t="s">
        <v>7979</v>
      </c>
      <c r="L221" s="13" t="e">
        <f>IF(ISBLANK(input_flt_logs_nodea_ip),"Value Missing",input_flt_logs_nodea_ip)</f>
        <v>#NAME?</v>
      </c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</row>
    <row r="222" spans="1:32" ht="19.5" customHeight="1">
      <c r="A222" s="27"/>
      <c r="B222" s="80" t="s">
        <v>7187</v>
      </c>
      <c r="C222" s="13" t="e">
        <f>IF(ISBLANK(input_mgmt_witness_zone_vc_ip),"Value Missing",input_mgmt_witness_zone_vc_ip)</f>
        <v>#REF!</v>
      </c>
      <c r="D222" s="27"/>
      <c r="E222" s="30" t="s">
        <v>7980</v>
      </c>
      <c r="F222" s="13" t="e">
        <f>IF(ISBLANK(input_wld_supvr_ic_storage_policy),"Value Missing",input_wld_supvr_ic_storage_policy)</f>
        <v>#REF!</v>
      </c>
      <c r="G222" s="27"/>
      <c r="H222" s="42" t="s">
        <v>7981</v>
      </c>
      <c r="I222" s="13" t="e">
        <f>IF(ISBLANK(input_cluster_az2_vmotion_network),"Value Missing",input_cluster_az2_vmotion_network)</f>
        <v>#REF!</v>
      </c>
      <c r="J222" s="7"/>
      <c r="K222" s="30" t="s">
        <v>7982</v>
      </c>
      <c r="L222" s="13" t="e">
        <f>IF(ISBLANK(input_flt_logs_nodeb_ip),"Value Missing",input_flt_logs_nodeb_ip)</f>
        <v>#NAME?</v>
      </c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</row>
    <row r="223" spans="1:32" ht="19.5" customHeight="1">
      <c r="A223" s="27"/>
      <c r="B223" s="80" t="s">
        <v>7983</v>
      </c>
      <c r="C223" s="13" t="e">
        <v>#REF!</v>
      </c>
      <c r="D223" s="27"/>
      <c r="E223" s="30" t="s">
        <v>7984</v>
      </c>
      <c r="F223" s="13" t="e">
        <f>IF(ISBLANK(input_wld_supvr_ip_address_range),"Value Missing",input_wld_supvr_ip_address_range)</f>
        <v>#REF!</v>
      </c>
      <c r="G223" s="27"/>
      <c r="H223" s="42" t="s">
        <v>7985</v>
      </c>
      <c r="I223" s="13" t="e">
        <f>IF(ISBLANK(input_cluster_az2_vmotion_mask),"Value Missing",input_cluster_az2_vmotion_mask)</f>
        <v>#REF!</v>
      </c>
      <c r="J223" s="7"/>
      <c r="K223" s="30" t="s">
        <v>7986</v>
      </c>
      <c r="L223" s="13" t="e">
        <f>IF(ISBLANK(input_flt_logs_nodec_ip),"Value Missing",input_flt_logs_nodec_ip)</f>
        <v>#NAME?</v>
      </c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</row>
    <row r="224" spans="1:32" ht="19.5" customHeight="1">
      <c r="A224" s="27"/>
      <c r="B224" s="30" t="s">
        <v>7680</v>
      </c>
      <c r="C224" s="13" t="e">
        <f>IF(ISBLANK(input_mgmt_witness_dns1_ip),"Value Missing",input_mgmt_witness_dns1_ip)</f>
        <v>#REF!</v>
      </c>
      <c r="D224" s="27"/>
      <c r="E224" s="30" t="s">
        <v>6694</v>
      </c>
      <c r="F224" s="13" t="e">
        <f>IF(ISBLANK(input_wld_supvr_mgmt_dns_server),"Value Missing",input_wld_supvr_mgmt_dns_server)</f>
        <v>#REF!</v>
      </c>
      <c r="G224" s="27"/>
      <c r="H224" s="30" t="s">
        <v>6410</v>
      </c>
      <c r="I224" s="13" t="e">
        <f>IF(OR(cluster_az2_vmotion_network="Value Missing",cluster_az2_vmotion_mask="Value Missing"),"Value Missing",(CONCATENATE(cluster_az2_vmotion_network,"/",VLOOKUP(cluster_az2_vmotion_mask,table_mask_to_cidr,2,FALSE))))</f>
        <v>#REF!</v>
      </c>
      <c r="J224" s="7"/>
      <c r="K224" s="30" t="s">
        <v>7987</v>
      </c>
      <c r="L224" s="13" t="e">
        <f>IF(ISBLANK(flt_logs_disk_mode_chosen),"Value Missing",flt_logs_disk_mode_chosen)</f>
        <v>#NAME?</v>
      </c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</row>
    <row r="225" spans="1:32" ht="19.5" customHeight="1">
      <c r="A225" s="27"/>
      <c r="B225" s="30" t="s">
        <v>7680</v>
      </c>
      <c r="C225" s="13" t="e">
        <f>IF(ISBLANK(input_mgmt_witness_dns2_ip),"Value Missing",input_mgmt_witness_dns2_ip)</f>
        <v>#REF!</v>
      </c>
      <c r="D225" s="27"/>
      <c r="E225" s="30" t="s">
        <v>7988</v>
      </c>
      <c r="F225" s="13" t="e">
        <f>IF(ISBLANK(input_wld_supvr_mgmt_dns_zones),"Value Missing",input_wld_supvr_mgmt_dns_zones)</f>
        <v>#REF!</v>
      </c>
      <c r="G225" s="27"/>
      <c r="H225" s="42" t="s">
        <v>7989</v>
      </c>
      <c r="I225" s="13" t="e">
        <f>IF(ISBLANK(input_cluster_az2_vmotion_gateway_ip),"Value Missing",input_cluster_az2_vmotion_gateway_ip)</f>
        <v>#REF!</v>
      </c>
      <c r="J225" s="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</row>
    <row r="226" spans="1:32" ht="19.5" customHeight="1">
      <c r="A226" s="27"/>
      <c r="B226" s="30" t="s">
        <v>7689</v>
      </c>
      <c r="C226" s="13" t="e">
        <f>IF(ISBLANK(sample_mgmt_witness_ntp1_server),"Value Missing",sample_mgmt_witness_ntp1_server)</f>
        <v>#REF!</v>
      </c>
      <c r="D226" s="27"/>
      <c r="E226" s="30" t="s">
        <v>7990</v>
      </c>
      <c r="F226" s="13" t="e">
        <f>IF(ISBLANK(input_wld_supvr_mgmt_ntp_server),"Value Missing",input_wld_supvr_mgmt_ntp_server)</f>
        <v>#REF!</v>
      </c>
      <c r="G226" s="27"/>
      <c r="H226" s="42" t="s">
        <v>7248</v>
      </c>
      <c r="I226" s="13" t="e">
        <f>IF(ISBLANK(input_cluster_az2_vmotion_pool_start_ip),"Value Missing",input_cluster_az2_vmotion_pool_start_ip)</f>
        <v>#REF!</v>
      </c>
      <c r="J226" s="7"/>
      <c r="K226" s="75" t="s">
        <v>7991</v>
      </c>
      <c r="L226" s="75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</row>
    <row r="227" spans="1:32" ht="19.5" customHeight="1">
      <c r="A227" s="27"/>
      <c r="B227" s="30" t="s">
        <v>7689</v>
      </c>
      <c r="C227" s="13" t="e">
        <f>IF(ISBLANK(sample_mgmt_witness_ntp2_server),"Value Missing",sample_mgmt_witness_ntp2_server)</f>
        <v>#REF!</v>
      </c>
      <c r="D227" s="27"/>
      <c r="E227" s="30" t="s">
        <v>7906</v>
      </c>
      <c r="F227" s="13" t="e">
        <f>IF(ISBLANK(input_wld_supvr_nsx_project),"Value Missing",input_wld_supvr_nsx_project)</f>
        <v>#REF!</v>
      </c>
      <c r="G227" s="27"/>
      <c r="H227" s="42" t="s">
        <v>7254</v>
      </c>
      <c r="I227" s="13" t="e">
        <f>IF(ISBLANK(input_cluster_az2_vmotion_pool_end_ip),"Value Missing",input_cluster_az2_vmotion_pool_end_ip)</f>
        <v>#REF!</v>
      </c>
      <c r="J227" s="7"/>
      <c r="K227" s="52" t="s">
        <v>6780</v>
      </c>
      <c r="L227" s="52" t="s">
        <v>6943</v>
      </c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</row>
    <row r="228" spans="1:32" ht="19.5" customHeight="1">
      <c r="A228" s="27"/>
      <c r="B228" s="93"/>
      <c r="C228" s="27"/>
      <c r="D228" s="27"/>
      <c r="E228" s="30" t="s">
        <v>7931</v>
      </c>
      <c r="F228" s="13" t="e">
        <f>IF(ISBLANK(input_wld_supvr_vpc_connectivity_profile),"Value Missing",input_wld_supvr_vpc_connectivity_profile)</f>
        <v>#REF!</v>
      </c>
      <c r="G228" s="27"/>
      <c r="H228" s="213" t="s">
        <v>7992</v>
      </c>
      <c r="I228" s="181"/>
      <c r="J228" s="7"/>
      <c r="K228" s="30" t="s">
        <v>6660</v>
      </c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</row>
    <row r="229" spans="1:32" ht="19.5" customHeight="1">
      <c r="A229" s="27"/>
      <c r="B229" s="75" t="s">
        <v>7993</v>
      </c>
      <c r="C229" s="75"/>
      <c r="D229" s="27"/>
      <c r="E229" s="30" t="s">
        <v>7994</v>
      </c>
      <c r="F229" s="13" t="e">
        <f>IF(ISBLANK(input_wld_supvr_vpc_ext_ip_blocks_name),"Value Missing",input_wld_supvr_vpc_ext_ip_blocks_name)</f>
        <v>#REF!</v>
      </c>
      <c r="G229" s="27"/>
      <c r="H229" s="42" t="s">
        <v>7995</v>
      </c>
      <c r="I229" s="13" t="e">
        <f>IF(ISBLANK(input_cluster_az2_principal_storage_vlan),"Value Missing",input_cluster_az2_principal_storage_vlan)</f>
        <v>#REF!</v>
      </c>
      <c r="J229" s="27"/>
      <c r="K229" s="30" t="s">
        <v>6663</v>
      </c>
      <c r="L229" s="13" t="e">
        <f>IF(ISBLANK(input_flt_net_cert_alias),"Value Missing",input_flt_net_cert_alias)</f>
        <v>#NAME?</v>
      </c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</row>
    <row r="230" spans="1:32" ht="19.5" customHeight="1">
      <c r="A230" s="27"/>
      <c r="B230" s="52" t="s">
        <v>6780</v>
      </c>
      <c r="C230" s="52" t="s">
        <v>6943</v>
      </c>
      <c r="D230" s="27"/>
      <c r="E230" s="30" t="s">
        <v>7996</v>
      </c>
      <c r="F230" s="13" t="e">
        <f>IF(ISBLANK(input_wld_supvr_vpc_priv_ip_blocks_name),"Value Missing",input_wld_supvr_vpc_priv_ip_blocks_name)</f>
        <v>#REF!</v>
      </c>
      <c r="G230" s="27"/>
      <c r="H230" s="42" t="s">
        <v>7196</v>
      </c>
      <c r="I230" s="13" t="e">
        <f>IF(ISBLANK(input_cluster_az2_principal_storage_mtu),"Value Missing",input_cluster_az2_principal_storage_mtu)</f>
        <v>#REF!</v>
      </c>
      <c r="J230" s="27"/>
      <c r="K230" s="30" t="s">
        <v>7997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</row>
    <row r="231" spans="1:32" ht="19.5" customHeight="1">
      <c r="A231" s="27"/>
      <c r="B231" s="80" t="s">
        <v>7998</v>
      </c>
      <c r="C231" s="13" t="e">
        <f>IF(ISBLANK(input_wld_esx_root_username),"Value Missing",input_wld_esx_root_username)</f>
        <v>#REF!</v>
      </c>
      <c r="D231" s="27"/>
      <c r="E231" s="30" t="s">
        <v>7999</v>
      </c>
      <c r="F231" s="13" t="e">
        <f>IF(ISBLANK(input_wld_supvr_vpc_priv_cidr),"Value Missing",input_wld_supvr_vpc_priv_cidr)</f>
        <v>#REF!</v>
      </c>
      <c r="G231" s="27"/>
      <c r="H231" s="42" t="s">
        <v>8000</v>
      </c>
      <c r="I231" s="13" t="e">
        <f>IF(ISBLANK(input_cluster_az2_principal_storage_network),"Value Missing",input_cluster_az2_principal_storage_network)</f>
        <v>#REF!</v>
      </c>
      <c r="J231" s="27"/>
      <c r="K231" s="30" t="s">
        <v>6666</v>
      </c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</row>
    <row r="232" spans="1:32" ht="19.5" customHeight="1">
      <c r="A232" s="27"/>
      <c r="B232" s="80" t="s">
        <v>8001</v>
      </c>
      <c r="C232" s="13" t="e">
        <f>IF(ISBLANK(input_wld_esx_root_password),"Value Missing",input_wld_esx_root_password)</f>
        <v>#REF!</v>
      </c>
      <c r="D232" s="27"/>
      <c r="E232" s="30" t="s">
        <v>7921</v>
      </c>
      <c r="F232" s="13" t="e">
        <f>IF(ISBLANK(input_wld_supvr_vpc_service_cidr),"Value Missing",input_wld_supvr_vpc_service_cidr)</f>
        <v>#REF!</v>
      </c>
      <c r="G232" s="27"/>
      <c r="H232" s="42" t="s">
        <v>7985</v>
      </c>
      <c r="I232" s="13" t="e">
        <f>IF(ISBLANK(input_cluster_az2_principal_storage_mask),"Value Missing",input_cluster_az2_principal_storage_mask)</f>
        <v>#REF!</v>
      </c>
      <c r="J232" s="27"/>
      <c r="K232" s="30" t="s">
        <v>8002</v>
      </c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</row>
    <row r="233" spans="1:32" ht="19.5" customHeight="1">
      <c r="A233" s="27"/>
      <c r="B233" s="80" t="s">
        <v>8003</v>
      </c>
      <c r="C233" s="13" t="e">
        <f>IF(ISBLANK(input_wld_vcenter_root_password),"Value Missing",input_wld_vcenter_root_password)</f>
        <v>#REF!</v>
      </c>
      <c r="D233" s="27"/>
      <c r="E233" s="30" t="s">
        <v>8004</v>
      </c>
      <c r="F233" s="13" t="e">
        <f>IF(ISBLANK(input_wld_supvr_wld_dns_server),"Value Missing",input_wld_supvr_wld_dns_server)</f>
        <v>#REF!</v>
      </c>
      <c r="G233" s="27"/>
      <c r="H233" s="42" t="s">
        <v>7188</v>
      </c>
      <c r="I233" s="13" t="e">
        <f>IF(OR(cluster_az2_principal_storage_network="Value Missing",cluster_az2_principal_storage_mask="Value Missing"),"Value Missing",(CONCATENATE(cluster_az2_principal_storage_network,"/",VLOOKUP(cluster_az2_principal_storage_mask,table_mask_to_cidr,2,FALSE))))</f>
        <v>#REF!</v>
      </c>
      <c r="J233" s="7"/>
      <c r="K233" s="30" t="s">
        <v>8005</v>
      </c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</row>
    <row r="234" spans="1:32" ht="19.5" customHeight="1">
      <c r="A234" s="27"/>
      <c r="B234" s="80" t="s">
        <v>8006</v>
      </c>
      <c r="C234" s="13" t="e">
        <f>IF(ISBLANK(input_xreg_vra_admin_password),"Value Missing",input_xreg_vra_admin_password)</f>
        <v>#REF!</v>
      </c>
      <c r="D234" s="27"/>
      <c r="E234" s="30" t="s">
        <v>8007</v>
      </c>
      <c r="F234" s="13" t="e">
        <f>IF(ISBLANK(input_wld_supvr_wld_ntp_server),"Value Missing",input_wld_supvr_wld_ntp_server)</f>
        <v>#REF!</v>
      </c>
      <c r="G234" s="27"/>
      <c r="H234" s="42" t="s">
        <v>7989</v>
      </c>
      <c r="I234" s="13" t="e">
        <f>IF(ISBLANK(input_cluster_az2_principal_storage_gateway_ip),"Value Missing",input_cluster_az2_principal_storage_gateway_ip)</f>
        <v>#REF!</v>
      </c>
      <c r="J234" s="27"/>
      <c r="K234" s="30" t="s">
        <v>6668</v>
      </c>
      <c r="L234" s="13" t="e">
        <f>IF(ISBLANK(input_flt_net_common_name),"Value Missing",input_flt_net_common_name)</f>
        <v>#NAME?</v>
      </c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</row>
    <row r="235" spans="1:32" ht="19.5" customHeight="1">
      <c r="A235" s="27"/>
      <c r="B235" s="80" t="s">
        <v>8008</v>
      </c>
      <c r="C235" s="13" t="e">
        <f>IF(ISBLANK(input_xreg_vrops_admin_password),"Value Missing",input_xreg_vrops_admin_password)</f>
        <v>#REF!</v>
      </c>
      <c r="D235" s="27"/>
      <c r="E235" s="30" t="s">
        <v>8009</v>
      </c>
      <c r="F235" s="13" t="e">
        <f>IF(ISBLANK(input_wld_supvr_api_server_fqdn),"Value Missing",input_wld_supvr_api_server_fqdn)</f>
        <v>#REF!</v>
      </c>
      <c r="G235" s="27"/>
      <c r="H235" s="42" t="s">
        <v>7248</v>
      </c>
      <c r="I235" s="13" t="e">
        <f>IF(ISBLANK(input_cluster_az2_principal_storage_pool_start_ip),"Value Missing",input_cluster_az2_principal_storage_pool_start_ip)</f>
        <v>#REF!</v>
      </c>
      <c r="J235" s="27"/>
      <c r="K235" s="30" t="s">
        <v>6670</v>
      </c>
      <c r="L235" s="13" t="e">
        <f>IF(ISBLANK(input_flt_net_cert_organisation),"Value Missing",input_flt_net_cert_organisation)</f>
        <v>#NAME?</v>
      </c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</row>
    <row r="236" spans="1:32" ht="19.5" customHeight="1">
      <c r="A236" s="27"/>
      <c r="B236" s="80" t="s">
        <v>8010</v>
      </c>
      <c r="C236" s="13" t="e">
        <f>IF(ISBLANK(input_xreg_vrops_root_password),"Value Missing",input_xreg_vrops_root_password)</f>
        <v>#REF!</v>
      </c>
      <c r="D236" s="27"/>
      <c r="E236" s="27"/>
      <c r="F236" s="27"/>
      <c r="G236" s="27"/>
      <c r="H236" s="42" t="s">
        <v>7254</v>
      </c>
      <c r="I236" s="13" t="e">
        <f>IF(ISBLANK(input_cluster_az2_principal_storage_pool_end_ip),"Value Missing",input_cluster_az2_principal_storage_pool_end_ip)</f>
        <v>#REF!</v>
      </c>
      <c r="J236" s="27"/>
      <c r="K236" s="30" t="s">
        <v>6673</v>
      </c>
      <c r="L236" s="13" t="e">
        <f>IF(ISBLANK(input_flt_net_ou_cert),"Value Missing",input_flt_net_ou_cert)</f>
        <v>#NAME?</v>
      </c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</row>
    <row r="237" spans="1:32" ht="19.5" customHeight="1">
      <c r="A237" s="27"/>
      <c r="B237" s="80" t="s">
        <v>8011</v>
      </c>
      <c r="C237" s="13" t="e">
        <f>IF(ISBLANK(input_vrslcm_admin_password),"Value Missing",input_vrslcm_admin_password)</f>
        <v>#REF!</v>
      </c>
      <c r="D237" s="27"/>
      <c r="E237" s="27"/>
      <c r="F237" s="27"/>
      <c r="G237" s="27"/>
      <c r="H237" s="213" t="s">
        <v>8012</v>
      </c>
      <c r="I237" s="181"/>
      <c r="J237" s="27"/>
      <c r="K237" s="30" t="s">
        <v>6675</v>
      </c>
      <c r="L237" s="13" t="e">
        <f>IF(ISBLANK(input_flt_net_cert_country_code),"Value Missing",input_flt_net_cert_country_code)</f>
        <v>#NAME?</v>
      </c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</row>
    <row r="238" spans="1:32" ht="19.5" customHeight="1">
      <c r="A238" s="27"/>
      <c r="B238" s="80" t="s">
        <v>8013</v>
      </c>
      <c r="C238" s="13" t="e">
        <f>IF(ISBLANK(input_wld_administrator_vsphere_local_password),"Value Missing",input_wld_administrator_vsphere_local_password)</f>
        <v>#REF!</v>
      </c>
      <c r="D238" s="27"/>
      <c r="E238" s="27"/>
      <c r="F238" s="27"/>
      <c r="G238" s="27"/>
      <c r="H238" s="42" t="s">
        <v>8014</v>
      </c>
      <c r="I238" s="13" t="e">
        <f>IF(ISBLANK(input_cluster_az2_secondary_storage_vlan),"Value Missing",input_cluster_az2_secondary_storage_vlan)</f>
        <v>#REF!</v>
      </c>
      <c r="J238" s="27"/>
      <c r="K238" s="30" t="s">
        <v>6677</v>
      </c>
      <c r="L238" s="13" t="e">
        <f>IF(ISBLANK(input_flt_net_cert_locality),"Value Missing",input_flt_net_cert_locality)</f>
        <v>#NAME?</v>
      </c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</row>
    <row r="239" spans="1:32" ht="19.5" customHeight="1">
      <c r="A239" s="27"/>
      <c r="B239" s="27"/>
      <c r="C239" s="27"/>
      <c r="D239" s="27"/>
      <c r="E239" s="75" t="s">
        <v>8015</v>
      </c>
      <c r="F239" s="75"/>
      <c r="G239" s="27"/>
      <c r="H239" s="42" t="s">
        <v>7196</v>
      </c>
      <c r="I239" s="13" t="e">
        <f>IF(ISBLANK(input_cluster_az2_secondary_storage_mtu),"Value Missing",input_cluster_az2_secondary_storage_mtu)</f>
        <v>#REF!</v>
      </c>
      <c r="J239" s="27"/>
      <c r="K239" s="30" t="s">
        <v>6679</v>
      </c>
      <c r="L239" s="13" t="e">
        <f>IF(ISBLANK(input_flt_net_cert_state),"Value Missing",input_flt_net_cert_state)</f>
        <v>#NAME?</v>
      </c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</row>
    <row r="240" spans="1:32" ht="19.5" customHeight="1">
      <c r="A240" s="27"/>
      <c r="B240" s="80" t="s">
        <v>8016</v>
      </c>
      <c r="C240" s="13" t="e">
        <f>IF(ISBLANK(input_mgmt_nsxt_en_admin_password),"Value Missing",input_mgmt_nsxt_en_admin_password)</f>
        <v>#REF!</v>
      </c>
      <c r="D240" s="27"/>
      <c r="E240" s="30" t="s">
        <v>8017</v>
      </c>
      <c r="F240" s="13" t="e">
        <f>IF(ISBLANK(input_flt_def_sddc_mgr_fqdn),"Value Missing",input_flt_def_sddc_mgr_fqdn)</f>
        <v>#REF!</v>
      </c>
      <c r="G240" s="27"/>
      <c r="H240" s="42" t="s">
        <v>8018</v>
      </c>
      <c r="I240" s="13" t="e">
        <f>IF(ISBLANK(input_cluster_az2_secondary_storage_network),"Value Missing",input_cluster_az2_secondary_storage_network)</f>
        <v>#REF!</v>
      </c>
      <c r="J240" s="27"/>
      <c r="K240" s="30" t="s">
        <v>6681</v>
      </c>
      <c r="L240" s="13" t="e">
        <f>IF(ISBLANK(flt_net_cert_key_length_chosen),"Value Missing",flt_net_cert_key_length_chosen)</f>
        <v>#NAME?</v>
      </c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</row>
    <row r="241" spans="1:32" ht="19.5" customHeight="1">
      <c r="A241" s="27"/>
      <c r="B241" s="80" t="s">
        <v>8019</v>
      </c>
      <c r="C241" s="13" t="e">
        <f>IF(ISBLANK(input_mgmt_nsxt_en_root_password),"Value Missing",input_mgmt_nsxt_en_root_password)</f>
        <v>#REF!</v>
      </c>
      <c r="D241" s="27"/>
      <c r="E241" s="30" t="s">
        <v>8020</v>
      </c>
      <c r="F241" s="13" t="e">
        <f>IF(ISBLANK(input_flt_def_administrator_vsphere_local_username),"Value Missing",input_flt_def_administrator_vsphere_local_username)</f>
        <v>#REF!</v>
      </c>
      <c r="G241" s="27"/>
      <c r="H241" s="42" t="s">
        <v>7985</v>
      </c>
      <c r="I241" s="13" t="e">
        <f>IF(ISBLANK(input_cluster_az2_secondary_storage_mask),"Value Missing",input_cluster_az2_secondary_storage_mask)</f>
        <v>#REF!</v>
      </c>
      <c r="J241" s="27"/>
      <c r="K241" s="30" t="s">
        <v>8021</v>
      </c>
      <c r="L241" s="13" t="e">
        <f>IF(ISBLANK(input_flt_net_nodea_fqdn),"Value Missing",input_flt_net_nodea_fqdn)</f>
        <v>#REF!</v>
      </c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</row>
    <row r="242" spans="1:32" ht="19.5" customHeight="1">
      <c r="A242" s="27"/>
      <c r="B242" s="80" t="s">
        <v>8022</v>
      </c>
      <c r="C242" s="13"/>
      <c r="D242" s="27"/>
      <c r="E242" s="30" t="s">
        <v>8023</v>
      </c>
      <c r="F242" s="13" t="e">
        <f>IF(ISBLANK(input_flt_def_administrator_vsphere_local_password),"Value Missing",input_flt_def_administrator_vsphere_local_password)</f>
        <v>#REF!</v>
      </c>
      <c r="G242" s="27"/>
      <c r="H242" s="42" t="s">
        <v>7989</v>
      </c>
      <c r="I242" s="13" t="e">
        <f>IF(ISBLANK(input_cluster_az2_secondary_storage_gateway_ip),"Value Missing",input_cluster_az2_secondary_storage_gateway_ip)</f>
        <v>#REF!</v>
      </c>
      <c r="J242" s="27"/>
      <c r="K242" s="30" t="s">
        <v>8024</v>
      </c>
      <c r="L242" s="13" t="e">
        <f>IF(ISBLANK(input_flt_net_nodeb_fqdn),"Value Missing",input_flt_net_nodeb_fqdn)</f>
        <v>#NAME?</v>
      </c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</row>
    <row r="243" spans="1:32" ht="19.5" customHeight="1">
      <c r="A243" s="27"/>
      <c r="B243" s="80" t="s">
        <v>8025</v>
      </c>
      <c r="C243" s="13"/>
      <c r="D243" s="27"/>
      <c r="E243" s="30" t="s">
        <v>8026</v>
      </c>
      <c r="F243" s="13" t="e">
        <f>IF(ISBLANK(input_flt_def_vcf_operations_az1_vcf_mgmt_pg),"Value Missing",input_flt_def_vcf_operations_az1_vcf_mgmt_pg)</f>
        <v>#REF!</v>
      </c>
      <c r="G243" s="27"/>
      <c r="H243" s="42" t="s">
        <v>7248</v>
      </c>
      <c r="I243" s="13" t="e">
        <f>IF(ISBLANK(input_cluster_az2_secondary_storage_pool_start_ip),"Value Missing",input_cluster_az2_secondary_storage_pool_start_ip)</f>
        <v>#REF!</v>
      </c>
      <c r="J243" s="27"/>
      <c r="K243" s="30" t="s">
        <v>8027</v>
      </c>
      <c r="L243" s="13" t="e">
        <f>IF(ISBLANK(input_flt_net_nodec_fqdn),"Value Missing",input_flt_net_nodec_fqdn)</f>
        <v>#NAME?</v>
      </c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</row>
    <row r="244" spans="1:32" ht="19.5" customHeight="1">
      <c r="A244" s="27"/>
      <c r="B244" s="80" t="s">
        <v>8028</v>
      </c>
      <c r="C244" s="13"/>
      <c r="D244" s="27"/>
      <c r="E244" s="30" t="s">
        <v>8029</v>
      </c>
      <c r="F244" s="13" t="e">
        <f>IF(ISBLANK(input_flt_def_vcf_operations_az1_vcf_mgmt_gateway_cidr),"Value Missing",input_flt_def_vcf_operations_az1_vcf_mgmt_gateway_cidr)</f>
        <v>#REF!</v>
      </c>
      <c r="G244" s="27"/>
      <c r="H244" s="42" t="s">
        <v>7254</v>
      </c>
      <c r="I244" s="13" t="e">
        <f>IF(ISBLANK(input_cluster_az2_secondary_storage_pool_end_ip),"Value Missing",input_cluster_az2_secondary_storage_pool_end_ip)</f>
        <v>#REF!</v>
      </c>
      <c r="J244" s="27"/>
      <c r="K244" s="30" t="s">
        <v>8030</v>
      </c>
      <c r="L244" s="13" t="e">
        <f>IF(ISBLANK(input_flt_net_prxy_fqdn),"Value Missing",input_flt_net_prxy_fqdn)</f>
        <v>#REF!</v>
      </c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</row>
    <row r="245" spans="1:32" ht="19.5" customHeight="1">
      <c r="A245" s="27"/>
      <c r="B245" s="80" t="s">
        <v>8031</v>
      </c>
      <c r="C245" s="13"/>
      <c r="D245" s="27"/>
      <c r="E245" s="30" t="s">
        <v>8032</v>
      </c>
      <c r="F245" s="13" t="e">
        <f>IF(ISBLANK(input_flt_def_auto_node_pool_start_ip),"Value Missing",input_flt_def_auto_node_pool_start_ip)</f>
        <v>#REF!</v>
      </c>
      <c r="G245" s="27"/>
      <c r="H245" s="213" t="s">
        <v>6800</v>
      </c>
      <c r="I245" s="181"/>
      <c r="J245" s="27"/>
      <c r="K245" s="30" t="s">
        <v>8033</v>
      </c>
      <c r="L245" s="13" t="e">
        <f>IF(ISBLANK(input_flt_net_nodea_ip),"Value Missing",input_flt_net_nodea_ip)</f>
        <v>#REF!</v>
      </c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</row>
    <row r="246" spans="1:32" ht="19.5" customHeight="1">
      <c r="A246" s="27"/>
      <c r="B246" s="80" t="s">
        <v>8034</v>
      </c>
      <c r="C246" s="13"/>
      <c r="D246" s="27"/>
      <c r="E246" s="30" t="s">
        <v>8035</v>
      </c>
      <c r="F246" s="13" t="e">
        <f>IF(ISBLANK(input_flt_def_auto_node_pool_end_ip),"Value Missing",input_flt_def_auto_node_pool_end_ip)</f>
        <v>#REF!</v>
      </c>
      <c r="G246" s="27"/>
      <c r="H246" s="30" t="s">
        <v>7175</v>
      </c>
      <c r="I246" s="13" t="e">
        <f>IF(ISBLANK(input_cluster_az2_storage_cluster_vlan),"Value Missing",input_cluster_az2_storage_cluster_vlan)</f>
        <v>#REF!</v>
      </c>
      <c r="J246" s="27"/>
      <c r="K246" s="30" t="s">
        <v>8036</v>
      </c>
      <c r="L246" s="13" t="e">
        <f>IF(ISBLANK(input_flt_net_nodeb_ip),"Value Missing",input_flt_net_nodeb_ip)</f>
        <v>#NAME?</v>
      </c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</row>
    <row r="247" spans="1:32" ht="19.5" customHeight="1">
      <c r="A247" s="27"/>
      <c r="B247" s="80" t="s">
        <v>8037</v>
      </c>
      <c r="C247" s="13"/>
      <c r="D247" s="27"/>
      <c r="E247" s="30" t="s">
        <v>8038</v>
      </c>
      <c r="F247" s="13" t="e">
        <f>IF(ISBLANK(input_flt_def_vcf_operations_nodea_fqdn),"Value Missing",input_flt_def_vcf_operations_nodea_fqdn)</f>
        <v>#REF!</v>
      </c>
      <c r="G247" s="27"/>
      <c r="H247" s="30" t="s">
        <v>7196</v>
      </c>
      <c r="I247" s="13" t="e">
        <f>IF(ISBLANK(input_cluster_az2_storage_cluster_mtu),"Value Missing",input_cluster_az2_storage_cluster_mtu)</f>
        <v>#REF!</v>
      </c>
      <c r="J247" s="27"/>
      <c r="K247" s="30" t="s">
        <v>8039</v>
      </c>
      <c r="L247" s="13" t="e">
        <f>IF(ISBLANK(input_flt_net_nodec_ip),"Value Missing",input_flt_net_nodec_ip)</f>
        <v>#NAME?</v>
      </c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</row>
    <row r="248" spans="1:32" ht="19.5" customHeight="1">
      <c r="A248" s="27"/>
      <c r="B248" s="39" t="s">
        <v>8040</v>
      </c>
      <c r="C248" s="13"/>
      <c r="D248" s="27"/>
      <c r="E248" s="30" t="s">
        <v>8041</v>
      </c>
      <c r="F248" s="13" t="e">
        <f>IF(ISBLANK(input_flt_def_vcf_operations_nodeb_fqdn),"Value Missing",input_flt_def_vcf_operations_nodeb_fqdn)</f>
        <v>#REF!</v>
      </c>
      <c r="G248" s="27"/>
      <c r="H248" s="30" t="s">
        <v>334</v>
      </c>
      <c r="I248" s="13" t="e">
        <f>IF(ISBLANK(input_cluster_az2_storage_cluster_network),"Value Missing",input_cluster_az2_storage_cluster_network)</f>
        <v>#REF!</v>
      </c>
      <c r="J248" s="27"/>
      <c r="K248" s="30" t="s">
        <v>8042</v>
      </c>
      <c r="L248" s="13" t="e">
        <f>IF(ISBLANK(input_flt_net_prxy_ip),"Value Missing",input_flt_net_prxy_ip)</f>
        <v>#REF!</v>
      </c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</row>
    <row r="249" spans="1:32" ht="19.5" customHeight="1">
      <c r="A249" s="27"/>
      <c r="B249" s="42" t="s">
        <v>8043</v>
      </c>
      <c r="C249" s="13"/>
      <c r="D249" s="27"/>
      <c r="E249" s="30" t="s">
        <v>8044</v>
      </c>
      <c r="F249" s="13" t="e">
        <f>IF(ISBLANK(input_flt_def_vcf_operations_nodec_fqdn),"Value Missing",input_flt_def_vcf_operations_nodec_fqdn)</f>
        <v>#REF!</v>
      </c>
      <c r="G249" s="27"/>
      <c r="H249" s="30" t="s">
        <v>7223</v>
      </c>
      <c r="I249" s="13" t="e">
        <f>IF(ISBLANK(input_cluster_az2_storage_cluster_mask),"Value Missing",input_cluster_az2_storage_cluster_mask)</f>
        <v>#REF!</v>
      </c>
      <c r="J249" s="27"/>
      <c r="K249" s="30" t="s">
        <v>8045</v>
      </c>
      <c r="L249" s="13" t="e">
        <f>IF(flt_net_nodea_fqdn="Value Missing",flt_net_nodea_fqdn,LEFT(flt_net_nodea_fqdn,FIND(".",flt_net_nodea_fqdn)-1))</f>
        <v>#REF!</v>
      </c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</row>
    <row r="250" spans="1:32" ht="19.5" customHeight="1">
      <c r="A250" s="27"/>
      <c r="B250" s="42" t="s">
        <v>8046</v>
      </c>
      <c r="C250" s="13"/>
      <c r="D250" s="27"/>
      <c r="E250" s="30" t="s">
        <v>8047</v>
      </c>
      <c r="F250" s="13" t="e">
        <f>IF(ISBLANK(input_flt_def_vcf_operations_virtual_fqdn),"Value Missing",input_flt_def_vcf_operations_virtual_fqdn)</f>
        <v>#REF!</v>
      </c>
      <c r="G250" s="27"/>
      <c r="H250" s="30" t="s">
        <v>6410</v>
      </c>
      <c r="I250" s="13" t="e">
        <f>IF(OR(cluster_az2_storage_cluster_network="Value Missing",cluster_az2_storage_cluster_mask="Value Missing"),"Value Missing",(CONCATENATE(cluster_az2_storage_cluster_network,"/",VLOOKUP(cluster_az2_storage_cluster_mask,table_mask_to_cidr,2,FALSE))))</f>
        <v>#REF!</v>
      </c>
      <c r="J250" s="27"/>
      <c r="K250" s="30" t="s">
        <v>8048</v>
      </c>
      <c r="L250" s="13" t="e">
        <f>IF(flt_net_nodeb_fqdn="Value Missing",flt_net_nodeb_fqdn,LEFT(flt_net_nodeb_fqdn,FIND(".",flt_net_nodeb_fqdn)-1))</f>
        <v>#NAME?</v>
      </c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</row>
    <row r="251" spans="1:32" ht="19.5" customHeight="1">
      <c r="A251" s="27"/>
      <c r="B251" s="15"/>
      <c r="C251" s="15"/>
      <c r="D251" s="27"/>
      <c r="E251" s="30" t="s">
        <v>8049</v>
      </c>
      <c r="F251" s="13" t="e">
        <f>IF(ISBLANK(input_flt_def_vcf_operations_proxy_fqdn),"Value Missing",input_flt_def_vcf_operations_proxy_fqdn)</f>
        <v>#REF!</v>
      </c>
      <c r="G251" s="27"/>
      <c r="H251" s="30" t="s">
        <v>7180</v>
      </c>
      <c r="I251" s="13" t="e">
        <f>IF(ISBLANK(input_cluster_az2_storage_cluster_gateway_ip),"Value Missing",input_cluster_az2_storage_cluster_gateway_ip)</f>
        <v>#REF!</v>
      </c>
      <c r="J251" s="27"/>
      <c r="K251" s="30" t="s">
        <v>8050</v>
      </c>
      <c r="L251" s="13" t="e">
        <f>IF(flt_net_nodec_fqdn="Value Missing",flt_net_nodec_fqdn,LEFT(flt_net_nodec_fqdn,FIND(".",flt_net_nodec_fqdn)-1))</f>
        <v>#NAME?</v>
      </c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</row>
    <row r="252" spans="1:32" ht="19.5" customHeight="1">
      <c r="A252" s="27"/>
      <c r="B252" s="80" t="s">
        <v>8051</v>
      </c>
      <c r="C252" s="13" t="e">
        <f>IF(ISBLANK(input_mgmt_az1_en1_eth0_uplink0),"Value Missing",input_mgmt_az1_en1_eth0_uplink0)</f>
        <v>#REF!</v>
      </c>
      <c r="D252" s="27"/>
      <c r="E252" s="30" t="s">
        <v>8052</v>
      </c>
      <c r="F252" s="13" t="e">
        <f>IF(ISBLANK(input_flt_def_vcf_operations_lc_fqdn),"Value Missing",input_flt_def_vcf_operations_lc_fqdn)</f>
        <v>#REF!</v>
      </c>
      <c r="G252" s="27"/>
      <c r="H252" s="39" t="s">
        <v>7248</v>
      </c>
      <c r="I252" s="13" t="e">
        <f>IF(ISBLANK(input_cluster_az2_storage_cluster_pool_start_ip),"Value Missing",input_cluster_az2_storage_cluster_pool_start_ip)</f>
        <v>#REF!</v>
      </c>
      <c r="J252" s="27"/>
      <c r="K252" s="30" t="s">
        <v>8053</v>
      </c>
      <c r="L252" s="13" t="e">
        <f>IF(flt_net_prxy_fqdn="Value Missing",flt_net_prxy_fqdn,LEFT(flt_net_prxy_fqdn,FIND(".",flt_net_prxy_fqdn)-1))</f>
        <v>#REF!</v>
      </c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</row>
    <row r="253" spans="1:32" ht="19.5" customHeight="1">
      <c r="A253" s="27"/>
      <c r="B253" s="80" t="s">
        <v>8054</v>
      </c>
      <c r="C253" s="13" t="e">
        <f>IF(ISBLANK(input_mgmt_az1_en1_eth0_uplink1),"Value Missing",input_mgmt_az1_en1_eth0_uplink1)</f>
        <v>#REF!</v>
      </c>
      <c r="D253" s="27"/>
      <c r="E253" s="30" t="s">
        <v>8055</v>
      </c>
      <c r="F253" s="13" t="e">
        <f>IF(ISBLANK(input_flt_def_vra_virtual_fqdn),"Value Missing",input_flt_def_vra_virtual_fqdn)</f>
        <v>#REF!</v>
      </c>
      <c r="G253" s="27"/>
      <c r="H253" s="39" t="s">
        <v>7254</v>
      </c>
      <c r="I253" s="13" t="e">
        <f>IF(ISBLANK(input_cluster_az2_storage_cluster_pool_end_ip),"Value Missing",input_cluster_az2_storage_cluster_pool_end_ip)</f>
        <v>#REF!</v>
      </c>
      <c r="J253" s="27"/>
      <c r="K253" s="30" t="s">
        <v>6685</v>
      </c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</row>
    <row r="254" spans="1:32" ht="19.5" customHeight="1">
      <c r="A254" s="27"/>
      <c r="B254" s="80" t="s">
        <v>8056</v>
      </c>
      <c r="C254" s="13" t="e">
        <f>IF(ISBLANK(input_mgmt_az1_en1_eth1_uplink0),"Value Missing",input_mgmt_az1_en1_eth1_uplink0)</f>
        <v>#REF!</v>
      </c>
      <c r="D254" s="27"/>
      <c r="E254" s="30" t="s">
        <v>8057</v>
      </c>
      <c r="F254" s="13" t="e">
        <f>IF(ISBLANK(input_flt_def_auto_sr_fqdn),"Value Missing",input_flt_def_auto_sr_fqdn)</f>
        <v>#REF!</v>
      </c>
      <c r="G254" s="27"/>
      <c r="H254" s="42" t="s">
        <v>7556</v>
      </c>
      <c r="I254" s="13"/>
      <c r="J254" s="27"/>
      <c r="K254" s="30" t="s">
        <v>6686</v>
      </c>
      <c r="L254" s="13" t="e">
        <f>IF(ISBLANK(input_flt_net_cluster),"Value Missing",input_flt_net_cluster)</f>
        <v>#NAME?</v>
      </c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</row>
    <row r="255" spans="1:32" ht="19.5" customHeight="1">
      <c r="A255" s="27"/>
      <c r="B255" s="80" t="s">
        <v>8058</v>
      </c>
      <c r="C255" s="13" t="e">
        <f>IF(ISBLANK(input_mgmt_az1_en1_eth1_uplink1),"Value Missing",input_mgmt_az1_en1_eth1_uplink1)</f>
        <v>#REF!</v>
      </c>
      <c r="D255" s="27"/>
      <c r="E255" s="30" t="s">
        <v>8059</v>
      </c>
      <c r="F255" s="13" t="e">
        <f>IF(ISBLANK(input_flt_def_vcf_operations_nodea_ip),"Value Missing",input_flt_def_vcf_operations_nodea_ip)</f>
        <v>#REF!</v>
      </c>
      <c r="G255" s="27"/>
      <c r="H255" s="42" t="s">
        <v>8060</v>
      </c>
      <c r="I255" s="13"/>
      <c r="J255" s="27"/>
      <c r="K255" s="30" t="s">
        <v>6687</v>
      </c>
      <c r="L255" s="13" t="e">
        <f>IF(ISBLANK(input_flt_net_folder),"Value Missing",input_flt_net_folder)</f>
        <v>#NAME?</v>
      </c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</row>
    <row r="256" spans="1:32" ht="19.5" customHeight="1">
      <c r="A256" s="27"/>
      <c r="B256" s="80" t="s">
        <v>8061</v>
      </c>
      <c r="C256" s="13" t="e">
        <f>IF(ISBLANK(input_mgmt_az1_en2_eth0_uplink0),"Value Missing",input_mgmt_az1_en2_eth0_uplink0)</f>
        <v>#REF!</v>
      </c>
      <c r="D256" s="27"/>
      <c r="E256" s="30" t="s">
        <v>8062</v>
      </c>
      <c r="F256" s="13" t="e">
        <f>IF(ISBLANK(input_flt_def_vcf_operations_nodeb_ip),"Value Missing",input_flt_def_vcf_operations_nodeb_ip)</f>
        <v>#REF!</v>
      </c>
      <c r="G256" s="27"/>
      <c r="H256" s="42" t="s">
        <v>8063</v>
      </c>
      <c r="I256" s="13"/>
      <c r="J256" s="27"/>
      <c r="K256" s="30" t="s">
        <v>6689</v>
      </c>
      <c r="L256" s="13" t="e">
        <f>IF(ISBLANK(input_flt_net_resource_pool),"Value Missing",input_flt_net_resource_pool)</f>
        <v>#NAME?</v>
      </c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</row>
    <row r="257" spans="1:32" ht="19.5" customHeight="1">
      <c r="A257" s="27"/>
      <c r="B257" s="80" t="s">
        <v>8064</v>
      </c>
      <c r="C257" s="13" t="e">
        <f>IF(ISBLANK(input_mgmt_az1_en2_eth0_uplink1),"Value Missing",input_mgmt_az1_en2_eth0_uplink1)</f>
        <v>#REF!</v>
      </c>
      <c r="D257" s="27"/>
      <c r="E257" s="30" t="s">
        <v>8065</v>
      </c>
      <c r="F257" s="13" t="e">
        <f>IF(ISBLANK(input_flt_def_vcf_operations_nodec_ip),"Value Missing",input_flt_def_vcf_operations_nodec_ip)</f>
        <v>#REF!</v>
      </c>
      <c r="G257" s="27"/>
      <c r="H257" s="42" t="s">
        <v>8066</v>
      </c>
      <c r="I257" s="13" t="e">
        <f>IF(ISBLANK(input_cluster_witnessaz_mgmt_vlan),"Value Missing",input_cluster_witnessaz_mgmt_vlan)</f>
        <v>#REF!</v>
      </c>
      <c r="J257" s="27"/>
      <c r="K257" s="30" t="s">
        <v>7847</v>
      </c>
      <c r="L257" s="13" t="e">
        <f>IF(ISBLANK(input_flt_net_datastore),"Value Missing",input_flt_net_datastore)</f>
        <v>#NAME?</v>
      </c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</row>
    <row r="258" spans="1:32" ht="19.5" customHeight="1">
      <c r="A258" s="27"/>
      <c r="B258" s="80" t="s">
        <v>8067</v>
      </c>
      <c r="C258" s="13" t="e">
        <f>IF(ISBLANK(input_mgmt_az1_en2_eth1_uplink0),"Value Missing",input_mgmt_az1_en2_eth1_uplink0)</f>
        <v>#REF!</v>
      </c>
      <c r="D258" s="27"/>
      <c r="E258" s="30" t="s">
        <v>8068</v>
      </c>
      <c r="F258" s="13" t="e">
        <f>IF(ISBLANK(input_flt_def_vcf_operations_virtual_ip),"Value Missing",input_flt_def_vcf_operations_virtual_ip)</f>
        <v>#REF!</v>
      </c>
      <c r="G258" s="27"/>
      <c r="H258" s="42" t="s">
        <v>8069</v>
      </c>
      <c r="I258" s="13" t="e">
        <f>IF(ISBLANK(input_cluster_witnessaz_mgmt_gateway_ip),"Value Missing",input_cluster_witnessaz_mgmt_gateway_ip)</f>
        <v>#REF!</v>
      </c>
      <c r="J258" s="27"/>
      <c r="K258" s="30" t="s">
        <v>6248</v>
      </c>
      <c r="L258" s="13" t="e">
        <f>IF(ISBLANK(input_flt_net_vcenter_fqdn),"Value Missing",input_flt_net_vcenter_fqdn)</f>
        <v>#NAME?</v>
      </c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</row>
    <row r="259" spans="1:32" ht="19.5" customHeight="1">
      <c r="A259" s="27"/>
      <c r="B259" s="80" t="s">
        <v>8070</v>
      </c>
      <c r="C259" s="13" t="e">
        <f>IF(ISBLANK(input_mgmt_az1_en2_eth1_uplink1),"Value Missing",input_mgmt_az1_en2_eth1_uplink1)</f>
        <v>#REF!</v>
      </c>
      <c r="D259" s="27"/>
      <c r="E259" s="30" t="s">
        <v>8071</v>
      </c>
      <c r="F259" s="13" t="e">
        <f>IF(ISBLANK(input_flt_def_vcf_operations_proxy_ip),"Value Missing",input_flt_def_vcf_operations_proxy_ip)</f>
        <v>#REF!</v>
      </c>
      <c r="G259" s="27"/>
      <c r="H259" s="42" t="s">
        <v>8072</v>
      </c>
      <c r="I259" s="13" t="e">
        <f>IF(ISBLANK(input_cluster_witnessaz_mgmt_cidr),"Value Missing",input_cluster_witnessaz_mgmt_cidr)</f>
        <v>#REF!</v>
      </c>
      <c r="J259" s="27"/>
      <c r="K259" s="30" t="s">
        <v>6690</v>
      </c>
      <c r="L259" s="13" t="e">
        <f>IF(ISBLANK(input_flt_net_node_portgroup),"Value Missing",input_flt_net_node_portgroup)</f>
        <v>#NAME?</v>
      </c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</row>
    <row r="260" spans="1:32" ht="19.5" customHeight="1">
      <c r="A260" s="27"/>
      <c r="B260" s="80"/>
      <c r="C260" s="27"/>
      <c r="D260" s="27"/>
      <c r="E260" s="30" t="s">
        <v>8073</v>
      </c>
      <c r="F260" s="13" t="e">
        <f>IF(ISBLANK(input_flt_def_vcf_operations_lc_ip),"Value Missing",input_flt_def_vcf_operations_lc_ip)</f>
        <v>#REF!</v>
      </c>
      <c r="G260" s="27"/>
      <c r="H260" s="42" t="s">
        <v>8074</v>
      </c>
      <c r="I260" s="13" t="e">
        <f>IF(ISBLANK(input_cluster_witnessaz_mgmt_mtu),"Value Missing",input_cluster_witnessaz_mgmt_mtu)</f>
        <v>#REF!</v>
      </c>
      <c r="J260" s="27"/>
      <c r="K260" s="30" t="s">
        <v>7987</v>
      </c>
      <c r="L260" s="13" t="e">
        <f>IF(ISBLANK(flt_net_disk_mode_chosen),"Value Missing",flt_net_disk_mode_chosen)</f>
        <v>#NAME?</v>
      </c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</row>
    <row r="261" spans="1:32" ht="19.5" customHeight="1">
      <c r="A261" s="27"/>
      <c r="B261" s="80" t="s">
        <v>8075</v>
      </c>
      <c r="C261" s="13" t="e">
        <f>IF(ISBLANK(input_wld_az1_en1_eth0_uplink0),"Value Missing",input_wld_az1_en1_eth0_uplink0)</f>
        <v>#REF!</v>
      </c>
      <c r="D261" s="27"/>
      <c r="E261" s="30" t="s">
        <v>8076</v>
      </c>
      <c r="F261" s="13" t="e">
        <f>IF(ISBLANK(input_flt_def_vra_virtual_ip),"Value Missing",input_flt_def_vra_virtual_ip)</f>
        <v>#REF!</v>
      </c>
      <c r="G261" s="27"/>
      <c r="H261" s="42" t="s">
        <v>8077</v>
      </c>
      <c r="I261" s="13" t="e">
        <f>IF(ISBLANK(input_cluster_witness_zone_vc_fqdn),"Value Missing",input_cluster_witness_zone_vc_fqdn)</f>
        <v>#REF!</v>
      </c>
      <c r="J261" s="27"/>
      <c r="K261" s="30" t="s">
        <v>7947</v>
      </c>
      <c r="L261" s="13" t="e">
        <f>IF(ISBLANK(input_flt_net_node_gateway_ip),"Value Missing",input_flt_net_node_gateway_ip)</f>
        <v>#NAME?</v>
      </c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</row>
    <row r="262" spans="1:32" ht="19.5" customHeight="1">
      <c r="A262" s="27"/>
      <c r="B262" s="80" t="s">
        <v>8078</v>
      </c>
      <c r="C262" s="13" t="e">
        <f>IF(ISBLANK(input_wld_az1_en1_eth0_uplink1),"Value Missing",input_wld_az1_en1_eth0_uplink1)</f>
        <v>#REF!</v>
      </c>
      <c r="D262" s="27"/>
      <c r="E262" s="30" t="s">
        <v>8079</v>
      </c>
      <c r="F262" s="13" t="e">
        <f>IF(ISBLANK(input_flt_def_auto_sr_ip),"Value Missing",input_flt_def_auto_sr_ip)</f>
        <v>#REF!</v>
      </c>
      <c r="G262" s="27"/>
      <c r="H262" s="42" t="s">
        <v>8080</v>
      </c>
      <c r="I262" s="13" t="e">
        <f t="array" ref="I262">IF(ISBLANK(input_cluster_witness_hostname),"Value Missing",input_cluster_witness_hostname)</f>
        <v>#REF!</v>
      </c>
      <c r="J262" s="27"/>
      <c r="K262" s="30" t="s">
        <v>7950</v>
      </c>
      <c r="L262" s="13" t="e">
        <f>IF(ISBLANK(input_flt_net_node_mask),"Value Missing",input_flt_net_node_mask)</f>
        <v>#NAME?</v>
      </c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</row>
    <row r="263" spans="1:32" ht="19.5" customHeight="1">
      <c r="A263" s="27"/>
      <c r="B263" s="80" t="s">
        <v>8081</v>
      </c>
      <c r="C263" s="13" t="e">
        <f>IF(ISBLANK(input_wld_az1_en1_eth1_uplink0),"Value Missing",input_wld_az1_en1_eth1_uplink0)</f>
        <v>#REF!</v>
      </c>
      <c r="D263" s="27"/>
      <c r="E263" s="27"/>
      <c r="F263" s="13"/>
      <c r="G263" s="27"/>
      <c r="H263" s="42" t="s">
        <v>8082</v>
      </c>
      <c r="I263" s="13" t="e">
        <f>IF(ISBLANK(input_cluster_witness_cluster),"Value Missing",input_cluster_witness_cluster)</f>
        <v>#REF!</v>
      </c>
      <c r="J263" s="27"/>
      <c r="K263" s="30" t="s">
        <v>6692</v>
      </c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</row>
    <row r="264" spans="1:32" ht="19.5" customHeight="1">
      <c r="A264" s="27"/>
      <c r="B264" s="80" t="s">
        <v>8083</v>
      </c>
      <c r="C264" s="13" t="e">
        <f>IF(ISBLANK(input_wld_az1_en1_eth1_uplink1),"Value Missing",input_wld_az1_en1_eth1_uplink1)</f>
        <v>#REF!</v>
      </c>
      <c r="D264" s="27"/>
      <c r="E264" s="215" t="s">
        <v>8084</v>
      </c>
      <c r="F264" s="216"/>
      <c r="G264" s="27"/>
      <c r="H264" s="42" t="s">
        <v>7449</v>
      </c>
      <c r="I264" s="13" t="e">
        <f>IF(ISBLANK(input_cluster_witness_vm_folder),"Value Missing",input_cluster_witness_vm_folder)</f>
        <v>#REF!</v>
      </c>
      <c r="J264" s="27"/>
      <c r="K264" s="30" t="s">
        <v>6693</v>
      </c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</row>
    <row r="265" spans="1:32" ht="19.5" customHeight="1">
      <c r="A265" s="27"/>
      <c r="B265" s="80" t="s">
        <v>8085</v>
      </c>
      <c r="C265" s="13" t="e">
        <f>IF(ISBLANK(input_wld_az1_en2_eth0_uplink0),"Value Missing",input_wld_az1_en2_eth0_uplink0)</f>
        <v>#REF!</v>
      </c>
      <c r="D265" s="27"/>
      <c r="E265" s="27"/>
      <c r="F265" s="13" t="e">
        <f>IF(ISBLANK(input_cr_wld_pnr_fqdn),"Value Missing",input_cr_wld_pnr_fqdn)</f>
        <v>#REF!</v>
      </c>
      <c r="G265" s="27"/>
      <c r="H265" s="42" t="s">
        <v>7581</v>
      </c>
      <c r="I265" s="13" t="e">
        <f>IF(ISBLANK(input_cluster_witness_vsan_datastore),"Value Missing",input_cluster_witness_vsan_datastore)</f>
        <v>#REF!</v>
      </c>
      <c r="J265" s="27"/>
      <c r="K265" s="30" t="s">
        <v>6694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</row>
    <row r="266" spans="1:32" ht="19.5" customHeight="1">
      <c r="A266" s="27"/>
      <c r="B266" s="80" t="s">
        <v>8086</v>
      </c>
      <c r="C266" s="13" t="e">
        <f>IF(ISBLANK(input_wld_az1_en2_eth0_uplink1),"Value Missing",input_wld_az1_en2_eth0_uplink1)</f>
        <v>#REF!</v>
      </c>
      <c r="D266" s="27"/>
      <c r="E266" s="27"/>
      <c r="F266" s="13" t="e">
        <f>IF(ISBLANK(input_cr_wld_pnr_ip),"Value Missing",input_cr_wld_pnr_ip)</f>
        <v>#REF!</v>
      </c>
      <c r="G266" s="27"/>
      <c r="H266" s="42" t="s">
        <v>7178</v>
      </c>
      <c r="I266" s="13" t="e">
        <f>IF(ISBLANK(input_cluster_witness_mgmt_pg),"Value Missing",input_cluster_witness_mgmt_pg)</f>
        <v>#REF!</v>
      </c>
      <c r="J266" s="27"/>
      <c r="K266" s="30" t="s">
        <v>6697</v>
      </c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</row>
    <row r="267" spans="1:32" ht="19.5" customHeight="1">
      <c r="A267" s="27"/>
      <c r="B267" s="80" t="s">
        <v>8087</v>
      </c>
      <c r="C267" s="13" t="e">
        <f>IF(ISBLANK(input_wld_az1_en2_eth1_uplink0),"Value Missing",input_wld_az1_en2_eth1_uplink0)</f>
        <v>#REF!</v>
      </c>
      <c r="D267" s="27"/>
      <c r="E267" s="27"/>
      <c r="F267" s="13" t="e">
        <f>IF(ISBLANK(input_cr_mgmt_protect_vc_fqdn),"Value Missing",input_cr_mgmt_protect_vc_fqdn)</f>
        <v>#REF!</v>
      </c>
      <c r="G267" s="27"/>
      <c r="H267" s="42" t="s">
        <v>8088</v>
      </c>
      <c r="I267" s="13"/>
      <c r="J267" s="27"/>
      <c r="K267" s="30" t="s">
        <v>6698</v>
      </c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</row>
    <row r="268" spans="1:32" ht="19.5" customHeight="1">
      <c r="A268" s="27"/>
      <c r="B268" s="80" t="s">
        <v>8089</v>
      </c>
      <c r="C268" s="13" t="e">
        <f>IF(ISBLANK(input_wld_az1_en2_eth1_uplink1),"Value Missing",input_wld_az1_en2_eth1_uplink1)</f>
        <v>#REF!</v>
      </c>
      <c r="D268" s="27"/>
      <c r="E268" s="27"/>
      <c r="F268" s="13" t="e">
        <f>IF(ISBLANK(input_cr_mgmt_protect_vc_domain),"Value Missing",input_cr_mgmt_protect_vc_domain)</f>
        <v>#REF!</v>
      </c>
      <c r="G268" s="27"/>
      <c r="H268" s="42" t="s">
        <v>7937</v>
      </c>
      <c r="I268" s="13"/>
      <c r="J268" s="27"/>
      <c r="K268" s="30" t="s">
        <v>6699</v>
      </c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</row>
    <row r="269" spans="1:32" ht="19.5" customHeight="1">
      <c r="A269" s="27"/>
      <c r="B269" s="27"/>
      <c r="C269" s="27"/>
      <c r="D269" s="27"/>
      <c r="E269" s="27"/>
      <c r="F269" s="13" t="e">
        <f>IF(ISBLANK(input_cr_wld_vrms_pg),"Value Missing",input_cr_wld_vrms_pg)</f>
        <v>#REF!</v>
      </c>
      <c r="G269" s="27"/>
      <c r="H269" s="42" t="s">
        <v>7223</v>
      </c>
      <c r="I269" s="13" t="e">
        <f>IF(cluster_witnessaz_mgmt_cidr="Value Missing","Value Missing",VLOOKUP(INT(RIGHT(cluster_witnessaz_mgmt_cidr,LEN(cluster_witnessaz_mgmt_cidr)-FIND("/",cluster_witnessaz_mgmt_cidr))),table_cidr_to_mask,2,FALSE))</f>
        <v>#REF!</v>
      </c>
      <c r="J269" s="27"/>
      <c r="K269" s="30" t="s">
        <v>7957</v>
      </c>
      <c r="L269" s="13" t="e">
        <f>IF(ISBLANK(input_flt_net_admin_password_alias),"Value Missing",input_flt_net_admin_password_alias)</f>
        <v>#NAME?</v>
      </c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</row>
    <row r="270" spans="1:32" ht="19.5" customHeight="1">
      <c r="A270" s="27"/>
      <c r="B270" s="75" t="s">
        <v>8090</v>
      </c>
      <c r="C270" s="75"/>
      <c r="D270" s="27"/>
      <c r="E270" s="27"/>
      <c r="F270" s="13" t="e">
        <f>IF(ISBLANK(input_cr_console_cloud),"Value Missing",input_cr_console_cloud)</f>
        <v>#REF!</v>
      </c>
      <c r="G270" s="27"/>
      <c r="H270" s="42" t="s">
        <v>8091</v>
      </c>
      <c r="I270" s="13" t="e">
        <f>IF(ISBLANK(input_cluster_witness_ip),"Value Missing",input_cluster_witness_ip)</f>
        <v>#REF!</v>
      </c>
      <c r="J270" s="27"/>
      <c r="K270" s="30" t="s">
        <v>7958</v>
      </c>
      <c r="L270" s="13" t="e">
        <f>IF(ISBLANK(input_flt_net_admin_password),"Value Missing",input_flt_net_admin_password)</f>
        <v>#REF!</v>
      </c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</row>
    <row r="271" spans="1:32" ht="19.5" customHeight="1">
      <c r="A271" s="27"/>
      <c r="B271" s="30" t="s">
        <v>7943</v>
      </c>
      <c r="C271" s="13" t="e">
        <f>IF(ISBLANK(input_mgmt_vpc_ext_ip_blocks_name),"Value Missing",input_mgmt_vpc_ext_ip_blocks_name)</f>
        <v>#REF!</v>
      </c>
      <c r="D271" s="27"/>
      <c r="E271" s="27"/>
      <c r="F271" s="13" t="e">
        <f>IF(ISBLANK(input_cr_clean_room),"Value Missing",input_cr_clean_room)</f>
        <v>#REF!</v>
      </c>
      <c r="G271" s="27"/>
      <c r="H271" s="42"/>
      <c r="I271" s="13"/>
      <c r="J271" s="27"/>
      <c r="K271" s="30" t="s">
        <v>7959</v>
      </c>
      <c r="L271" s="13" t="e">
        <f>IF(ISBLANK(input_flt_net_admin_password_description),"Value Missing",input_flt_net_admin_password_description)</f>
        <v>#NAME?</v>
      </c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</row>
    <row r="272" spans="1:32" ht="19.5" customHeight="1">
      <c r="A272" s="27"/>
      <c r="B272" s="30" t="s">
        <v>7944</v>
      </c>
      <c r="C272" s="13" t="e">
        <f>IF(ISBLANK(input_mgmt_vpc_ext_ip_blocks_visability),"Value Missing",input_mgmt_vpc_ext_ip_blocks_visability)</f>
        <v>#REF!</v>
      </c>
      <c r="D272" s="27"/>
      <c r="E272" s="27"/>
      <c r="F272" s="13" t="e">
        <f>IF(ISBLANK(input_cr_wld_protect_vc_replication_user),"Value Missing",input_cr_wld_protect_vc_replication_user)</f>
        <v>#REF!</v>
      </c>
      <c r="G272" s="27"/>
      <c r="H272" s="42" t="s">
        <v>8092</v>
      </c>
      <c r="I272" s="13" t="e">
        <f>IF(ISBLANK(input_cluster_witness_dns1_ip),"Value Missing",input_cluster_witness_dns1_ip)</f>
        <v>#REF!</v>
      </c>
      <c r="J272" s="27"/>
      <c r="K272" s="30" t="s">
        <v>7961</v>
      </c>
      <c r="L272" s="13" t="e">
        <f>IF(ISBLANK(input_flt_net_admin_username),"Value Missing",input_flt_net_admin_username)</f>
        <v>#NAME?</v>
      </c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</row>
    <row r="273" spans="1:32" ht="19.5" customHeight="1">
      <c r="A273" s="27"/>
      <c r="B273" s="30" t="s">
        <v>7303</v>
      </c>
      <c r="C273" s="13" t="e">
        <f>IF(ISBLANK(input_mgmt_vpc_ext_ip_blocks_cidr),"Value Missing",input_mgmt_vpc_ext_ip_blocks_cidr)</f>
        <v>#REF!</v>
      </c>
      <c r="D273" s="27"/>
      <c r="E273" s="27"/>
      <c r="F273" s="13" t="e">
        <f>IF(ISBLANK(input_cr_flt_vcf_ops_fqdn),"Value Missing",input_cr_flt_vcf_ops_fqdn)</f>
        <v>#NAME?</v>
      </c>
      <c r="G273" s="27"/>
      <c r="H273" s="42" t="s">
        <v>8093</v>
      </c>
      <c r="I273" s="13" t="e">
        <f t="array" ref="I273">IF(ISBLANK(input_cluster_witness_dns2_ip),"Value Missing",input_cluster_witness_dns2_ip)</f>
        <v>#REF!</v>
      </c>
      <c r="J273" s="27"/>
      <c r="K273" s="30" t="s">
        <v>6697</v>
      </c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</row>
    <row r="274" spans="1:32" ht="19.5" customHeight="1">
      <c r="A274" s="27"/>
      <c r="B274" s="30" t="s">
        <v>7949</v>
      </c>
      <c r="C274" s="13" t="e">
        <f>IF(ISBLANK(input_mgmt_vpc_ext_ip_blocks_excluded_ips),"Value Missing",input_mgmt_vpc_ext_ip_blocks_excluded_ips)</f>
        <v>#REF!</v>
      </c>
      <c r="D274" s="27"/>
      <c r="E274" s="27"/>
      <c r="F274" s="27"/>
      <c r="G274" s="27"/>
      <c r="H274" s="42" t="s">
        <v>8094</v>
      </c>
      <c r="I274" s="13" t="e">
        <f>IF(ISBLANK(input_cluster_witness_ntp1_server),"Value Missing",input_cluster_witness_ntp1_server)</f>
        <v>#REF!</v>
      </c>
      <c r="J274" s="27"/>
      <c r="K274" s="30" t="s">
        <v>8095</v>
      </c>
      <c r="L274" s="13" t="e">
        <f t="array" ref="L274">IF(ISBLANK(input_flt_net_platform_password),"Value Missing",input_flt_net_platform_password)</f>
        <v>#NAME?</v>
      </c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</row>
    <row r="275" spans="1:32" ht="19.5" customHeight="1">
      <c r="A275" s="27"/>
      <c r="B275" s="30" t="s">
        <v>7953</v>
      </c>
      <c r="C275" s="13" t="e">
        <f>IF(ISBLANK(input_mgmt_vpc_ext_ip_blocks_reserved),"Value Missing",input_mgmt_vpc_ext_ip_blocks_reserved)</f>
        <v>#REF!</v>
      </c>
      <c r="D275" s="27"/>
      <c r="E275" s="27"/>
      <c r="F275" s="27"/>
      <c r="G275" s="27"/>
      <c r="H275" s="42" t="s">
        <v>8096</v>
      </c>
      <c r="I275" s="13" t="e">
        <f>IF(ISBLANK(input_cluster_witness_ntp2_server),"Value Missing",input_cluster_witness_ntp2_server)</f>
        <v>#REF!</v>
      </c>
      <c r="J275" s="27"/>
      <c r="K275" s="30" t="s">
        <v>8097</v>
      </c>
      <c r="L275" s="13" t="e">
        <f>IF(ISBLANK(input_flt_net_support_password),"Value Missing",input_flt_net_support_password)</f>
        <v>#NAME?</v>
      </c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</row>
    <row r="276" spans="1:32" ht="19.5" customHeight="1">
      <c r="A276" s="27"/>
      <c r="B276" s="30" t="s">
        <v>7955</v>
      </c>
      <c r="C276" s="13" t="e">
        <f>IF(ISBLANK(input_mgmt_vpc_priv_ip_blocks_name),"Value Missing",input_mgmt_vpc_priv_ip_blocks_name)</f>
        <v>#REF!</v>
      </c>
      <c r="D276" s="27"/>
      <c r="E276" s="27"/>
      <c r="F276" s="27"/>
      <c r="G276" s="27"/>
      <c r="H276" s="42" t="s">
        <v>8077</v>
      </c>
      <c r="I276" s="13" t="e">
        <f>IF(ISBLANK(input_cluster_vc_fqdn),"Value Missing",input_cluster_vc_fqdn)</f>
        <v>#REF!</v>
      </c>
      <c r="J276" s="27"/>
      <c r="K276" s="30" t="s">
        <v>8098</v>
      </c>
      <c r="L276" s="13" t="e">
        <f>IF(ISBLANK(input_flt_net_console_password),"Value Missing",input_flt_net_console_password)</f>
        <v>#NAME?</v>
      </c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</row>
    <row r="277" spans="1:32" ht="19.5" customHeight="1">
      <c r="A277" s="27"/>
      <c r="B277" s="30" t="s">
        <v>7944</v>
      </c>
      <c r="C277" s="13" t="e">
        <f>IF(ISBLANK(input_mgmt_vpc_priv_ip_blocks_visability),"Value Missing",input_mgmt_vpc_priv_ip_blocks_visability)</f>
        <v>#REF!</v>
      </c>
      <c r="D277" s="27"/>
      <c r="E277" s="27"/>
      <c r="F277" s="27"/>
      <c r="G277" s="27"/>
      <c r="H277" s="42" t="s">
        <v>8099</v>
      </c>
      <c r="I277" s="13" t="e">
        <f>IF(ISBLANK(input_cluster_datacenter),"Value Missing",input_cluster_datacenter)</f>
        <v>#REF!</v>
      </c>
      <c r="J277" s="27"/>
      <c r="K277" s="30" t="s">
        <v>6714</v>
      </c>
      <c r="L277" s="13" t="e">
        <f>IF(ISBLANK(input_flt_net_vcenter_list),"Value Missing",input_flt_net_vcenter_list)</f>
        <v>#NAME?</v>
      </c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</row>
    <row r="278" spans="1:32" ht="19.5" customHeight="1">
      <c r="A278" s="27"/>
      <c r="B278" s="30" t="s">
        <v>7309</v>
      </c>
      <c r="C278" s="13" t="e">
        <f>IF(ISBLANK(input_mgmt_vpc_transit_gateway_ip_blocks_cidr),"Value Missing",input_mgmt_vpc_transit_gateway_ip_blocks_cidr)</f>
        <v>#REF!</v>
      </c>
      <c r="D278" s="27"/>
      <c r="E278" s="27"/>
      <c r="F278" s="27"/>
      <c r="G278" s="27"/>
      <c r="H278" s="42" t="s">
        <v>6716</v>
      </c>
      <c r="I278" s="13" t="e">
        <f>IF(ISBLANK(input_cluster_witness_fqdn),"Value Missing",input_cluster_witness_fqdn)</f>
        <v>#REF!</v>
      </c>
      <c r="J278" s="27"/>
      <c r="K278" s="30" t="s">
        <v>8100</v>
      </c>
      <c r="L278" s="13" t="e">
        <f>IF(ISBLANK(input_flt_net_prxy_portgroup),"Value Missing",input_flt_net_prxy_portgroup)</f>
        <v>#NAME?</v>
      </c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</row>
    <row r="279" spans="1:32" ht="19.5" customHeight="1">
      <c r="A279" s="27"/>
      <c r="B279" s="30" t="s">
        <v>7949</v>
      </c>
      <c r="C279" s="13" t="e">
        <f>IF(ISBLANK(input_mgmt_vpc_priv_ip_blocks_excluded_ips),"Value Missing",input_mgmt_vpc_priv_ip_blocks_excluded_ips)</f>
        <v>#REF!</v>
      </c>
      <c r="D279" s="27"/>
      <c r="E279" s="27"/>
      <c r="F279" s="27"/>
      <c r="G279" s="27"/>
      <c r="H279" s="42" t="s">
        <v>7625</v>
      </c>
      <c r="I279" s="13" t="e">
        <f>IF(ISBLANK(input_cluster_az2_host_overlay_network_profile_name),"Value Missing",input_cluster_az2_host_overlay_network_profile_name)</f>
        <v>#REF!</v>
      </c>
      <c r="J279" s="27"/>
      <c r="K279" s="30" t="s">
        <v>7700</v>
      </c>
      <c r="L279" s="13" t="e">
        <f>IF(ISBLANK(input_flt_net_prxy_mask),"Value Missing",input_flt_net_prxy_mask)</f>
        <v>#NAME?</v>
      </c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</row>
    <row r="280" spans="1:32" ht="19.5" customHeight="1">
      <c r="A280" s="27"/>
      <c r="B280" s="30" t="s">
        <v>7953</v>
      </c>
      <c r="C280" s="13" t="e">
        <f>IF(ISBLANK(input_mgmt_vpc_priv_ip_blocks_reserved),"Value Missing",input_mgmt_vpc_priv_ip_blocks_reserved)</f>
        <v>#REF!</v>
      </c>
      <c r="D280" s="27"/>
      <c r="E280" s="27"/>
      <c r="F280" s="27"/>
      <c r="G280" s="27"/>
      <c r="H280" s="42" t="s">
        <v>8101</v>
      </c>
      <c r="I280" s="13" t="e">
        <f>IF(ISBLANK(input_cluster_az2_host_overlay_network_pool_name),"Value Missing",input_cluster_az2_host_overlay_network_pool_name)</f>
        <v>#REF!</v>
      </c>
      <c r="J280" s="27"/>
      <c r="K280" s="30" t="s">
        <v>8102</v>
      </c>
      <c r="L280" s="13" t="e">
        <f>IF(ISBLANK(input_flt_net_prxy_gateway_ip),"Value Missing",input_flt_net_prxy_gateway_ip)</f>
        <v>#NAME?</v>
      </c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</row>
    <row r="281" spans="1:32" ht="19.5" customHeight="1">
      <c r="A281" s="27"/>
      <c r="B281" s="30" t="s">
        <v>7671</v>
      </c>
      <c r="C281" s="13" t="e">
        <f>IF(ISBLANK(input_mgmt_vpc_vna_cluster_name),"Value Missing",input_mgmt_vpc_vna_cluster_name)</f>
        <v>#REF!</v>
      </c>
      <c r="D281" s="27"/>
      <c r="E281" s="27"/>
      <c r="F281" s="27"/>
      <c r="G281" s="27"/>
      <c r="H281" s="42" t="s">
        <v>8103</v>
      </c>
      <c r="I281" s="13" t="e">
        <f>IF(ISBLANK(input_cluster_az2_host_overlay_uplink_profile_name),"Value Missing",input_cluster_az2_host_overlay_uplink_profile_name)</f>
        <v>#REF!</v>
      </c>
      <c r="J281" s="27"/>
      <c r="K281" s="30" t="s">
        <v>8104</v>
      </c>
      <c r="L281" s="13" t="e">
        <f>IF(ISBLANK(flt_net_nodea_size_chosen),"Value Missing",flt_net_nodea_size_chosen)</f>
        <v>#NAME?</v>
      </c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</row>
    <row r="282" spans="1:32" ht="19.5" customHeight="1">
      <c r="A282" s="27"/>
      <c r="B282" s="30" t="s">
        <v>7962</v>
      </c>
      <c r="C282" s="13" t="e">
        <f>IF(ISBLANK(input_mgmt_vnaa_fqdn),"Value Missing",input_mgmt_vnaa_fqdn)</f>
        <v>#REF!</v>
      </c>
      <c r="D282" s="27"/>
      <c r="E282" s="27"/>
      <c r="F282" s="27"/>
      <c r="G282" s="27"/>
      <c r="H282" s="42" t="s">
        <v>8105</v>
      </c>
      <c r="I282" s="13" t="e">
        <f>IF(ISBLANK(input_cluster_az2_host_overlay_vlan),"Value Missing",input_cluster_az2_host_overlay_vlan)</f>
        <v>#REF!</v>
      </c>
      <c r="J282" s="27"/>
      <c r="K282" s="30" t="s">
        <v>8106</v>
      </c>
      <c r="L282" s="13" t="e">
        <f>IF(ISBLANK(flt_net_nodeb_size_chosen),"Value Missing",flt_net_nodeb_size_chosen)</f>
        <v>#NAME?</v>
      </c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</row>
    <row r="283" spans="1:32" ht="19.5" customHeight="1">
      <c r="A283" s="27"/>
      <c r="B283" s="30" t="s">
        <v>7962</v>
      </c>
      <c r="C283" s="13" t="e">
        <f>IF(ISBLANK(input_mgmt_vnab_fqdn),"Value Missing",input_mgmt_vnab_fqdn)</f>
        <v>#REF!</v>
      </c>
      <c r="D283" s="27"/>
      <c r="E283" s="27"/>
      <c r="F283" s="27"/>
      <c r="G283" s="27"/>
      <c r="H283" s="42" t="s">
        <v>7188</v>
      </c>
      <c r="I283" s="13" t="e">
        <f>IF(ISBLANK(input_cluster_az2_host_overlay_cidr),"Value Missing",input_cluster_az2_host_overlay_cidr)</f>
        <v>#REF!</v>
      </c>
      <c r="J283" s="27"/>
      <c r="K283" s="30" t="s">
        <v>8107</v>
      </c>
      <c r="L283" s="13" t="e">
        <f>IF(ISBLANK(flt_net_nodec_size_chosen),"Value Missing",flt_net_nodec_size_chosen)</f>
        <v>#NAME?</v>
      </c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</row>
    <row r="284" spans="1:32" ht="19.5" customHeight="1">
      <c r="A284" s="27"/>
      <c r="B284" s="30" t="s">
        <v>7964</v>
      </c>
      <c r="C284" s="13" t="e">
        <f>IF(ISBLANK(input_mgmt_vnaa_cidr),"Value Missing",input_mgmt_vnaa_cidr)</f>
        <v>#REF!</v>
      </c>
      <c r="D284" s="27"/>
      <c r="E284" s="27"/>
      <c r="F284" s="27"/>
      <c r="G284" s="27"/>
      <c r="H284" s="42" t="s">
        <v>7989</v>
      </c>
      <c r="I284" s="13" t="e">
        <f>IF(ISBLANK(input_cluster_az2_host_overlay_gateway_ip),"Value Missing",input_cluster_az2_host_overlay_gateway_ip)</f>
        <v>#REF!</v>
      </c>
      <c r="J284" s="27"/>
      <c r="K284" s="30" t="s">
        <v>8108</v>
      </c>
      <c r="L284" s="13" t="e">
        <f>IF(ISBLANK(flt_net_prxy_size_chosen),"Value Missing",flt_net_prxy_size_chosen)</f>
        <v>#NAME?</v>
      </c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</row>
    <row r="285" spans="1:32" ht="19.5" customHeight="1">
      <c r="A285" s="27"/>
      <c r="B285" s="30" t="s">
        <v>7964</v>
      </c>
      <c r="C285" s="13" t="e">
        <f>IF(ISBLANK(input_mgmt_vnab_cidr),"Value Missing",input_mgmt_vnab_cidr)</f>
        <v>#REF!</v>
      </c>
      <c r="D285" s="27"/>
      <c r="E285" s="27"/>
      <c r="F285" s="27"/>
      <c r="G285" s="27"/>
      <c r="H285" s="42" t="s">
        <v>7248</v>
      </c>
      <c r="I285" s="13" t="e">
        <f>IF(ISBLANK(input_cluster_az2_host_overlay_pool_start_ip),"Value Missing",input_cluster_az2_host_overlay_pool_start_ip)</f>
        <v>#REF!</v>
      </c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</row>
    <row r="286" spans="1:32" ht="19.5" customHeight="1">
      <c r="A286" s="27"/>
      <c r="B286" s="30" t="s">
        <v>8109</v>
      </c>
      <c r="C286" s="13" t="e">
        <f>IF(ISBLANK(input_mgmt_vna_rp_name),"Value Missing",input_mgmt_vna_rp_name)</f>
        <v>#REF!</v>
      </c>
      <c r="D286" s="27"/>
      <c r="E286" s="27"/>
      <c r="F286" s="27"/>
      <c r="G286" s="27"/>
      <c r="H286" s="42" t="s">
        <v>7254</v>
      </c>
      <c r="I286" s="13" t="e">
        <f>IF(ISBLANK(input_cluster_az2_host_overlay_pool_end_ip),"Value Missing",input_cluster_az2_host_overlay_pool_end_ip)</f>
        <v>#REF!</v>
      </c>
      <c r="J286" s="27"/>
      <c r="K286" s="75" t="s">
        <v>8110</v>
      </c>
      <c r="L286" s="75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</row>
    <row r="287" spans="1:32" ht="19.5" customHeight="1">
      <c r="A287" s="27"/>
      <c r="B287" s="27"/>
      <c r="C287" s="27"/>
      <c r="D287" s="27"/>
      <c r="E287" s="27"/>
      <c r="F287" s="27"/>
      <c r="G287" s="27"/>
      <c r="H287" s="42" t="s">
        <v>7960</v>
      </c>
      <c r="I287" s="13" t="e">
        <f>IF(ISBLANK(input_cluster_cluster_sddc_id),"Value Missing",input_cluster_cluster_sddc_id)</f>
        <v>#REF!</v>
      </c>
      <c r="J287" s="27"/>
      <c r="K287" s="52" t="s">
        <v>6780</v>
      </c>
      <c r="L287" s="52" t="s">
        <v>6943</v>
      </c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</row>
    <row r="288" spans="1:32" ht="19.5" customHeight="1">
      <c r="A288" s="27"/>
      <c r="B288" s="75" t="s">
        <v>8111</v>
      </c>
      <c r="C288" s="75"/>
      <c r="D288" s="27"/>
      <c r="E288" s="27"/>
      <c r="F288" s="27"/>
      <c r="G288" s="27"/>
      <c r="H288" s="42" t="s">
        <v>8112</v>
      </c>
      <c r="I288" s="13" t="e">
        <f>IF(ISBLANK(input_cluster_nsxt_vip_fqdn),"Value Missing",input_cluster_nsxt_vip_fqdn)</f>
        <v>#REF!</v>
      </c>
      <c r="J288" s="27"/>
      <c r="K288" s="30" t="s">
        <v>8113</v>
      </c>
      <c r="L288" s="13" t="e">
        <f t="shared" ref="L288:L290" si="3">IF(ISBLANK(input_flt_net_vcenter_list),"Value Missing",input_flt_net_vcenter_list)</f>
        <v>#NAME?</v>
      </c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</row>
    <row r="289" spans="1:32" ht="19.5" customHeight="1">
      <c r="A289" s="27"/>
      <c r="B289" s="30" t="s">
        <v>7970</v>
      </c>
      <c r="C289" s="13" t="e">
        <f>IF(ISBLANK(input_mgmt_supvr_name),"Value Missing",input_mgmt_supvr_name)</f>
        <v>#REF!</v>
      </c>
      <c r="D289" s="27"/>
      <c r="E289" s="27"/>
      <c r="F289" s="27"/>
      <c r="G289" s="27"/>
      <c r="H289" s="42" t="s">
        <v>8114</v>
      </c>
      <c r="I289" s="13" t="e">
        <f>IF(ISBLANK(input_cluster_az2_host1_fqdn),"Value Missing",input_cluster_az2_host1_fqdn)</f>
        <v>#REF!</v>
      </c>
      <c r="J289" s="27"/>
      <c r="K289" s="30" t="s">
        <v>8115</v>
      </c>
      <c r="L289" s="13" t="e">
        <f t="shared" si="3"/>
        <v>#NAME?</v>
      </c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</row>
    <row r="290" spans="1:32" ht="19.5" customHeight="1">
      <c r="A290" s="27"/>
      <c r="B290" s="30" t="s">
        <v>7972</v>
      </c>
      <c r="C290" s="13" t="e">
        <f>IF(ISBLANK(input_mgmt_supvr_zone_name),"Value Missing",input_mgmt_supvr_zone_name)</f>
        <v>#REF!</v>
      </c>
      <c r="D290" s="27"/>
      <c r="E290" s="27"/>
      <c r="F290" s="27"/>
      <c r="G290" s="27"/>
      <c r="H290" s="42" t="s">
        <v>8116</v>
      </c>
      <c r="I290" s="13" t="e">
        <f>IF(ISBLANK(input_cluster_az2_host2_fqdn),"Value Missing",input_cluster_az2_host2_fqdn)</f>
        <v>#REF!</v>
      </c>
      <c r="J290" s="27"/>
      <c r="K290" s="30" t="s">
        <v>8102</v>
      </c>
      <c r="L290" s="13" t="e">
        <f t="shared" si="3"/>
        <v>#NAME?</v>
      </c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</row>
    <row r="291" spans="1:32" ht="19.5" customHeight="1">
      <c r="A291" s="27"/>
      <c r="B291" s="30" t="s">
        <v>7975</v>
      </c>
      <c r="C291" s="13" t="e">
        <f>IF(ISBLANK(input_mgmt_supvr_cp_storage_policy),"Value Missing",input_mgmt_supvr_cp_storage_policy)</f>
        <v>#REF!</v>
      </c>
      <c r="D291" s="27"/>
      <c r="E291" s="27"/>
      <c r="F291" s="27"/>
      <c r="G291" s="27"/>
      <c r="H291" s="42" t="s">
        <v>8117</v>
      </c>
      <c r="I291" s="13" t="e">
        <f>IF(ISBLANK(input_cluster_az2_host3_fqdn),"Value Missing",input_cluster_az2_host3_fqdn)</f>
        <v>#REF!</v>
      </c>
      <c r="J291" s="27"/>
      <c r="K291" s="30" t="s">
        <v>8118</v>
      </c>
      <c r="L291" s="13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</row>
    <row r="292" spans="1:32" ht="19.5" customHeight="1">
      <c r="A292" s="27"/>
      <c r="B292" s="30" t="s">
        <v>7978</v>
      </c>
      <c r="C292" s="13" t="e">
        <f>IF(ISBLANK(input_mgmt_supvr_ed_storage_policy),"Value Missing",input_mgmt_supvr_ed_storage_policy)</f>
        <v>#REF!</v>
      </c>
      <c r="D292" s="27"/>
      <c r="E292" s="27"/>
      <c r="F292" s="27"/>
      <c r="G292" s="27"/>
      <c r="H292" s="42" t="s">
        <v>8119</v>
      </c>
      <c r="I292" s="13" t="e">
        <f>IF(ISBLANK(input_cluster_az2_host4_fqdn),"Value Missing",input_cluster_az2_host4_fqdn)</f>
        <v>#REF!</v>
      </c>
      <c r="J292" s="27"/>
      <c r="K292" s="30" t="s">
        <v>6716</v>
      </c>
      <c r="L292" s="13" t="e">
        <f>IF(ISBLANK(input_flt_custom_network_flt_fqdn),"Value Missing",input_flt_custom_network_flt_fqdn)</f>
        <v>#REF!</v>
      </c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</row>
    <row r="293" spans="1:32" ht="19.5" customHeight="1">
      <c r="A293" s="27"/>
      <c r="B293" s="30" t="s">
        <v>7980</v>
      </c>
      <c r="C293" s="13" t="e">
        <f>IF(ISBLANK(input_mgmt_supvr_ic_storage_policy),"Value Missing",input_mgmt_supvr_ic_storage_policy)</f>
        <v>#REF!</v>
      </c>
      <c r="D293" s="27"/>
      <c r="E293" s="27"/>
      <c r="F293" s="27"/>
      <c r="G293" s="27"/>
      <c r="H293" s="42" t="s">
        <v>8120</v>
      </c>
      <c r="I293" s="13" t="e">
        <f>IF(ISBLANK(input_cluster_az2_host5_fqdn),"Value Missing",input_cluster_az2_host5_fqdn)</f>
        <v>#REF!</v>
      </c>
      <c r="J293" s="27"/>
      <c r="K293" s="30" t="s">
        <v>8121</v>
      </c>
      <c r="L293" s="13" t="e">
        <f>IF(ISBLANK(input_flt_custom_network_flt_ip),"Value Missing",input_flt_custom_network_flt_ip)</f>
        <v>#REF!</v>
      </c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</row>
    <row r="294" spans="1:32" ht="19.5" customHeight="1">
      <c r="A294" s="27"/>
      <c r="B294" s="30" t="s">
        <v>7984</v>
      </c>
      <c r="C294" s="13" t="e">
        <f>IF(ISBLANK(input_mgmt_supvr_ip_address_range),"Value Missing",input_mgmt_supvr_ip_address_range)</f>
        <v>#REF!</v>
      </c>
      <c r="D294" s="27"/>
      <c r="E294" s="27"/>
      <c r="F294" s="27"/>
      <c r="G294" s="27"/>
      <c r="H294" s="42" t="s">
        <v>8122</v>
      </c>
      <c r="I294" s="13" t="e">
        <f>IF(ISBLANK(input_cluster_az2_host6_fqdn),"Value Missing",input_cluster_az2_host6_fqdn)</f>
        <v>#REF!</v>
      </c>
      <c r="J294" s="27"/>
      <c r="K294" s="30" t="s">
        <v>8123</v>
      </c>
      <c r="L294" s="13" t="e">
        <f>IF(ISBLANK(input_flt_custom_network_flt_root_password),"Value Missing",input_flt_custom_network_flt_root_password)</f>
        <v>#REF!</v>
      </c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</row>
    <row r="295" spans="1:32" ht="19.5" customHeight="1">
      <c r="A295" s="27"/>
      <c r="B295" s="30" t="s">
        <v>6694</v>
      </c>
      <c r="C295" s="13" t="e">
        <f>IF(ISBLANK(input_mgmt_supvr_mgmt_dns_server),"Value Missing",input_mgmt_supvr_mgmt_dns_server)</f>
        <v>#REF!</v>
      </c>
      <c r="D295" s="27"/>
      <c r="E295" s="27"/>
      <c r="F295" s="27"/>
      <c r="G295" s="27"/>
      <c r="H295" s="42" t="s">
        <v>8124</v>
      </c>
      <c r="I295" s="13" t="e">
        <f>IF(ISBLANK(input_cluster_az2_host7_fqdn),"Value Missing",input_cluster_az2_host7_fqdn)</f>
        <v>#REF!</v>
      </c>
      <c r="J295" s="27"/>
      <c r="K295" s="30" t="s">
        <v>8125</v>
      </c>
      <c r="L295" s="13" t="e">
        <f>IF(ISBLANK(input_flt_custom_network_flt_admin_password),"Value Missing",input_flt_custom_network_flt_admin_password)</f>
        <v>#REF!</v>
      </c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</row>
    <row r="296" spans="1:32" ht="19.5" customHeight="1">
      <c r="A296" s="27"/>
      <c r="B296" s="30" t="s">
        <v>7988</v>
      </c>
      <c r="C296" s="13" t="e">
        <f>IF(ISBLANK(input_mgmt_supvr_mgmt_dns_zones),"Value Missing",input_mgmt_supvr_mgmt_dns_zones)</f>
        <v>#REF!</v>
      </c>
      <c r="D296" s="27"/>
      <c r="E296" s="27"/>
      <c r="F296" s="27"/>
      <c r="G296" s="27"/>
      <c r="H296" s="42" t="s">
        <v>8126</v>
      </c>
      <c r="I296" s="13" t="e">
        <f>IF(ISBLANK(input_cluster_az2_host8_fqdn),"Value Missing",input_cluster_az2_host8_fqdn)</f>
        <v>#REF!</v>
      </c>
      <c r="J296" s="27"/>
      <c r="K296" s="30" t="s">
        <v>8118</v>
      </c>
      <c r="L296" s="13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</row>
    <row r="297" spans="1:32" ht="19.5" customHeight="1">
      <c r="A297" s="27"/>
      <c r="B297" s="30" t="s">
        <v>7990</v>
      </c>
      <c r="C297" s="13" t="e">
        <f>IF(ISBLANK(input_mgmt_supvr_mgmt_ntp_server),"Value Missing",input_mgmt_supvr_mgmt_ntp_server)</f>
        <v>#REF!</v>
      </c>
      <c r="D297" s="27"/>
      <c r="E297" s="27"/>
      <c r="F297" s="27"/>
      <c r="G297" s="27"/>
      <c r="H297" s="42" t="s">
        <v>8127</v>
      </c>
      <c r="I297" s="13" t="e">
        <f>IF(ISBLANK(input_cluster_az2_host9_fqdn),"Value Missing",input_cluster_az2_host9_fqdn)</f>
        <v>#REF!</v>
      </c>
      <c r="J297" s="27"/>
      <c r="K297" s="30" t="s">
        <v>8128</v>
      </c>
      <c r="L297" s="13" t="e">
        <f>IF(ISBLANK(input_flt_custom_network_ops_vip_fqdn),"Value Missing",input_flt_custom_network_ops_vip_fqdn)</f>
        <v>#REF!</v>
      </c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</row>
    <row r="298" spans="1:32" ht="19.5" customHeight="1">
      <c r="A298" s="27"/>
      <c r="B298" s="30" t="s">
        <v>7906</v>
      </c>
      <c r="C298" s="13" t="e">
        <f>IF(ISBLANK(input_mgmt_supvr_nsx_project),"Value Missing",input_mgmt_supvr_nsx_project)</f>
        <v>#REF!</v>
      </c>
      <c r="D298" s="27"/>
      <c r="E298" s="27"/>
      <c r="F298" s="27"/>
      <c r="G298" s="27"/>
      <c r="H298" s="42" t="s">
        <v>8129</v>
      </c>
      <c r="I298" s="13" t="e">
        <f>IF(ISBLANK(input_cluster_az2_host10_fqdn),"Value Missing",input_cluster_az2_host10_fqdn)</f>
        <v>#REF!</v>
      </c>
      <c r="J298" s="27"/>
      <c r="K298" s="30" t="s">
        <v>8130</v>
      </c>
      <c r="L298" s="13" t="e">
        <f>IF(ISBLANK(input_flt_custom_network_ops_nodea_fqdn),"Value Missing",input_flt_custom_network_ops_nodea_fqdn)</f>
        <v>#REF!</v>
      </c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</row>
    <row r="299" spans="1:32" ht="19.5" customHeight="1">
      <c r="A299" s="27"/>
      <c r="B299" s="30" t="s">
        <v>7931</v>
      </c>
      <c r="C299" s="13" t="e">
        <f>IF(ISBLANK(input_mgmt_supvr_vpc_connectivity_profile),"Value Missing",input_mgmt_supvr_vpc_connectivity_profile)</f>
        <v>#REF!</v>
      </c>
      <c r="D299" s="27"/>
      <c r="E299" s="27"/>
      <c r="F299" s="27"/>
      <c r="G299" s="27"/>
      <c r="H299" s="42" t="s">
        <v>8131</v>
      </c>
      <c r="I299" s="13" t="e">
        <f>IF(ISBLANK(input_cluster_az2_host11_fqdn),"Value Missing",input_cluster_az2_host11_fqdn)</f>
        <v>#REF!</v>
      </c>
      <c r="J299" s="27"/>
      <c r="K299" s="30" t="s">
        <v>8132</v>
      </c>
      <c r="L299" s="13" t="e">
        <f>IF(ISBLANK(input_flt_custom_network_ops_nodeb_fqdn),"Value Missing",input_flt_custom_network_ops_nodeb_fqdn)</f>
        <v>#REF!</v>
      </c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</row>
    <row r="300" spans="1:32" ht="19.5" customHeight="1">
      <c r="A300" s="27"/>
      <c r="B300" s="30" t="s">
        <v>7994</v>
      </c>
      <c r="C300" s="13" t="e">
        <f>IF(ISBLANK(input_mgmt_supvr_vpc_ext_ip_blocks_name),"Value Missing",input_mgmt_supvr_vpc_ext_ip_blocks_name)</f>
        <v>#REF!</v>
      </c>
      <c r="D300" s="27"/>
      <c r="E300" s="27"/>
      <c r="F300" s="27"/>
      <c r="G300" s="27"/>
      <c r="H300" s="42" t="s">
        <v>8133</v>
      </c>
      <c r="I300" s="13" t="e">
        <f>IF(ISBLANK(input_cluster_az2_host12_fqdn),"Value Missing",input_cluster_az2_host12_fqdn)</f>
        <v>#REF!</v>
      </c>
      <c r="J300" s="27"/>
      <c r="K300" s="30" t="s">
        <v>8134</v>
      </c>
      <c r="L300" s="13" t="e">
        <f>IF(ISBLANK(input_flt_custom_network_ops_nodec_fqdn),"Value Missing",input_flt_custom_network_ops_nodec_fqdn)</f>
        <v>#REF!</v>
      </c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</row>
    <row r="301" spans="1:32" ht="19.5" customHeight="1">
      <c r="A301" s="27"/>
      <c r="B301" s="30" t="s">
        <v>7996</v>
      </c>
      <c r="C301" s="13" t="e">
        <f>IF(ISBLANK(input_mgmt_supvr_vpc_priv_ip_blocks_name),"Value Missing",input_mgmt_supvr_vpc_priv_ip_blocks_name)</f>
        <v>#REF!</v>
      </c>
      <c r="D301" s="27"/>
      <c r="E301" s="27"/>
      <c r="F301" s="27"/>
      <c r="G301" s="27"/>
      <c r="H301" s="42" t="s">
        <v>8135</v>
      </c>
      <c r="I301" s="13" t="e">
        <f>IF(ISBLANK(input_cluster_az2_host13_fqdn),"Value Missing",input_cluster_az2_host13_fqdn)</f>
        <v>#REF!</v>
      </c>
      <c r="J301" s="27"/>
      <c r="K301" s="39" t="s">
        <v>8136</v>
      </c>
      <c r="L301" s="13" t="e">
        <f>IF(ISBLANK(input_flt_custom_network_ops_vip_ip),"Value Missing",input_flt_custom_network_ops_vip_ip)</f>
        <v>#REF!</v>
      </c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</row>
    <row r="302" spans="1:32" ht="19.5" customHeight="1">
      <c r="A302" s="27"/>
      <c r="B302" s="30" t="s">
        <v>7999</v>
      </c>
      <c r="C302" s="13" t="e">
        <f>IF(ISBLANK(input_mgmt_supvr_vpc_priv_cidr),"Value Missing",input_mgmt_supvr_vpc_priv_cidr)</f>
        <v>#REF!</v>
      </c>
      <c r="D302" s="27"/>
      <c r="E302" s="27"/>
      <c r="F302" s="27"/>
      <c r="G302" s="27"/>
      <c r="H302" s="42" t="s">
        <v>8137</v>
      </c>
      <c r="I302" s="13" t="e">
        <f>IF(ISBLANK(input_cluster_az2_host14_fqdn),"Value Missing",input_cluster_az2_host14_fqdn)</f>
        <v>#REF!</v>
      </c>
      <c r="J302" s="27"/>
      <c r="K302" s="39" t="s">
        <v>8138</v>
      </c>
      <c r="L302" s="13" t="e">
        <f>IF(ISBLANK(input_flt_custom_network_ops_nodea_ip),"Value Missing",input_flt_custom_network_ops_nodea_ip)</f>
        <v>#REF!</v>
      </c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</row>
    <row r="303" spans="1:32" ht="19.5" customHeight="1">
      <c r="A303" s="27"/>
      <c r="B303" s="30" t="s">
        <v>7921</v>
      </c>
      <c r="C303" s="13" t="e">
        <f>IF(ISBLANK(input_mgmt_supvr_vpc_service_cidr),"Value Missing",input_mgmt_supvr_vpc_service_cidr)</f>
        <v>#REF!</v>
      </c>
      <c r="D303" s="27"/>
      <c r="E303" s="27"/>
      <c r="F303" s="27"/>
      <c r="G303" s="27"/>
      <c r="H303" s="42" t="s">
        <v>8139</v>
      </c>
      <c r="I303" s="13" t="e">
        <f>IF(ISBLANK(input_cluster_az2_host15_fqdn),"Value Missing",input_cluster_az2_host15_fqdn)</f>
        <v>#REF!</v>
      </c>
      <c r="J303" s="27"/>
      <c r="K303" s="42" t="s">
        <v>8140</v>
      </c>
      <c r="L303" s="13" t="e">
        <f>IF(ISBLANK(input_flt_custom_network_ops_nodeb_ip),"Value Missing",input_flt_custom_network_ops_nodeb_ip)</f>
        <v>#REF!</v>
      </c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</row>
    <row r="304" spans="1:32" ht="19.5" customHeight="1">
      <c r="A304" s="27"/>
      <c r="B304" s="30" t="s">
        <v>8004</v>
      </c>
      <c r="C304" s="13" t="e">
        <f>IF(ISBLANK(input_mgmt_supvr_wld_dns_server),"Value Missing",input_mgmt_supvr_wld_dns_server)</f>
        <v>#REF!</v>
      </c>
      <c r="D304" s="27"/>
      <c r="E304" s="27"/>
      <c r="F304" s="27"/>
      <c r="G304" s="27"/>
      <c r="H304" s="42" t="s">
        <v>8141</v>
      </c>
      <c r="I304" s="13" t="e">
        <f>IF(ISBLANK(input_cluster_az2_host16_fqdn),"Value Missing",input_cluster_az2_host16_fqdn)</f>
        <v>#REF!</v>
      </c>
      <c r="J304" s="27"/>
      <c r="K304" s="42" t="s">
        <v>8142</v>
      </c>
      <c r="L304" s="13" t="e">
        <f>IF(ISBLANK(input_flt_custom_network_ops_nodec_ip),"Value Missing",input_flt_custom_network_ops_nodec_ip)</f>
        <v>#REF!</v>
      </c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</row>
    <row r="305" spans="1:32" ht="19.5" customHeight="1">
      <c r="A305" s="27"/>
      <c r="B305" s="30" t="s">
        <v>8007</v>
      </c>
      <c r="C305" s="13" t="e">
        <f>IF(ISBLANK(input_mgmt_supvr_wld_ntp_server),"Value Missing",input_mgmt_supvr_wld_ntp_server)</f>
        <v>#REF!</v>
      </c>
      <c r="D305" s="27"/>
      <c r="E305" s="27"/>
      <c r="F305" s="27"/>
      <c r="G305" s="27"/>
      <c r="H305" s="42" t="s">
        <v>8143</v>
      </c>
      <c r="I305" s="13" t="e">
        <f>IF(ISBLANK(input_cluster_az2_tor1_peer_asn),"Value Missing",input_cluster_az2_tor1_peer_asn)</f>
        <v>#REF!</v>
      </c>
      <c r="J305" s="27"/>
      <c r="K305" s="30" t="s">
        <v>8144</v>
      </c>
      <c r="L305" s="13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</row>
    <row r="306" spans="1:32" ht="19.5" customHeight="1">
      <c r="A306" s="27"/>
      <c r="B306" s="30" t="s">
        <v>8009</v>
      </c>
      <c r="C306" s="13" t="e">
        <f>IF(ISBLANK(input_mgmt_supvr_api_server_fqdn),"Value Missing",input_mgmt_supvr_api_server_fqdn)</f>
        <v>#REF!</v>
      </c>
      <c r="D306" s="27"/>
      <c r="E306" s="27"/>
      <c r="F306" s="27"/>
      <c r="G306" s="27"/>
      <c r="H306" s="42" t="s">
        <v>8145</v>
      </c>
      <c r="I306" s="13" t="e">
        <f>IF(ISBLANK(input_cluster_az2_tor1_peer_ip),"Value Missing",input_cluster_az2_tor1_peer_ip)</f>
        <v>#REF!</v>
      </c>
      <c r="J306" s="27"/>
      <c r="K306" s="30" t="s">
        <v>6708</v>
      </c>
      <c r="L306" s="13" t="e">
        <f>IF(ISBLANK(input_flt_custom_network_ops_root_password),"Value Missing",input_flt_custom_network_ops_root_password)</f>
        <v>#REF!</v>
      </c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</row>
    <row r="307" spans="1:32" ht="19.5" customHeight="1">
      <c r="A307" s="27"/>
      <c r="B307" s="27"/>
      <c r="C307" s="27"/>
      <c r="D307" s="27"/>
      <c r="E307" s="27"/>
      <c r="F307" s="27"/>
      <c r="G307" s="27"/>
      <c r="H307" s="42" t="s">
        <v>8146</v>
      </c>
      <c r="I307" s="13" t="e">
        <f>IF(ISBLANK(input_cluster_az2_tor2_peer_asn),"Value Missing",input_cluster_az2_tor2_peer_asn)</f>
        <v>#REF!</v>
      </c>
      <c r="J307" s="27"/>
      <c r="K307" s="30" t="s">
        <v>7958</v>
      </c>
      <c r="L307" s="13" t="e">
        <f>IF(ISBLANK(input_flt_custom_network_ops_admin_password),"Value Missing",input_flt_custom_network_ops_admin_password)</f>
        <v>#REF!</v>
      </c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</row>
    <row r="308" spans="1:32" ht="19.5" customHeight="1">
      <c r="A308" s="27"/>
      <c r="B308" s="27"/>
      <c r="C308" s="27"/>
      <c r="D308" s="27"/>
      <c r="E308" s="27"/>
      <c r="F308" s="27"/>
      <c r="G308" s="27"/>
      <c r="H308" s="27"/>
      <c r="I308" s="13" t="e">
        <f>IF(ISBLANK(input_cluster_az2_tor2_peer_ip),"Value Missing",input_cluster_az2_tor2_peer_ip)</f>
        <v>#REF!</v>
      </c>
      <c r="J308" s="27"/>
      <c r="K308" s="30" t="s">
        <v>8147</v>
      </c>
      <c r="L308" s="13" t="e">
        <f>IF(ISBLANK(input_flt_custom_network_ops_collector_fqdn),"Value Missing",input_flt_custom_network_ops_collector_fqdn)</f>
        <v>#REF!</v>
      </c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</row>
    <row r="309" spans="1:32" ht="19.5" customHeight="1">
      <c r="A309" s="27"/>
      <c r="B309" s="27"/>
      <c r="C309" s="27"/>
      <c r="D309" s="27"/>
      <c r="E309" s="27"/>
      <c r="F309" s="27"/>
      <c r="G309" s="27"/>
      <c r="H309" s="27"/>
      <c r="I309" s="13" t="e">
        <f>IF(ISBLANK(input_cluster_host_overlay_transportzone),"Value Missing",input_cluster_host_overlay_transportzone)</f>
        <v>#REF!</v>
      </c>
      <c r="J309" s="27"/>
      <c r="K309" s="30" t="s">
        <v>7937</v>
      </c>
      <c r="L309" s="13" t="e">
        <f>IF(ISBLANK(input_flt_custom_network_ops_collector_ip),"Value Missing",input_flt_custom_network_ops_collector_ip)</f>
        <v>#REF!</v>
      </c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</row>
    <row r="310" spans="1:32" ht="19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30" t="s">
        <v>6827</v>
      </c>
      <c r="L310" s="13" t="e">
        <f>IF(ISBLANK(input_flt_custom_network_ops_collector_version),"Value Missing",input_flt_custom_network_ops_collector_version)</f>
        <v>#REF!</v>
      </c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</row>
    <row r="311" spans="1:32" ht="19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30" t="s">
        <v>8144</v>
      </c>
      <c r="L311" s="13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</row>
    <row r="312" spans="1:32" ht="19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30" t="s">
        <v>6708</v>
      </c>
      <c r="L312" s="13" t="e">
        <f>IF(ISBLANK(input_flt_custom_network_ops_collector_root_password),"Value Missing",input_flt_custom_network_ops_collector_root_password)</f>
        <v>#REF!</v>
      </c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</row>
    <row r="313" spans="1:32" ht="19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30" t="s">
        <v>8148</v>
      </c>
      <c r="L313" s="13" t="e">
        <f>IF(ISBLANK(input_flt_custom_network_auto_vip_fqdn),"Value Missing",input_flt_custom_network_auto_vip_fqdn)</f>
        <v>#REF!</v>
      </c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</row>
    <row r="314" spans="1:32" ht="19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30" t="s">
        <v>8149</v>
      </c>
      <c r="L314" s="13" t="e">
        <f>IF(ISBLANK(input_flt_custom_network_auto_sr_fqdn),"Value Missing",input_flt_custom_network_auto_sr_fqdn)</f>
        <v>#REF!</v>
      </c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</row>
    <row r="315" spans="1:32" ht="19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30" t="s">
        <v>6720</v>
      </c>
      <c r="L315" s="13" t="e">
        <f>IF(ISBLANK(input_flt_custom_network_auto_prefix),"Value Missing",input_flt_custom_network_auto_prefix)</f>
        <v>#REF!</v>
      </c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</row>
    <row r="316" spans="1:32" ht="19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30" t="s">
        <v>7937</v>
      </c>
      <c r="L316" s="13" t="e">
        <f>IF(ISBLANK(input_flt_custom_network_auto_vip_ip),"Value Missing",input_flt_custom_network_auto_vip_ip)</f>
        <v>#REF!</v>
      </c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</row>
    <row r="317" spans="1:32" ht="19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30" t="s">
        <v>8150</v>
      </c>
      <c r="L317" s="13" t="e">
        <f>IF(ISBLANK(input_flt_custom_network_auto_nodea_ip),"Value Missing",input_flt_custom_network_auto_nodea_ip)</f>
        <v>#REF!</v>
      </c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</row>
    <row r="318" spans="1:32" ht="19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30" t="s">
        <v>8151</v>
      </c>
      <c r="L318" s="13" t="e">
        <f>IF(ISBLANK(input_flt_custom_network_auto_nodeb_ip),"Value Missing",input_flt_custom_network_auto_nodeb_ip)</f>
        <v>#REF!</v>
      </c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</row>
    <row r="319" spans="1:32" ht="19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30" t="s">
        <v>8152</v>
      </c>
      <c r="L319" s="13" t="e">
        <f>IF(ISBLANK(input_flt_custom_network_auto_nodec_ip),"Value Missing",input_flt_custom_network_auto_nodec_ip)</f>
        <v>#REF!</v>
      </c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</row>
    <row r="320" spans="1:32" ht="19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30" t="s">
        <v>8153</v>
      </c>
      <c r="L320" s="13" t="e">
        <f>IF(ISBLANK(input_flt_custom_network_auto_noded_ip),"Value Missing",input_flt_custom_network_auto_noded_ip)</f>
        <v>#REF!</v>
      </c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</row>
    <row r="321" spans="1:32" ht="19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30" t="s">
        <v>8154</v>
      </c>
      <c r="L321" s="13" t="e">
        <f>IF(ISBLANK(input_flt_custom_network_auto_nodee_ip),"Value Missing",input_flt_custom_network_auto_nodee_ip)</f>
        <v>#REF!</v>
      </c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</row>
    <row r="322" spans="1:32" ht="19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30" t="s">
        <v>8155</v>
      </c>
      <c r="L322" s="13" t="e">
        <f>IF(ISBLANK(input_flt_custom_network_auto_nodef_ip),"Value Missing",input_flt_custom_network_auto_nodef_ip)</f>
        <v>#NAME?</v>
      </c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</row>
    <row r="323" spans="1:32" ht="19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30" t="s">
        <v>8156</v>
      </c>
      <c r="L323" s="13" t="e">
        <f>IF(ISBLANK(flt_custom_network_auto_cluster_cidr_chosen),"Value Missing",flt_custom_network_auto_cluster_cidr_chosen)</f>
        <v>#REF!</v>
      </c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</row>
    <row r="324" spans="1:32" ht="19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30" t="s">
        <v>8125</v>
      </c>
      <c r="L324" s="13" t="e">
        <f>IF(ISBLANK(input_flt_custom_network_auto_admin_password),"Value Missing",input_flt_custom_network_auto_admin_password)</f>
        <v>#REF!</v>
      </c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</row>
    <row r="325" spans="1:32" ht="19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30" t="s">
        <v>8157</v>
      </c>
      <c r="L325" s="13" t="e">
        <f>IF(ISBLANK(input_flt_custom_network_x_reg_pg),"Value Missing",input_flt_custom_network_x_reg_pg)</f>
        <v>#REF!</v>
      </c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</row>
    <row r="326" spans="1:32" ht="19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30" t="s">
        <v>8158</v>
      </c>
      <c r="L326" s="13" t="e">
        <f>IF(ISBLANK(input_flt_custom_network_x_reg_mask),"Value Missing",input_flt_custom_network_x_reg_mask)</f>
        <v>#REF!</v>
      </c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</row>
    <row r="327" spans="1:32" ht="19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30" t="s">
        <v>8159</v>
      </c>
      <c r="L327" s="13" t="e">
        <f>IF(ISBLANK(input_flt_custom_network_x_reg_gateway_ip),"Value Missing",input_flt_custom_network_x_reg_gateway_ip)</f>
        <v>#REF!</v>
      </c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</row>
    <row r="328" spans="1:32" ht="19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30" t="s">
        <v>8160</v>
      </c>
      <c r="L328" s="13" t="e">
        <f>IF(ISBLANK(input_flt_custom_network_local_reg_pg),"Value Missing",input_flt_custom_network_local_reg_pg)</f>
        <v>#REF!</v>
      </c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</row>
    <row r="329" spans="1:32" ht="19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30" t="s">
        <v>8161</v>
      </c>
      <c r="L329" s="13" t="e">
        <f>IF(ISBLANK(input_flt_custom_network_local_reg_mask),"Value Missing",input_flt_custom_network_local_reg_mask)</f>
        <v>#REF!</v>
      </c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</row>
    <row r="330" spans="1:32" ht="19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30" t="s">
        <v>8162</v>
      </c>
      <c r="L330" s="13" t="e">
        <f>IF(ISBLANK(input_flt_custom_network_local_reg_gateway_ip),"Value Missing",input_flt_custom_network_local_reg_gateway_ip)</f>
        <v>#REF!</v>
      </c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</row>
    <row r="331" spans="1:32" ht="19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75" t="s">
        <v>8163</v>
      </c>
      <c r="L331" s="75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</row>
    <row r="332" spans="1:32" ht="19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52" t="s">
        <v>6780</v>
      </c>
      <c r="L332" s="52" t="s">
        <v>6943</v>
      </c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</row>
    <row r="333" spans="1:32" ht="19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30" t="s">
        <v>8164</v>
      </c>
      <c r="L333" s="13" t="e">
        <f>IF(ISBLANK(vcf_automation_type_chosen),"Value Missing",vcf_automation_type_chosen)</f>
        <v>#REF!</v>
      </c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</row>
    <row r="334" spans="1:32" ht="19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30" t="s">
        <v>6827</v>
      </c>
      <c r="L334" s="13" t="e">
        <f>IF(ISBLANK(input_vcf_automation_version),"Value Missing",input_vcf_automation_version)</f>
        <v>#REF!</v>
      </c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</row>
    <row r="335" spans="1:32" ht="19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30" t="s">
        <v>8165</v>
      </c>
      <c r="L335" s="13" t="e">
        <f>IF(ISBLANK(vcf_automation_size_chosen),"Value Missing",vcf_automation_size_chosen)</f>
        <v>#REF!</v>
      </c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</row>
    <row r="336" spans="1:32" ht="19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30" t="s">
        <v>6660</v>
      </c>
      <c r="L336" s="13" t="str">
        <f>IF(ISBLANK(vcf_automation_cert_type_chosen),"Value Missing",vcf_automation_cert_type_chosen)</f>
        <v>Generate Certificate</v>
      </c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</row>
    <row r="337" spans="1:32" ht="19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30" t="s">
        <v>6663</v>
      </c>
      <c r="L337" s="13" t="str">
        <f>IF(ISBLANK(input_vcf_automation_cert_alias),"Value Missing",input_vcf_automation_cert_alias)</f>
        <v>Value Missing</v>
      </c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</row>
    <row r="338" spans="1:32" ht="19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30" t="s">
        <v>6666</v>
      </c>
      <c r="L338" s="13" t="str">
        <f>IF(ISBLANK(input_vcf_automation_cert_file),"Value Missing",input_vcf_automation_cert_file)</f>
        <v>Value Missing</v>
      </c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</row>
    <row r="339" spans="1:32" ht="19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30" t="s">
        <v>6668</v>
      </c>
      <c r="L339" s="13" t="str">
        <f>IF(ISBLANK(input_vcf_automation_cert_common_name),"Value Missing",input_vcf_automation_cert_common_name)</f>
        <v>Value Missing</v>
      </c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</row>
    <row r="340" spans="1:32" ht="19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30" t="s">
        <v>6670</v>
      </c>
      <c r="L340" s="13" t="str">
        <f>IF(ISBLANK(input_vcf_automation_cert_organisation),"Value Missing",input_vcf_automation_cert_organisation)</f>
        <v>Value Missing</v>
      </c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</row>
    <row r="341" spans="1:32" ht="19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30" t="s">
        <v>6673</v>
      </c>
      <c r="L341" s="13" t="str">
        <f>IF(ISBLANK(input_vcf_automation_ou_cert),"Value Missing",input_vcf_automation_ou_cert)</f>
        <v>Value Missing</v>
      </c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</row>
    <row r="342" spans="1:32" ht="19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30" t="s">
        <v>6675</v>
      </c>
      <c r="L342" s="13" t="str">
        <f>IF(ISBLANK(input_vcf_automation_cert_country_code),"Value Missing",input_vcf_automation_cert_country_code)</f>
        <v>Value Missing</v>
      </c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</row>
    <row r="343" spans="1:32" ht="19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30" t="s">
        <v>6677</v>
      </c>
      <c r="L343" s="13" t="str">
        <f>IF(ISBLANK(input_vcf_automation_cert_locality),"Value Missing",input_vcf_automation_cert_locality)</f>
        <v>Value Missing</v>
      </c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</row>
    <row r="344" spans="1:32" ht="19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30" t="s">
        <v>6679</v>
      </c>
      <c r="L344" s="13" t="str">
        <f>IF(ISBLANK(input_vcf_automation_cert_state),"Value Missing",input_vcf_automation_cert_state)</f>
        <v>Value Missing</v>
      </c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</row>
    <row r="345" spans="1:32" ht="19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30" t="s">
        <v>6681</v>
      </c>
      <c r="L345" s="13" t="str">
        <f>IF(ISBLANK(vcf_automation_cert_key_length_chosen),"Value Missing",vcf_automation_cert_key_length_chosen)</f>
        <v>4096</v>
      </c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</row>
    <row r="346" spans="1:32" ht="19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30" t="s">
        <v>8166</v>
      </c>
      <c r="L346" s="13" t="e">
        <f>IF(ISBLANK(input_vcf_automation_vip_fqdn),"Value Missing",input_vcf_automation_vip_fqdn)</f>
        <v>#REF!</v>
      </c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</row>
    <row r="347" spans="1:32" ht="19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30" t="s">
        <v>8149</v>
      </c>
      <c r="L347" s="13" t="e">
        <f>IF(ISBLANK(input_vcf_automation_auto_sr_fqdn),"Value Missing",input_vcf_automation_auto_sr_fqdn)</f>
        <v>#REF!</v>
      </c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</row>
    <row r="348" spans="1:32" ht="19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39" t="s">
        <v>8167</v>
      </c>
      <c r="L348" s="13" t="e">
        <f>IF(ISBLANK(input_vcf_automation_vip_ip),"Value Missing",input_vcf_automation_vip_ip)</f>
        <v>#REF!</v>
      </c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</row>
    <row r="349" spans="1:32" ht="19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42" t="s">
        <v>8168</v>
      </c>
      <c r="L349" s="13" t="e">
        <f t="array" ref="L349">IF(ISBLANK(input_vcf_automation_sr_ip),"Value Missing",input_vcf_automation_sr_ip)</f>
        <v>#REF!</v>
      </c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</row>
    <row r="350" spans="1:32" ht="19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42" t="s">
        <v>8150</v>
      </c>
      <c r="L350" s="13" t="str">
        <f>IF(ISBLANK(input_vcf_automation_nodea_ip),"Value Missing",input_vcf_automation_nodea_ip)</f>
        <v>Value Missing</v>
      </c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</row>
    <row r="351" spans="1:32" ht="19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42" t="s">
        <v>8151</v>
      </c>
      <c r="L351" s="13" t="str">
        <f>IF(ISBLANK(input_vcf_automation_nodeb_ip),"Value Missing",input_vcf_automation_nodeb_ip)</f>
        <v>Value Missing</v>
      </c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</row>
    <row r="352" spans="1:32" ht="19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42" t="s">
        <v>8152</v>
      </c>
      <c r="L352" s="13" t="str">
        <f>IF(ISBLANK(input_vcf_automation_nodec_ip),"Value Missing",input_vcf_automation_nodec_ip)</f>
        <v>Value Missing</v>
      </c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</row>
    <row r="353" spans="1:32" ht="19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42" t="s">
        <v>8153</v>
      </c>
      <c r="L353" s="13" t="str">
        <f>IF(ISBLANK(input_vcf_automation_noded_ip),"Value Missing",input_vcf_automation_noded_ip)</f>
        <v>Value Missing</v>
      </c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</row>
    <row r="354" spans="1:32" ht="19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30" t="s">
        <v>6687</v>
      </c>
      <c r="L354" s="13" t="str">
        <f>IF(ISBLANK(input_vcf_automation_folder),"Value Missing",input_vcf_automation_folder)</f>
        <v>Value Missing</v>
      </c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</row>
    <row r="355" spans="1:32" ht="19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30" t="s">
        <v>6689</v>
      </c>
      <c r="L355" s="13" t="str">
        <f>IF(ISBLANK(input_vcf_automation_resource_pool),"Value Missing",input_vcf_automation_resource_pool)</f>
        <v>Value Missing</v>
      </c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</row>
    <row r="356" spans="1:32" ht="19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30" t="s">
        <v>8169</v>
      </c>
      <c r="L356" s="13" t="str">
        <f>IF(ISBLANK(input_vcf_automation_mask),"Value Missing",input_vcf_automation_mask)</f>
        <v>Value Missing</v>
      </c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</row>
    <row r="357" spans="1:32" ht="19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30" t="s">
        <v>7947</v>
      </c>
      <c r="L357" s="13" t="str">
        <f>IF(ISBLANK(input_vcf_automation_gateway_ip),"Value Missing",input_vcf_automation_gateway_ip)</f>
        <v>Value Missing</v>
      </c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</row>
    <row r="358" spans="1:32" ht="19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30" t="s">
        <v>8170</v>
      </c>
      <c r="L358" s="13" t="str">
        <f>IF(ISBLANK(input_vcf_automation_portgroup),"Value Missing",input_vcf_automation_portgroup)</f>
        <v>Value Missing</v>
      </c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</row>
    <row r="359" spans="1:32" ht="19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39" t="s">
        <v>7957</v>
      </c>
      <c r="L359" s="13" t="str">
        <f>IF(ISBLANK(input_vcf_automation_admin_password_alias),"Value Missing",input_vcf_automation_admin_password_alias)</f>
        <v>Value Missing</v>
      </c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</row>
    <row r="360" spans="1:32" ht="19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42" t="s">
        <v>7958</v>
      </c>
      <c r="L360" s="13" t="e">
        <f>IF(ISBLANK(input_vcf_automation_admin_password),"Value Missing",input_vcf_automation_admin_password)</f>
        <v>#REF!</v>
      </c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</row>
    <row r="361" spans="1:32" ht="19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42" t="s">
        <v>7959</v>
      </c>
      <c r="L361" s="13" t="str">
        <f>IF(ISBLANK(input_vcf_automation_admin_password_description),"Value Missing",input_vcf_automation_admin_password_description)</f>
        <v>Value Missing</v>
      </c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</row>
    <row r="362" spans="1:32" ht="19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42" t="s">
        <v>7961</v>
      </c>
      <c r="L362" s="13" t="str">
        <f>IF(ISBLANK(input_vcf_automation_admin_username),"Value Missing",input_vcf_automation_admin_username)</f>
        <v>Value Missing</v>
      </c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</row>
    <row r="363" spans="1:32" ht="19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30" t="s">
        <v>8171</v>
      </c>
      <c r="L363" s="13" t="str">
        <f>IF(ISBLANK(input_vcf_automation_root_password_alias),"Value Missing",input_vcf_automation_root_password_alias)</f>
        <v>Value Missing</v>
      </c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</row>
    <row r="364" spans="1:32" ht="19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30" t="s">
        <v>6792</v>
      </c>
      <c r="L364" s="13" t="str">
        <f>IF(ISBLANK(input_vcf_automation_root_password),"Value Missing",input_vcf_automation_root_password)</f>
        <v>Value Missing</v>
      </c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</row>
    <row r="365" spans="1:32" ht="19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30" t="s">
        <v>8172</v>
      </c>
      <c r="L365" s="13" t="str">
        <f>IF(ISBLANK(input_vcf_automation_root_password_description),"Value Missing",input_vcf_automation_root_password_description)</f>
        <v>Value Missing</v>
      </c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</row>
    <row r="366" spans="1:32" ht="19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30" t="s">
        <v>6808</v>
      </c>
      <c r="L366" s="13" t="str">
        <f>IF(ISBLANK(input_vcf_automation_root_username),"Value Missing",input_vcf_automation_root_username)</f>
        <v>Value Missing</v>
      </c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</row>
    <row r="367" spans="1:32" ht="19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42" t="s">
        <v>6718</v>
      </c>
      <c r="L367" s="13" t="str">
        <f>IF(ISBLANK(vcf_automation_lb_type_chosen),"Value Missing",vcf_automation_lb_type_chosen)</f>
        <v>Internal Load Balancer</v>
      </c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</row>
    <row r="368" spans="1:32" ht="19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42" t="s">
        <v>6720</v>
      </c>
      <c r="L368" s="13" t="str">
        <f>IF(ISBLANK(vcf_automation_node_prefix_chosen),"Value Missing",vcf_automation_node_prefix_chosen)</f>
        <v>flt-auto</v>
      </c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</row>
    <row r="369" spans="1:32" ht="19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42" t="s">
        <v>6732</v>
      </c>
      <c r="L369" s="13" t="str">
        <f>IF(ISBLANK(vcf_automation_internal_cidr_chosen),"Value Missing",vcf_automation_internal_cidr_chosen)</f>
        <v>192.18.0.0/15</v>
      </c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</row>
    <row r="370" spans="1:32" ht="19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42" t="s">
        <v>6736</v>
      </c>
      <c r="L370" s="13" t="str">
        <f>IF(ISBLANK(input_vcf_automation_additional_vips),"Value Missing",input_vcf_automation_additional_vips)</f>
        <v>Value Missing</v>
      </c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</row>
    <row r="371" spans="1:32" ht="19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 t="e">
        <f>IF(ISBLANK(input_vcf_automation_runtime_cidr),"Value Missing",input_vcf_automation_runtime_cidr)</f>
        <v>#REF!</v>
      </c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</row>
    <row r="372" spans="1:32" ht="19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</row>
    <row r="373" spans="1:32" ht="19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</row>
    <row r="374" spans="1:32" ht="19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</row>
    <row r="375" spans="1:32" ht="19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</row>
    <row r="376" spans="1:32" ht="19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</row>
    <row r="377" spans="1:32" ht="19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</row>
    <row r="378" spans="1:32" ht="19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</row>
    <row r="379" spans="1:32" ht="19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</row>
    <row r="380" spans="1:32" ht="19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</row>
    <row r="381" spans="1:32" ht="19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</row>
    <row r="382" spans="1:32" ht="19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</row>
    <row r="383" spans="1:32" ht="19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</row>
    <row r="384" spans="1:32" ht="19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</row>
    <row r="385" spans="1:32" ht="19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</row>
    <row r="386" spans="1:32" ht="19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</row>
    <row r="387" spans="1:32" ht="19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</row>
    <row r="388" spans="1:32" ht="19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</row>
    <row r="389" spans="1:32" ht="19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</row>
    <row r="390" spans="1:32" ht="19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</row>
    <row r="391" spans="1:32" ht="19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</row>
    <row r="392" spans="1:32" ht="19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</row>
    <row r="393" spans="1:32" ht="19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</row>
    <row r="394" spans="1:32" ht="19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</row>
    <row r="395" spans="1:32" ht="19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</row>
    <row r="396" spans="1:32" ht="19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</row>
    <row r="397" spans="1:32" ht="19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</row>
    <row r="398" spans="1:32" ht="19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</row>
    <row r="399" spans="1:32" ht="19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</row>
    <row r="400" spans="1:32" ht="19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</row>
    <row r="401" spans="1:32" ht="19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</row>
    <row r="402" spans="1:32" ht="19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</row>
    <row r="403" spans="1:32" ht="19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</row>
    <row r="404" spans="1:32" ht="19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</row>
    <row r="405" spans="1:32" ht="19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</row>
    <row r="406" spans="1:32" ht="19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</row>
    <row r="407" spans="1:32" ht="19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</row>
    <row r="408" spans="1:32" ht="19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</row>
    <row r="409" spans="1:32" ht="19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</row>
    <row r="410" spans="1:32" ht="19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</row>
    <row r="411" spans="1:32" ht="19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</row>
    <row r="412" spans="1:32" ht="19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</row>
    <row r="413" spans="1:32" ht="19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</row>
    <row r="414" spans="1:32" ht="19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</row>
    <row r="415" spans="1:32" ht="19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</row>
    <row r="416" spans="1:32" ht="19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</row>
    <row r="417" spans="1:32" ht="19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</row>
    <row r="418" spans="1:32" ht="19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</row>
    <row r="419" spans="1:32" ht="19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</row>
    <row r="420" spans="1:32" ht="19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</row>
    <row r="421" spans="1:32" ht="19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</row>
    <row r="422" spans="1:32" ht="19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</row>
    <row r="423" spans="1:32" ht="19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</row>
    <row r="424" spans="1:32" ht="19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</row>
    <row r="425" spans="1:32" ht="19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</row>
    <row r="426" spans="1:32" ht="19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</row>
    <row r="427" spans="1:32" ht="19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</row>
    <row r="428" spans="1:32" ht="19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</row>
    <row r="429" spans="1:32" ht="19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</row>
    <row r="430" spans="1:32" ht="19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</row>
    <row r="431" spans="1:32" ht="19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</row>
    <row r="432" spans="1:32" ht="19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</row>
    <row r="433" spans="1:32" ht="19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</row>
    <row r="434" spans="1:32" ht="19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</row>
    <row r="435" spans="1:32" ht="19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</row>
    <row r="436" spans="1:32" ht="19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</row>
    <row r="437" spans="1:32" ht="19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</row>
    <row r="438" spans="1:32" ht="19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</row>
    <row r="439" spans="1:32" ht="19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</row>
    <row r="440" spans="1:32" ht="19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</row>
    <row r="441" spans="1:32" ht="19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</row>
    <row r="442" spans="1:32" ht="19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</row>
    <row r="443" spans="1:32" ht="19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</row>
    <row r="444" spans="1:32" ht="19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</row>
    <row r="445" spans="1:32" ht="19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</row>
    <row r="446" spans="1:32" ht="19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</row>
    <row r="447" spans="1:32" ht="19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</row>
    <row r="448" spans="1:32" ht="19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</row>
    <row r="449" spans="1:32" ht="19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</row>
    <row r="450" spans="1:32" ht="19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</row>
    <row r="451" spans="1:32" ht="19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</row>
    <row r="452" spans="1:32" ht="19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</row>
    <row r="453" spans="1:32" ht="19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</row>
    <row r="454" spans="1:32" ht="19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</row>
    <row r="455" spans="1:32" ht="19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</row>
    <row r="456" spans="1:32" ht="19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</row>
    <row r="457" spans="1:32" ht="19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</row>
    <row r="458" spans="1:32" ht="19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</row>
    <row r="459" spans="1:32" ht="19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</row>
    <row r="460" spans="1:32" ht="19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</row>
    <row r="461" spans="1:32" ht="19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</row>
    <row r="462" spans="1:32" ht="19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</row>
    <row r="463" spans="1:32" ht="19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</row>
    <row r="464" spans="1:32" ht="19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</row>
    <row r="465" spans="1:32" ht="19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</row>
    <row r="466" spans="1:32" ht="19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</row>
    <row r="467" spans="1:32" ht="19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</row>
    <row r="468" spans="1:32" ht="19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</row>
    <row r="469" spans="1:32" ht="19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</row>
    <row r="470" spans="1:32" ht="19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</row>
    <row r="471" spans="1:32" ht="19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</row>
    <row r="472" spans="1:32" ht="19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</row>
    <row r="473" spans="1:32" ht="19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</row>
    <row r="474" spans="1:32" ht="19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</row>
    <row r="475" spans="1:32" ht="19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</row>
    <row r="476" spans="1:32" ht="19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</row>
    <row r="477" spans="1:32" ht="19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</row>
    <row r="478" spans="1:32" ht="19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</row>
    <row r="479" spans="1:32" ht="19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</row>
    <row r="480" spans="1:32" ht="19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</row>
    <row r="481" spans="1:32" ht="19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</row>
    <row r="482" spans="1:32" ht="19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</row>
    <row r="483" spans="1:32" ht="19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</row>
    <row r="484" spans="1:32" ht="19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</row>
    <row r="485" spans="1:32" ht="19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</row>
    <row r="486" spans="1:32" ht="19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</row>
    <row r="487" spans="1:32" ht="19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</row>
    <row r="488" spans="1:32" ht="19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</row>
    <row r="489" spans="1:32" ht="19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</row>
    <row r="490" spans="1:32" ht="19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</row>
    <row r="491" spans="1:32" ht="19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</row>
    <row r="492" spans="1:32" ht="19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</row>
    <row r="493" spans="1:32" ht="19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</row>
    <row r="494" spans="1:32" ht="19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</row>
    <row r="495" spans="1:32" ht="19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</row>
    <row r="496" spans="1:32" ht="19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</row>
    <row r="497" spans="1:32" ht="19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</row>
    <row r="498" spans="1:32" ht="19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</row>
    <row r="499" spans="1:32" ht="19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</row>
    <row r="500" spans="1:32" ht="19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</row>
    <row r="501" spans="1:32" ht="19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</row>
    <row r="502" spans="1:32" ht="19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</row>
    <row r="503" spans="1:32" ht="19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</row>
    <row r="504" spans="1:32" ht="19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</row>
    <row r="505" spans="1:32" ht="19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</row>
    <row r="506" spans="1:32" ht="19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</row>
    <row r="507" spans="1:32" ht="19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</row>
    <row r="508" spans="1:32" ht="19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</row>
    <row r="509" spans="1:32" ht="19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</row>
    <row r="510" spans="1:32" ht="19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</row>
    <row r="511" spans="1:32" ht="19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</row>
    <row r="512" spans="1:32" ht="19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</row>
    <row r="513" spans="1:32" ht="19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</row>
    <row r="514" spans="1:32" ht="19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</row>
    <row r="515" spans="1:32" ht="19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</row>
    <row r="516" spans="1:32" ht="19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</row>
    <row r="517" spans="1:32" ht="19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</row>
    <row r="518" spans="1:32" ht="19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</row>
    <row r="519" spans="1:32" ht="19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</row>
    <row r="520" spans="1:32" ht="19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</row>
    <row r="521" spans="1:32" ht="19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</row>
    <row r="522" spans="1:32" ht="19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</row>
    <row r="523" spans="1:32" ht="19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</row>
    <row r="524" spans="1:32" ht="19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</row>
    <row r="525" spans="1:32" ht="19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</row>
    <row r="526" spans="1:32" ht="19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</row>
    <row r="527" spans="1:32" ht="19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</row>
    <row r="528" spans="1:32" ht="19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</row>
    <row r="529" spans="1:32" ht="19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</row>
    <row r="530" spans="1:32" ht="19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</row>
    <row r="531" spans="1:32" ht="19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</row>
    <row r="532" spans="1:32" ht="19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</row>
    <row r="533" spans="1:32" ht="19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</row>
    <row r="534" spans="1:32" ht="19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</row>
    <row r="535" spans="1:32" ht="19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</row>
    <row r="536" spans="1:32" ht="19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</row>
    <row r="537" spans="1:32" ht="19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</row>
    <row r="538" spans="1:32" ht="19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</row>
    <row r="539" spans="1:32" ht="19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</row>
    <row r="540" spans="1:32" ht="19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</row>
    <row r="541" spans="1:32" ht="19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</row>
    <row r="542" spans="1:32" ht="19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</row>
    <row r="543" spans="1:32" ht="19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</row>
    <row r="544" spans="1:32" ht="19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</row>
    <row r="545" spans="1:32" ht="19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</row>
    <row r="546" spans="1:32" ht="19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</row>
    <row r="547" spans="1:32" ht="19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</row>
    <row r="548" spans="1:32" ht="19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</row>
    <row r="549" spans="1:32" ht="19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</row>
    <row r="550" spans="1:32" ht="19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</row>
    <row r="551" spans="1:32" ht="19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</row>
    <row r="552" spans="1:32" ht="19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</row>
    <row r="553" spans="1:32" ht="19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</row>
    <row r="554" spans="1:32" ht="19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</row>
    <row r="555" spans="1:32" ht="19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</row>
    <row r="556" spans="1:32" ht="19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</row>
    <row r="557" spans="1:32" ht="19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</row>
    <row r="558" spans="1:32" ht="19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</row>
    <row r="559" spans="1:32" ht="19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</row>
    <row r="560" spans="1:32" ht="19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</row>
    <row r="561" spans="1:32" ht="19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</row>
    <row r="562" spans="1:32" ht="19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</row>
    <row r="563" spans="1:32" ht="19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</row>
    <row r="564" spans="1:32" ht="19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</row>
    <row r="565" spans="1:32" ht="19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</row>
    <row r="566" spans="1:32" ht="19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</row>
    <row r="567" spans="1:32" ht="19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</row>
    <row r="568" spans="1:32" ht="19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</row>
    <row r="569" spans="1:32" ht="19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</row>
    <row r="570" spans="1:32" ht="19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</row>
    <row r="571" spans="1:32" ht="19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</row>
    <row r="572" spans="1:32" ht="19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</row>
    <row r="573" spans="1:32" ht="19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</row>
    <row r="574" spans="1:32" ht="19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</row>
    <row r="575" spans="1:32" ht="19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</row>
    <row r="576" spans="1:32" ht="19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</row>
    <row r="577" spans="1:32" ht="19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</row>
    <row r="578" spans="1:32" ht="19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</row>
    <row r="579" spans="1:32" ht="19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</row>
    <row r="580" spans="1:32" ht="19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</row>
    <row r="581" spans="1:32" ht="19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</row>
    <row r="582" spans="1:32" ht="19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</row>
    <row r="583" spans="1:32" ht="19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</row>
    <row r="584" spans="1:32" ht="19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</row>
    <row r="585" spans="1:32" ht="19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</row>
    <row r="586" spans="1:32" ht="19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</row>
    <row r="587" spans="1:32" ht="19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</row>
    <row r="588" spans="1:32" ht="19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</row>
    <row r="589" spans="1:32" ht="19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</row>
    <row r="590" spans="1:32" ht="19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</row>
    <row r="591" spans="1:32" ht="19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</row>
    <row r="592" spans="1:32" ht="19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</row>
    <row r="593" spans="1:32" ht="19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</row>
    <row r="594" spans="1:32" ht="19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</row>
    <row r="595" spans="1:32" ht="19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</row>
    <row r="596" spans="1:32" ht="19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</row>
    <row r="597" spans="1:32" ht="19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</row>
    <row r="598" spans="1:32" ht="19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</row>
    <row r="599" spans="1:32" ht="19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</row>
    <row r="600" spans="1:32" ht="19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</row>
    <row r="601" spans="1:32" ht="19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</row>
    <row r="602" spans="1:32" ht="19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</row>
    <row r="603" spans="1:32" ht="19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</row>
    <row r="604" spans="1:32" ht="19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</row>
    <row r="605" spans="1:32" ht="19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</row>
    <row r="606" spans="1:32" ht="19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</row>
    <row r="607" spans="1:32" ht="19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</row>
    <row r="608" spans="1:32" ht="19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</row>
    <row r="609" spans="1:32" ht="19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</row>
    <row r="610" spans="1:32" ht="19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</row>
    <row r="611" spans="1:32" ht="19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</row>
    <row r="612" spans="1:32" ht="19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</row>
    <row r="613" spans="1:32" ht="19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</row>
    <row r="614" spans="1:32" ht="19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</row>
    <row r="615" spans="1:32" ht="19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</row>
    <row r="616" spans="1:32" ht="19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</row>
    <row r="617" spans="1:32" ht="19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</row>
    <row r="618" spans="1:32" ht="19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</row>
    <row r="619" spans="1:32" ht="19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</row>
    <row r="620" spans="1:32" ht="19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</row>
    <row r="621" spans="1:32" ht="19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</row>
    <row r="622" spans="1:32" ht="19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</row>
    <row r="623" spans="1:32" ht="19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</row>
    <row r="624" spans="1:32" ht="19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</row>
    <row r="625" spans="1:32" ht="19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</row>
    <row r="626" spans="1:32" ht="19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</row>
    <row r="627" spans="1:32" ht="19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</row>
    <row r="628" spans="1:32" ht="19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</row>
    <row r="629" spans="1:32" ht="19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</row>
    <row r="630" spans="1:32" ht="19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</row>
    <row r="631" spans="1:32" ht="19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</row>
    <row r="632" spans="1:32" ht="19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</row>
    <row r="633" spans="1:32" ht="19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</row>
    <row r="634" spans="1:32" ht="19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</row>
    <row r="635" spans="1:32" ht="19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</row>
    <row r="636" spans="1:32" ht="19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</row>
    <row r="637" spans="1:32" ht="19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</row>
    <row r="638" spans="1:32" ht="19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</row>
    <row r="639" spans="1:32" ht="19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</row>
    <row r="640" spans="1:32" ht="19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</row>
    <row r="641" spans="1:32" ht="19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</row>
    <row r="642" spans="1:32" ht="19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</row>
    <row r="643" spans="1:32" ht="19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</row>
    <row r="644" spans="1:32" ht="19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</row>
    <row r="645" spans="1:32" ht="19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</row>
    <row r="646" spans="1:32" ht="19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</row>
    <row r="647" spans="1:32" ht="19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</row>
    <row r="648" spans="1:32" ht="19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</row>
    <row r="649" spans="1:32" ht="19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</row>
    <row r="650" spans="1:32" ht="19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</row>
    <row r="651" spans="1:32" ht="19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</row>
    <row r="652" spans="1:32" ht="19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</row>
    <row r="653" spans="1:32" ht="19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</row>
    <row r="654" spans="1:32" ht="19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</row>
    <row r="655" spans="1:32" ht="19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</row>
    <row r="656" spans="1:32" ht="19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</row>
    <row r="657" spans="1:32" ht="19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</row>
    <row r="658" spans="1:32" ht="19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</row>
    <row r="659" spans="1:32" ht="19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</row>
    <row r="660" spans="1:32" ht="19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</row>
    <row r="661" spans="1:32" ht="19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</row>
    <row r="662" spans="1:32" ht="19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</row>
    <row r="663" spans="1:32" ht="19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</row>
    <row r="664" spans="1:32" ht="19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</row>
    <row r="665" spans="1:32" ht="19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</row>
    <row r="666" spans="1:32" ht="19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</row>
    <row r="667" spans="1:32" ht="19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</row>
    <row r="668" spans="1:32" ht="19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</row>
    <row r="669" spans="1:32" ht="19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</row>
    <row r="670" spans="1:32" ht="19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</row>
    <row r="671" spans="1:32" ht="19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</row>
    <row r="672" spans="1:32" ht="19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</row>
    <row r="673" spans="1:32" ht="19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</row>
    <row r="674" spans="1:32" ht="19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</row>
    <row r="675" spans="1:32" ht="19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</row>
    <row r="676" spans="1:32" ht="19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</row>
    <row r="677" spans="1:32" ht="19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</row>
    <row r="678" spans="1:32" ht="19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</row>
    <row r="679" spans="1:32" ht="19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</row>
    <row r="680" spans="1:32" ht="19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</row>
    <row r="681" spans="1:32" ht="19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</row>
    <row r="682" spans="1:32" ht="19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</row>
    <row r="683" spans="1:32" ht="19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</row>
    <row r="684" spans="1:32" ht="19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</row>
    <row r="685" spans="1:32" ht="19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</row>
    <row r="686" spans="1:32" ht="19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</row>
    <row r="687" spans="1:32" ht="19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</row>
    <row r="688" spans="1:32" ht="19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</row>
    <row r="689" spans="1:32" ht="19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</row>
    <row r="690" spans="1:32" ht="19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</row>
    <row r="691" spans="1:32" ht="19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</row>
    <row r="692" spans="1:32" ht="19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</row>
    <row r="693" spans="1:32" ht="19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</row>
    <row r="694" spans="1:32" ht="19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</row>
    <row r="695" spans="1:32" ht="19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</row>
    <row r="696" spans="1:32" ht="19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</row>
    <row r="697" spans="1:32" ht="19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</row>
    <row r="698" spans="1:32" ht="19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</row>
    <row r="699" spans="1:32" ht="19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</row>
    <row r="700" spans="1:32" ht="19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</row>
    <row r="701" spans="1:32" ht="19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</row>
    <row r="702" spans="1:32" ht="19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</row>
    <row r="703" spans="1:32" ht="19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</row>
    <row r="704" spans="1:32" ht="19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</row>
    <row r="705" spans="1:32" ht="19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</row>
    <row r="706" spans="1:32" ht="19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</row>
    <row r="707" spans="1:32" ht="19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</row>
    <row r="708" spans="1:32" ht="19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</row>
    <row r="709" spans="1:32" ht="19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</row>
    <row r="710" spans="1:32" ht="19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</row>
    <row r="711" spans="1:32" ht="19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</row>
    <row r="712" spans="1:32" ht="19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</row>
    <row r="713" spans="1:32" ht="19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</row>
    <row r="714" spans="1:32" ht="19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</row>
    <row r="715" spans="1:32" ht="19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</row>
    <row r="716" spans="1:32" ht="19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</row>
    <row r="717" spans="1:32" ht="19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</row>
    <row r="718" spans="1:32" ht="19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</row>
    <row r="719" spans="1:32" ht="19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</row>
    <row r="720" spans="1:32" ht="19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</row>
    <row r="721" spans="1:32" ht="19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</row>
    <row r="722" spans="1:32" ht="19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</row>
    <row r="723" spans="1:32" ht="19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</row>
    <row r="724" spans="1:32" ht="19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</row>
    <row r="725" spans="1:32" ht="19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</row>
    <row r="726" spans="1:32" ht="19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</row>
    <row r="727" spans="1:32" ht="19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</row>
    <row r="728" spans="1:32" ht="19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</row>
    <row r="729" spans="1:32" ht="19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</row>
    <row r="730" spans="1:32" ht="19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</row>
    <row r="731" spans="1:32" ht="19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</row>
    <row r="732" spans="1:32" ht="19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</row>
    <row r="733" spans="1:32" ht="19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</row>
    <row r="734" spans="1:32" ht="19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</row>
    <row r="735" spans="1:32" ht="19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</row>
    <row r="736" spans="1:32" ht="19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</row>
    <row r="737" spans="1:32" ht="19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</row>
    <row r="738" spans="1:32" ht="19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</row>
    <row r="739" spans="1:32" ht="19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</row>
    <row r="740" spans="1:32" ht="19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</row>
    <row r="741" spans="1:32" ht="19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</row>
    <row r="742" spans="1:32" ht="19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</row>
    <row r="743" spans="1:32" ht="19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</row>
    <row r="744" spans="1:32" ht="19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</row>
    <row r="745" spans="1:32" ht="19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</row>
    <row r="746" spans="1:32" ht="19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</row>
    <row r="747" spans="1:32" ht="19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</row>
    <row r="748" spans="1:32" ht="19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</row>
    <row r="749" spans="1:32" ht="19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</row>
    <row r="750" spans="1:32" ht="19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</row>
    <row r="751" spans="1:32" ht="19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</row>
    <row r="752" spans="1:32" ht="19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</row>
    <row r="753" spans="1:32" ht="19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</row>
    <row r="754" spans="1:32" ht="19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</row>
    <row r="755" spans="1:32" ht="19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</row>
    <row r="756" spans="1:32" ht="19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</row>
    <row r="757" spans="1:32" ht="19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</row>
    <row r="758" spans="1:32" ht="19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</row>
    <row r="759" spans="1:32" ht="19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</row>
    <row r="760" spans="1:32" ht="19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</row>
    <row r="761" spans="1:32" ht="19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</row>
    <row r="762" spans="1:32" ht="19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</row>
    <row r="763" spans="1:32" ht="19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</row>
    <row r="764" spans="1:32" ht="19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</row>
    <row r="765" spans="1:32" ht="19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</row>
    <row r="766" spans="1:32" ht="19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</row>
    <row r="767" spans="1:32" ht="19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</row>
    <row r="768" spans="1:32" ht="19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</row>
    <row r="769" spans="1:32" ht="19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</row>
    <row r="770" spans="1:32" ht="19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</row>
    <row r="771" spans="1:32" ht="19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</row>
    <row r="772" spans="1:32" ht="19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</row>
    <row r="773" spans="1:32" ht="19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</row>
    <row r="774" spans="1:32" ht="19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</row>
    <row r="775" spans="1:32" ht="19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</row>
    <row r="776" spans="1:32" ht="19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</row>
    <row r="777" spans="1:32" ht="19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</row>
    <row r="778" spans="1:32" ht="19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</row>
    <row r="779" spans="1:32" ht="19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</row>
    <row r="780" spans="1:32" ht="19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</row>
    <row r="781" spans="1:32" ht="19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</row>
    <row r="782" spans="1:32" ht="19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</row>
    <row r="783" spans="1:32" ht="19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</row>
    <row r="784" spans="1:32" ht="19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</row>
    <row r="785" spans="1:32" ht="19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</row>
    <row r="786" spans="1:32" ht="19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</row>
    <row r="787" spans="1:32" ht="19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</row>
    <row r="788" spans="1:32" ht="19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</row>
    <row r="789" spans="1:32" ht="19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</row>
    <row r="790" spans="1:32" ht="19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</row>
    <row r="791" spans="1:32" ht="19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</row>
    <row r="792" spans="1:32" ht="19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</row>
    <row r="793" spans="1:32" ht="19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</row>
    <row r="794" spans="1:32" ht="19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</row>
    <row r="795" spans="1:32" ht="19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</row>
    <row r="796" spans="1:32" ht="19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</row>
    <row r="797" spans="1:32" ht="19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</row>
    <row r="798" spans="1:32" ht="19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</row>
    <row r="799" spans="1:32" ht="19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</row>
    <row r="800" spans="1:32" ht="19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</row>
    <row r="801" spans="1:32" ht="19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</row>
    <row r="802" spans="1:32" ht="19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</row>
    <row r="803" spans="1:32" ht="19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</row>
    <row r="804" spans="1:32" ht="19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</row>
    <row r="805" spans="1:32" ht="19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</row>
    <row r="806" spans="1:32" ht="19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</row>
    <row r="807" spans="1:32" ht="19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</row>
    <row r="808" spans="1:32" ht="19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</row>
    <row r="809" spans="1:32" ht="19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</row>
    <row r="810" spans="1:32" ht="19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</row>
    <row r="811" spans="1:32" ht="19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</row>
    <row r="812" spans="1:32" ht="19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</row>
    <row r="813" spans="1:32" ht="19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</row>
    <row r="814" spans="1:32" ht="19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</row>
    <row r="815" spans="1:32" ht="19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</row>
    <row r="816" spans="1:32" ht="19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</row>
    <row r="817" spans="1:32" ht="19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</row>
    <row r="818" spans="1:32" ht="19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</row>
    <row r="819" spans="1:32" ht="19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</row>
    <row r="820" spans="1:32" ht="19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</row>
    <row r="821" spans="1:32" ht="19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</row>
    <row r="822" spans="1:32" ht="19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</row>
    <row r="823" spans="1:32" ht="19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</row>
    <row r="824" spans="1:32" ht="19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</row>
    <row r="825" spans="1:32" ht="19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</row>
    <row r="826" spans="1:32" ht="19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</row>
    <row r="827" spans="1:32" ht="19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</row>
    <row r="828" spans="1:32" ht="19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</row>
    <row r="829" spans="1:32" ht="19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</row>
    <row r="830" spans="1:32" ht="19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</row>
    <row r="831" spans="1:32" ht="19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</row>
    <row r="832" spans="1:32" ht="19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</row>
    <row r="833" spans="1:32" ht="19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</row>
    <row r="834" spans="1:32" ht="19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</row>
    <row r="835" spans="1:32" ht="19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</row>
    <row r="836" spans="1:32" ht="19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</row>
    <row r="837" spans="1:32" ht="19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</row>
    <row r="838" spans="1:32" ht="19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</row>
    <row r="839" spans="1:32" ht="19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</row>
    <row r="840" spans="1:32" ht="19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</row>
    <row r="841" spans="1:32" ht="19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</row>
    <row r="842" spans="1:32" ht="19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</row>
    <row r="843" spans="1:32" ht="19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</row>
    <row r="844" spans="1:32" ht="19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</row>
    <row r="845" spans="1:32" ht="19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</row>
    <row r="846" spans="1:32" ht="19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</row>
    <row r="847" spans="1:32" ht="19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</row>
    <row r="848" spans="1:32" ht="19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</row>
    <row r="849" spans="1:32" ht="19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</row>
    <row r="850" spans="1:32" ht="19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</row>
    <row r="851" spans="1:32" ht="19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</row>
    <row r="852" spans="1:32" ht="19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</row>
    <row r="853" spans="1:32" ht="19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</row>
    <row r="854" spans="1:32" ht="19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</row>
    <row r="855" spans="1:32" ht="19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</row>
    <row r="856" spans="1:32" ht="19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</row>
    <row r="857" spans="1:32" ht="19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</row>
    <row r="858" spans="1:32" ht="19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</row>
    <row r="859" spans="1:32" ht="19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</row>
    <row r="860" spans="1:32" ht="19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</row>
    <row r="861" spans="1:32" ht="19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</row>
    <row r="862" spans="1:32" ht="19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</row>
    <row r="863" spans="1:32" ht="19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</row>
    <row r="864" spans="1:32" ht="19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</row>
    <row r="865" spans="1:32" ht="19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</row>
    <row r="866" spans="1:32" ht="19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</row>
    <row r="867" spans="1:32" ht="19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</row>
    <row r="868" spans="1:32" ht="19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</row>
    <row r="869" spans="1:32" ht="19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</row>
    <row r="870" spans="1:32" ht="19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</row>
    <row r="871" spans="1:32" ht="19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</row>
    <row r="872" spans="1:32" ht="19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</row>
    <row r="873" spans="1:32" ht="19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</row>
    <row r="874" spans="1:32" ht="19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</row>
    <row r="875" spans="1:32" ht="19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</row>
    <row r="876" spans="1:32" ht="19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</row>
    <row r="877" spans="1:32" ht="19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</row>
    <row r="878" spans="1:32" ht="19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</row>
    <row r="879" spans="1:32" ht="19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</row>
    <row r="880" spans="1:32" ht="19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</row>
    <row r="881" spans="1:32" ht="19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</row>
    <row r="882" spans="1:32" ht="19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</row>
    <row r="883" spans="1:32" ht="19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</row>
    <row r="884" spans="1:32" ht="19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</row>
    <row r="885" spans="1:32" ht="19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</row>
    <row r="886" spans="1:32" ht="19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</row>
    <row r="887" spans="1:32" ht="19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</row>
    <row r="888" spans="1:32" ht="19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</row>
    <row r="889" spans="1:32" ht="19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</row>
    <row r="890" spans="1:32" ht="19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</row>
    <row r="891" spans="1:32" ht="19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</row>
    <row r="892" spans="1:32" ht="19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</row>
    <row r="893" spans="1:32" ht="19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</row>
    <row r="894" spans="1:32" ht="19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</row>
    <row r="895" spans="1:32" ht="19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</row>
    <row r="896" spans="1:32" ht="19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</row>
    <row r="897" spans="1:32" ht="19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</row>
    <row r="898" spans="1:32" ht="19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</row>
    <row r="899" spans="1:32" ht="19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</row>
    <row r="900" spans="1:32" ht="19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</row>
    <row r="901" spans="1:32" ht="19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</row>
    <row r="902" spans="1:32" ht="19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</row>
    <row r="903" spans="1:32" ht="19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</row>
    <row r="904" spans="1:32" ht="19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</row>
    <row r="905" spans="1:32" ht="19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</row>
    <row r="906" spans="1:32" ht="19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</row>
    <row r="907" spans="1:32" ht="19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</row>
    <row r="908" spans="1:32" ht="19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</row>
    <row r="909" spans="1:32" ht="19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</row>
    <row r="910" spans="1:32" ht="19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</row>
    <row r="911" spans="1:32" ht="19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</row>
    <row r="912" spans="1:32" ht="19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</row>
    <row r="913" spans="1:32" ht="19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</row>
    <row r="914" spans="1:32" ht="19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</row>
    <row r="915" spans="1:32" ht="19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</row>
    <row r="916" spans="1:32" ht="19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</row>
    <row r="917" spans="1:32" ht="19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</row>
    <row r="918" spans="1:32" ht="19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</row>
    <row r="919" spans="1:32" ht="19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</row>
    <row r="920" spans="1:32" ht="19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</row>
    <row r="921" spans="1:32" ht="19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</row>
    <row r="922" spans="1:32" ht="19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</row>
    <row r="923" spans="1:32" ht="19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</row>
    <row r="924" spans="1:32" ht="19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</row>
    <row r="925" spans="1:32" ht="19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</row>
    <row r="926" spans="1:32" ht="19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</row>
    <row r="927" spans="1:32" ht="19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</row>
    <row r="928" spans="1:32" ht="19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</row>
    <row r="929" spans="1:32" ht="19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</row>
    <row r="930" spans="1:32" ht="19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</row>
    <row r="931" spans="1:32" ht="19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</row>
    <row r="932" spans="1:32" ht="19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</row>
    <row r="933" spans="1:32" ht="19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</row>
    <row r="934" spans="1:32" ht="19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</row>
    <row r="935" spans="1:32" ht="19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</row>
    <row r="936" spans="1:32" ht="19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</row>
    <row r="937" spans="1:32" ht="19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</row>
    <row r="938" spans="1:32" ht="19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</row>
    <row r="939" spans="1:32" ht="19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</row>
    <row r="940" spans="1:32" ht="19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</row>
    <row r="941" spans="1:32" ht="19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</row>
    <row r="942" spans="1:32" ht="19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</row>
    <row r="943" spans="1:32" ht="19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</row>
    <row r="944" spans="1:32" ht="19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</row>
    <row r="945" spans="1:32" ht="19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</row>
    <row r="946" spans="1:32" ht="19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</row>
    <row r="947" spans="1:32" ht="19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</row>
    <row r="948" spans="1:32" ht="19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</row>
    <row r="949" spans="1:32" ht="19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</row>
    <row r="950" spans="1:32" ht="19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</row>
    <row r="951" spans="1:32" ht="19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</row>
    <row r="952" spans="1:32" ht="19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</row>
    <row r="953" spans="1:32" ht="19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</row>
    <row r="954" spans="1:32" ht="19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</row>
    <row r="955" spans="1:32" ht="19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</row>
    <row r="956" spans="1:32" ht="19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</row>
    <row r="957" spans="1:32" ht="19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</row>
    <row r="958" spans="1:32" ht="19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</row>
    <row r="959" spans="1:32" ht="19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</row>
    <row r="960" spans="1:32" ht="19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</row>
    <row r="961" spans="1:32" ht="19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</row>
    <row r="962" spans="1:32" ht="19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</row>
    <row r="963" spans="1:32" ht="19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</row>
    <row r="964" spans="1:32" ht="19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</row>
    <row r="965" spans="1:32" ht="19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</row>
    <row r="966" spans="1:32" ht="19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</row>
    <row r="967" spans="1:32" ht="19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</row>
    <row r="968" spans="1:32" ht="19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</row>
    <row r="969" spans="1:32" ht="19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</row>
    <row r="970" spans="1:32" ht="19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</row>
    <row r="971" spans="1:32" ht="19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</row>
    <row r="972" spans="1:32" ht="19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</row>
    <row r="973" spans="1:32" ht="19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</row>
    <row r="974" spans="1:32" ht="19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</row>
    <row r="975" spans="1:32" ht="19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</row>
    <row r="976" spans="1:32" ht="19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</row>
    <row r="977" spans="1:32" ht="19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</row>
    <row r="978" spans="1:32" ht="19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</row>
    <row r="979" spans="1:32" ht="19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</row>
    <row r="980" spans="1:32" ht="19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</row>
    <row r="981" spans="1:32" ht="19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</row>
    <row r="982" spans="1:32" ht="19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</row>
    <row r="983" spans="1:32" ht="19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</row>
    <row r="984" spans="1:32" ht="19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</row>
    <row r="985" spans="1:32" ht="19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</row>
    <row r="986" spans="1:32" ht="19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</row>
    <row r="987" spans="1:32" ht="19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</row>
    <row r="988" spans="1:32" ht="19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</row>
    <row r="989" spans="1:32" ht="19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</row>
    <row r="990" spans="1:32" ht="19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</row>
    <row r="991" spans="1:32" ht="19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</row>
    <row r="992" spans="1:32" ht="19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</row>
    <row r="993" spans="1:32" ht="19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</row>
    <row r="994" spans="1:32" ht="19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</row>
    <row r="995" spans="1:32" ht="19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</row>
    <row r="996" spans="1:32" ht="19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</row>
    <row r="997" spans="1:32" ht="19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</row>
    <row r="998" spans="1:32" ht="19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</row>
    <row r="999" spans="1:32" ht="19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</row>
    <row r="1000" spans="1:32" ht="19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</row>
  </sheetData>
  <mergeCells count="48">
    <mergeCell ref="H245:I245"/>
    <mergeCell ref="E264:F264"/>
    <mergeCell ref="K64:L64"/>
    <mergeCell ref="K109:L109"/>
    <mergeCell ref="K162:L162"/>
    <mergeCell ref="K166:L166"/>
    <mergeCell ref="H219:I219"/>
    <mergeCell ref="H228:I228"/>
    <mergeCell ref="H237:I237"/>
    <mergeCell ref="B125:C125"/>
    <mergeCell ref="T121:U121"/>
    <mergeCell ref="T151:U151"/>
    <mergeCell ref="T186:U186"/>
    <mergeCell ref="T38:U38"/>
    <mergeCell ref="T46:U46"/>
    <mergeCell ref="Q47:R47"/>
    <mergeCell ref="Q73:R73"/>
    <mergeCell ref="Q81:R81"/>
    <mergeCell ref="Q89:R89"/>
    <mergeCell ref="N91:O91"/>
    <mergeCell ref="H46:I46"/>
    <mergeCell ref="H56:I56"/>
    <mergeCell ref="E70:F70"/>
    <mergeCell ref="B83:C83"/>
    <mergeCell ref="B97:C97"/>
    <mergeCell ref="Q29:R29"/>
    <mergeCell ref="Q32:R32"/>
    <mergeCell ref="B35:C35"/>
    <mergeCell ref="H36:I36"/>
    <mergeCell ref="Q43:R43"/>
    <mergeCell ref="E30:F30"/>
    <mergeCell ref="E43:F43"/>
    <mergeCell ref="H16:I16"/>
    <mergeCell ref="Z17:AA17"/>
    <mergeCell ref="H26:I26"/>
    <mergeCell ref="Q23:R23"/>
    <mergeCell ref="Q26:R26"/>
    <mergeCell ref="AC6:AE6"/>
    <mergeCell ref="Q6:R6"/>
    <mergeCell ref="Q10:R10"/>
    <mergeCell ref="H11:I11"/>
    <mergeCell ref="Q14:R14"/>
    <mergeCell ref="Q2:R2"/>
    <mergeCell ref="V2:Z2"/>
    <mergeCell ref="Q3:Z3"/>
    <mergeCell ref="K6:L6"/>
    <mergeCell ref="T6:U6"/>
    <mergeCell ref="Z6:AA6"/>
  </mergeCells>
  <conditionalFormatting sqref="C7:C10 L39:L40">
    <cfRule type="notContainsBlanks" dxfId="378" priority="1">
      <formula>LEN(TRIM(C7))&gt;0</formula>
    </cfRule>
    <cfRule type="containsBlanks" dxfId="377" priority="2">
      <formula>LEN(TRIM(C7))=0</formula>
    </cfRule>
    <cfRule type="expression" dxfId="376" priority="3">
      <formula>(VROPS_Result="Excluded")</formula>
    </cfRule>
  </conditionalFormatting>
  <conditionalFormatting sqref="C14:C33 I75:I124 O92:O129 C101:C106 C108:C113 C115:C120 C127:C133 C137:C144 I175:I194 L183:L224 I198:I218 I220:I227 I229:I236 I238:I244 L288:L330">
    <cfRule type="containsBlanks" dxfId="375" priority="4">
      <formula>LEN(TRIM(C14))=0</formula>
    </cfRule>
  </conditionalFormatting>
  <conditionalFormatting sqref="C37:C48">
    <cfRule type="expression" dxfId="374" priority="5">
      <formula>AND((VRLI_Result="Excluded"),(VROPS_Result="Excluded"),(VRA_Result="Excluded"))</formula>
    </cfRule>
  </conditionalFormatting>
  <conditionalFormatting sqref="C37:C53 L167:L179">
    <cfRule type="notContainsBlanks" dxfId="373" priority="6">
      <formula>LEN(TRIM(C37))&gt;0</formula>
    </cfRule>
    <cfRule type="containsBlanks" dxfId="372" priority="7">
      <formula>LEN(TRIM(C37))=0</formula>
    </cfRule>
    <cfRule type="expression" dxfId="371" priority="8">
      <formula>(VROPS_Result="Excluded")</formula>
    </cfRule>
  </conditionalFormatting>
  <conditionalFormatting sqref="C57:C71 C147:C152">
    <cfRule type="expression" dxfId="370" priority="11">
      <formula>(VROPS_Result="Excluded")</formula>
    </cfRule>
    <cfRule type="expression" dxfId="369" priority="12">
      <formula>AND((VRLI_Result="Excluded"),(VROPS_Result="Excluded"),(VRA_Result="Excluded"))</formula>
    </cfRule>
  </conditionalFormatting>
  <conditionalFormatting sqref="C57:C74 C147:C152">
    <cfRule type="notContainsBlanks" dxfId="368" priority="9">
      <formula>LEN(TRIM(C57))&gt;0</formula>
    </cfRule>
    <cfRule type="containsBlanks" dxfId="367" priority="10">
      <formula>LEN(TRIM(C57))=0</formula>
    </cfRule>
  </conditionalFormatting>
  <conditionalFormatting sqref="C80:C81 C231:C238 C271:C286 L333:L370">
    <cfRule type="notContainsBlanks" dxfId="366" priority="15">
      <formula>LEN(TRIM(C80))&gt;0</formula>
    </cfRule>
    <cfRule type="containsBlanks" dxfId="365" priority="16">
      <formula>LEN(TRIM(C80))=0</formula>
    </cfRule>
  </conditionalFormatting>
  <conditionalFormatting sqref="C80:C81 F126:F130">
    <cfRule type="expression" dxfId="364" priority="17">
      <formula>AND((VRLI_Result="Excluded"),(VROPS_Result="Excluded"),(VRA_Result="Excluded"))</formula>
    </cfRule>
  </conditionalFormatting>
  <conditionalFormatting sqref="C85:C94">
    <cfRule type="expression" dxfId="363" priority="18">
      <formula>AND((VRLI_Result="Excluded"),(VROPS_Result="Excluded"),(VRA_Result="Excluded"))</formula>
    </cfRule>
  </conditionalFormatting>
  <conditionalFormatting sqref="C85:C95">
    <cfRule type="notContainsBlanks" dxfId="362" priority="19">
      <formula>LEN(TRIM(C85))&gt;0</formula>
    </cfRule>
    <cfRule type="containsBlanks" dxfId="361" priority="20">
      <formula>LEN(TRIM(C85))=0</formula>
    </cfRule>
    <cfRule type="expression" dxfId="360" priority="21">
      <formula>(VROPS_Result="Excluded")</formula>
    </cfRule>
  </conditionalFormatting>
  <conditionalFormatting sqref="C99 F100:F106 C123">
    <cfRule type="notContainsBlanks" dxfId="359" priority="22">
      <formula>LEN(TRIM(C99))&gt;0</formula>
    </cfRule>
    <cfRule type="containsBlanks" dxfId="358" priority="23">
      <formula>LEN(TRIM(C99))=0</formula>
    </cfRule>
    <cfRule type="expression" dxfId="357" priority="24">
      <formula>(VROPS_Result="Excluded")</formula>
    </cfRule>
  </conditionalFormatting>
  <conditionalFormatting sqref="C147:C152">
    <cfRule type="notContainsBlanks" dxfId="356" priority="25">
      <formula>LEN(TRIM(C147))&gt;0</formula>
    </cfRule>
  </conditionalFormatting>
  <conditionalFormatting sqref="C206:C211">
    <cfRule type="expression" dxfId="355" priority="29">
      <formula>AND((VRLI_Result="Excluded"),(VROPS_Result="Excluded"),(VRA_Result="Excluded"))</formula>
    </cfRule>
    <cfRule type="containsBlanks" dxfId="354" priority="27">
      <formula>LEN(TRIM(C206))=0</formula>
    </cfRule>
    <cfRule type="expression" dxfId="353" priority="28">
      <formula>(VROPS_Result="Excluded")</formula>
    </cfRule>
    <cfRule type="notContainsBlanks" dxfId="352" priority="26">
      <formula>LEN(TRIM(C206))&gt;0</formula>
    </cfRule>
  </conditionalFormatting>
  <conditionalFormatting sqref="C224:C227">
    <cfRule type="notContainsBlanks" dxfId="351" priority="30">
      <formula>LEN(TRIM(C224))&gt;0</formula>
    </cfRule>
    <cfRule type="containsBlanks" dxfId="350" priority="31">
      <formula>LEN(TRIM(C224))=0</formula>
    </cfRule>
    <cfRule type="expression" dxfId="349" priority="32">
      <formula>(VROPS_Result="Excluded")</formula>
    </cfRule>
    <cfRule type="expression" dxfId="348" priority="33">
      <formula>AND((VRLI_Result="Excluded"),(VROPS_Result="Excluded"),(VRA_Result="Excluded"))</formula>
    </cfRule>
  </conditionalFormatting>
  <conditionalFormatting sqref="C289:C306">
    <cfRule type="notContainsBlanks" dxfId="347" priority="34">
      <formula>LEN(TRIM(C289))&gt;0</formula>
    </cfRule>
    <cfRule type="containsBlanks" dxfId="346" priority="35">
      <formula>LEN(TRIM(C289))=0</formula>
    </cfRule>
  </conditionalFormatting>
  <conditionalFormatting sqref="F7:F9">
    <cfRule type="notContainsBlanks" dxfId="345" priority="36">
      <formula>LEN(TRIM(F7))&gt;0</formula>
    </cfRule>
    <cfRule type="containsBlanks" dxfId="344" priority="37">
      <formula>LEN(TRIM(F7))=0</formula>
    </cfRule>
    <cfRule type="expression" dxfId="343" priority="38">
      <formula>(VROPS_Result="Excluded")</formula>
    </cfRule>
    <cfRule type="expression" dxfId="342" priority="39">
      <formula>AND((VRLI_Result="Excluded"),(VROPS_Result="Excluded"),(VRA_Result="Excluded"))</formula>
    </cfRule>
  </conditionalFormatting>
  <conditionalFormatting sqref="F14:F22">
    <cfRule type="expression" dxfId="341" priority="40">
      <formula>AND((VRLI_Result="Excluded"),(VROPS_Result="Excluded"),(VRA_Result="Excluded"))</formula>
    </cfRule>
  </conditionalFormatting>
  <conditionalFormatting sqref="F14:F26">
    <cfRule type="expression" dxfId="340" priority="41">
      <formula>(VROPS_Result="Excluded")</formula>
    </cfRule>
  </conditionalFormatting>
  <conditionalFormatting sqref="F14:F28">
    <cfRule type="notContainsBlanks" dxfId="339" priority="42">
      <formula>LEN(TRIM(F14))&gt;0</formula>
    </cfRule>
    <cfRule type="containsBlanks" dxfId="338" priority="43">
      <formula>LEN(TRIM(F14))=0</formula>
    </cfRule>
  </conditionalFormatting>
  <conditionalFormatting sqref="F23:F26">
    <cfRule type="expression" dxfId="337" priority="44">
      <formula>AND((VRLI_Result="Excluded"),(VROPS_Result="Excluded"),(VRA_Result="Excluded"))</formula>
    </cfRule>
  </conditionalFormatting>
  <conditionalFormatting sqref="F32:F41">
    <cfRule type="notContainsBlanks" dxfId="336" priority="45">
      <formula>LEN(TRIM(F32))&gt;0</formula>
    </cfRule>
    <cfRule type="containsBlanks" dxfId="335" priority="46">
      <formula>LEN(TRIM(F32))=0</formula>
    </cfRule>
    <cfRule type="expression" dxfId="334" priority="47">
      <formula>(VROPS_Result="Excluded")</formula>
    </cfRule>
    <cfRule type="expression" dxfId="333" priority="48">
      <formula>AND((VRLI_Result="Excluded"),(VROPS_Result="Excluded"),(VRA_Result="Excluded"))</formula>
    </cfRule>
  </conditionalFormatting>
  <conditionalFormatting sqref="F45:F49">
    <cfRule type="expression" dxfId="332" priority="49">
      <formula>AND((VRLI_Result="Excluded"),(VROPS_Result="Excluded"),(VRA_Result="Excluded"))</formula>
    </cfRule>
  </conditionalFormatting>
  <conditionalFormatting sqref="F45:F56">
    <cfRule type="expression" dxfId="331" priority="50">
      <formula>(VROPS_Result="Excluded")</formula>
    </cfRule>
  </conditionalFormatting>
  <conditionalFormatting sqref="F45:F58">
    <cfRule type="notContainsBlanks" dxfId="330" priority="51">
      <formula>LEN(TRIM(F45))&gt;0</formula>
    </cfRule>
    <cfRule type="containsBlanks" dxfId="329" priority="52">
      <formula>LEN(TRIM(F45))=0</formula>
    </cfRule>
  </conditionalFormatting>
  <conditionalFormatting sqref="F50:F56">
    <cfRule type="expression" dxfId="328" priority="53">
      <formula>AND((VRLI_Result="Excluded"),(VROPS_Result="Excluded"),(VRA_Result="Excluded"))</formula>
    </cfRule>
  </conditionalFormatting>
  <conditionalFormatting sqref="F62">
    <cfRule type="expression" dxfId="327" priority="54">
      <formula>AND((VRLI_Result="Excluded"),(VROPS_Result="Excluded"),(VRA_Result="Excluded"))</formula>
    </cfRule>
  </conditionalFormatting>
  <conditionalFormatting sqref="F62:F63">
    <cfRule type="containsBlanks" dxfId="326" priority="56">
      <formula>LEN(TRIM(F62))=0</formula>
    </cfRule>
    <cfRule type="notContainsBlanks" dxfId="325" priority="55">
      <formula>LEN(TRIM(F62))&gt;0</formula>
    </cfRule>
    <cfRule type="expression" dxfId="324" priority="57">
      <formula>(VROPS_Result="Excluded")</formula>
    </cfRule>
  </conditionalFormatting>
  <conditionalFormatting sqref="F63">
    <cfRule type="expression" dxfId="323" priority="58">
      <formula>AND((VRLI_Result="Excluded"),(VROPS_Result="Excluded"),(VRA_Result="Excluded"))</formula>
    </cfRule>
  </conditionalFormatting>
  <conditionalFormatting sqref="F67:F68">
    <cfRule type="notContainsBlanks" dxfId="322" priority="59">
      <formula>LEN(TRIM(F67))&gt;0</formula>
    </cfRule>
    <cfRule type="containsBlanks" dxfId="321" priority="60">
      <formula>LEN(TRIM(F67))=0</formula>
    </cfRule>
    <cfRule type="expression" dxfId="320" priority="61">
      <formula>(VROPS_Result="Excluded")</formula>
    </cfRule>
    <cfRule type="expression" dxfId="319" priority="62">
      <formula>AND((VRLI_Result="Excluded"),(VROPS_Result="Excluded"),(VRA_Result="Excluded"))</formula>
    </cfRule>
  </conditionalFormatting>
  <conditionalFormatting sqref="F72">
    <cfRule type="notContainsBlanks" dxfId="318" priority="63">
      <formula>LEN(TRIM(F72))&gt;0</formula>
    </cfRule>
    <cfRule type="containsBlanks" dxfId="317" priority="64">
      <formula>LEN(TRIM(F72))=0</formula>
    </cfRule>
    <cfRule type="expression" dxfId="316" priority="65">
      <formula>(VROPS_Result="Excluded")</formula>
    </cfRule>
    <cfRule type="expression" dxfId="315" priority="66">
      <formula>AND((VRLI_Result="Excluded"),(VROPS_Result="Excluded"),(VRA_Result="Excluded"))</formula>
    </cfRule>
  </conditionalFormatting>
  <conditionalFormatting sqref="F74:F79">
    <cfRule type="expression" dxfId="314" priority="67">
      <formula>AND((VRLI_Result="Excluded"),(VROPS_Result="Excluded"),(VRA_Result="Excluded"))</formula>
    </cfRule>
  </conditionalFormatting>
  <conditionalFormatting sqref="F74:F80">
    <cfRule type="containsBlanks" dxfId="313" priority="69">
      <formula>LEN(TRIM(F74))=0</formula>
    </cfRule>
    <cfRule type="notContainsBlanks" dxfId="312" priority="68">
      <formula>LEN(TRIM(F74))&gt;0</formula>
    </cfRule>
    <cfRule type="expression" dxfId="311" priority="70">
      <formula>(VROPS_Result="Excluded")</formula>
    </cfRule>
  </conditionalFormatting>
  <conditionalFormatting sqref="F80 C99 F100:F106 C123 F82:F88 F90:F96">
    <cfRule type="expression" dxfId="310" priority="71">
      <formula>AND((VRLI_Result="Excluded"),(VROPS_Result="Excluded"),(VRA_Result="Excluded"))</formula>
    </cfRule>
  </conditionalFormatting>
  <conditionalFormatting sqref="F82:F88">
    <cfRule type="notContainsBlanks" dxfId="309" priority="73">
      <formula>LEN(TRIM(F82))&gt;0</formula>
    </cfRule>
    <cfRule type="containsBlanks" dxfId="308" priority="74">
      <formula>LEN(TRIM(F82))=0</formula>
    </cfRule>
    <cfRule type="expression" dxfId="307" priority="75">
      <formula>(VROPS_Result="Excluded")</formula>
    </cfRule>
  </conditionalFormatting>
  <conditionalFormatting sqref="F90:F96">
    <cfRule type="notContainsBlanks" dxfId="306" priority="77">
      <formula>LEN(TRIM(F90))&gt;0</formula>
    </cfRule>
    <cfRule type="containsBlanks" dxfId="305" priority="78">
      <formula>LEN(TRIM(F90))=0</formula>
    </cfRule>
    <cfRule type="expression" dxfId="304" priority="79">
      <formula>(VROPS_Result="Excluded")</formula>
    </cfRule>
  </conditionalFormatting>
  <conditionalFormatting sqref="F115:F120">
    <cfRule type="notContainsBlanks" dxfId="303" priority="80">
      <formula>LEN(TRIM(F115))&gt;0</formula>
    </cfRule>
    <cfRule type="containsBlanks" dxfId="302" priority="81">
      <formula>LEN(TRIM(F115))=0</formula>
    </cfRule>
    <cfRule type="expression" dxfId="301" priority="82">
      <formula>(VROPS_Result="Excluded")</formula>
    </cfRule>
    <cfRule type="expression" dxfId="300" priority="83">
      <formula>AND((VRLI_Result="Excluded"),(VROPS_Result="Excluded"),(VRA_Result="Excluded"))</formula>
    </cfRule>
  </conditionalFormatting>
  <conditionalFormatting sqref="F126:F130">
    <cfRule type="containsBlanks" dxfId="299" priority="86">
      <formula>LEN(TRIM(F126))=0</formula>
    </cfRule>
    <cfRule type="notContainsBlanks" dxfId="298" priority="85">
      <formula>LEN(TRIM(F126))&gt;0</formula>
    </cfRule>
    <cfRule type="expression" dxfId="297" priority="87">
      <formula>(VROPS_Result="Excluded")</formula>
    </cfRule>
  </conditionalFormatting>
  <conditionalFormatting sqref="F136:F141">
    <cfRule type="expression" dxfId="296" priority="88">
      <formula>(VROPS_Result="Excluded")</formula>
    </cfRule>
    <cfRule type="expression" dxfId="295" priority="89">
      <formula>AND((VRLI_Result="Excluded"),(VROPS_Result="Excluded"),(VRA_Result="Excluded"))</formula>
    </cfRule>
  </conditionalFormatting>
  <conditionalFormatting sqref="F136:F144 C240:C250 C252:C259 L254:L262">
    <cfRule type="notContainsBlanks" dxfId="294" priority="90">
      <formula>LEN(TRIM(C240))&gt;0</formula>
    </cfRule>
    <cfRule type="containsBlanks" dxfId="293" priority="91">
      <formula>LEN(TRIM(C240))=0</formula>
    </cfRule>
  </conditionalFormatting>
  <conditionalFormatting sqref="F148:F150">
    <cfRule type="expression" dxfId="292" priority="92">
      <formula>AND((VRLI_Result="Excluded"),(VROPS_Result="Excluded"),(VRA_Result="Excluded"))</formula>
    </cfRule>
  </conditionalFormatting>
  <conditionalFormatting sqref="F148:F162">
    <cfRule type="notContainsBlanks" dxfId="291" priority="93">
      <formula>LEN(TRIM(F148))&gt;0</formula>
    </cfRule>
    <cfRule type="containsBlanks" dxfId="290" priority="94">
      <formula>LEN(TRIM(F148))=0</formula>
    </cfRule>
    <cfRule type="expression" dxfId="289" priority="95">
      <formula>(VROPS_Result="Excluded")</formula>
    </cfRule>
  </conditionalFormatting>
  <conditionalFormatting sqref="F151:F156">
    <cfRule type="expression" dxfId="288" priority="96">
      <formula>AND((VRLI_Result="Excluded"),(VROPS_Result="Excluded"),(VRA_Result="Excluded"))</formula>
    </cfRule>
  </conditionalFormatting>
  <conditionalFormatting sqref="F164:F196 C261:C268">
    <cfRule type="notContainsBlanks" dxfId="287" priority="98">
      <formula>LEN(TRIM(C261))&gt;0</formula>
    </cfRule>
    <cfRule type="containsBlanks" dxfId="286" priority="99">
      <formula>LEN(TRIM(C261))=0</formula>
    </cfRule>
  </conditionalFormatting>
  <conditionalFormatting sqref="F176:F196">
    <cfRule type="expression" dxfId="285" priority="100">
      <formula>(VROPS_Result="Excluded")</formula>
    </cfRule>
  </conditionalFormatting>
  <conditionalFormatting sqref="F195:F196">
    <cfRule type="expression" dxfId="284" priority="101">
      <formula>AND((VRLI_Result="Excluded"),(VROPS_Result="Excluded"),(VRA_Result="Excluded"))</formula>
    </cfRule>
  </conditionalFormatting>
  <conditionalFormatting sqref="F200:F215">
    <cfRule type="notContainsBlanks" dxfId="283" priority="102">
      <formula>LEN(TRIM(F200))&gt;0</formula>
    </cfRule>
    <cfRule type="containsBlanks" dxfId="282" priority="103">
      <formula>LEN(TRIM(F200))=0</formula>
    </cfRule>
  </conditionalFormatting>
  <conditionalFormatting sqref="F218:F235">
    <cfRule type="notContainsBlanks" dxfId="281" priority="104">
      <formula>LEN(TRIM(F218))&gt;0</formula>
    </cfRule>
    <cfRule type="containsBlanks" dxfId="280" priority="105">
      <formula>LEN(TRIM(F218))=0</formula>
    </cfRule>
  </conditionalFormatting>
  <conditionalFormatting sqref="F240:F263">
    <cfRule type="notContainsBlanks" dxfId="279" priority="106">
      <formula>LEN(TRIM(F240))&gt;0</formula>
    </cfRule>
    <cfRule type="containsBlanks" dxfId="278" priority="107">
      <formula>LEN(TRIM(F240))=0</formula>
    </cfRule>
  </conditionalFormatting>
  <conditionalFormatting sqref="F265:F273">
    <cfRule type="notContainsBlanks" dxfId="277" priority="108">
      <formula>LEN(TRIM(F265))&gt;0</formula>
    </cfRule>
    <cfRule type="containsBlanks" dxfId="276" priority="109">
      <formula>LEN(TRIM(F265))=0</formula>
    </cfRule>
  </conditionalFormatting>
  <conditionalFormatting sqref="I8:I10 I12:I15 I17:I25 I27:I35 I37:I45 I57:I73 C156:C197">
    <cfRule type="notContainsBlanks" dxfId="275" priority="110">
      <formula>LEN(TRIM(C156))&gt;0</formula>
    </cfRule>
    <cfRule type="containsBlanks" dxfId="274" priority="111">
      <formula>LEN(TRIM(C156))=0</formula>
    </cfRule>
  </conditionalFormatting>
  <conditionalFormatting sqref="I17:I25 I27:I35 I37:I45">
    <cfRule type="notContainsBlanks" dxfId="273" priority="112">
      <formula>LEN(TRIM(I17))&gt;0</formula>
    </cfRule>
    <cfRule type="containsBlanks" dxfId="272" priority="113">
      <formula>LEN(TRIM(I17))=0</formula>
    </cfRule>
  </conditionalFormatting>
  <conditionalFormatting sqref="I47:I55">
    <cfRule type="notContainsBlanks" dxfId="271" priority="116">
      <formula>LEN(TRIM(I47))&gt;0</formula>
    </cfRule>
    <cfRule type="containsBlanks" dxfId="270" priority="115">
      <formula>LEN(TRIM(I47))=0</formula>
    </cfRule>
    <cfRule type="notContainsBlanks" dxfId="269" priority="114">
      <formula>LEN(TRIM(I47))&gt;0</formula>
    </cfRule>
    <cfRule type="containsBlanks" dxfId="268" priority="117">
      <formula>LEN(TRIM(I47))=0</formula>
    </cfRule>
  </conditionalFormatting>
  <conditionalFormatting sqref="I75:I124 C14:C33 O92:O129 C101:C106 C108:C113 C115:C120 C127:C133 C137:C144 I175:I194 L183:L224 I198:I218 I220:I227 I229:I236 I238:I244 L288:L330">
    <cfRule type="notContainsBlanks" dxfId="267" priority="168">
      <formula>LEN(TRIM(C14))&gt;0</formula>
    </cfRule>
  </conditionalFormatting>
  <conditionalFormatting sqref="I104:I124 I126:I129 I131:I134 I136:I139">
    <cfRule type="expression" dxfId="266" priority="118">
      <formula>AND((VRLI_Result="Excluded"),(VROPS_Result="Excluded"),(VRA_Result="Excluded"))</formula>
    </cfRule>
  </conditionalFormatting>
  <conditionalFormatting sqref="I126:I129 I131:I134 I136:I139">
    <cfRule type="containsBlanks" dxfId="265" priority="120">
      <formula>LEN(TRIM(I126))=0</formula>
    </cfRule>
    <cfRule type="expression" dxfId="264" priority="121">
      <formula>(VROPS_Result="Excluded")</formula>
    </cfRule>
    <cfRule type="notContainsBlanks" dxfId="263" priority="119">
      <formula>LEN(TRIM(I126))&gt;0</formula>
    </cfRule>
  </conditionalFormatting>
  <conditionalFormatting sqref="I141:I144 I146:I149">
    <cfRule type="notContainsBlanks" dxfId="262" priority="122">
      <formula>LEN(TRIM(I141))&gt;0</formula>
    </cfRule>
    <cfRule type="containsBlanks" dxfId="261" priority="123">
      <formula>LEN(TRIM(I141))=0</formula>
    </cfRule>
    <cfRule type="expression" dxfId="260" priority="124">
      <formula>(VROPS_Result="Excluded")</formula>
    </cfRule>
    <cfRule type="expression" dxfId="259" priority="125">
      <formula>AND((VRLI_Result="Excluded"),(VROPS_Result="Excluded"),(VRA_Result="Excluded"))</formula>
    </cfRule>
  </conditionalFormatting>
  <conditionalFormatting sqref="I151:I152">
    <cfRule type="expression" dxfId="258" priority="129">
      <formula>AND((VRLI_Result="Excluded"),(VROPS_Result="Excluded"),(VRA_Result="Excluded"))</formula>
    </cfRule>
    <cfRule type="expression" dxfId="257" priority="128">
      <formula>(VROPS_Result="Excluded")</formula>
    </cfRule>
    <cfRule type="containsBlanks" dxfId="256" priority="127">
      <formula>LEN(TRIM(I151))=0</formula>
    </cfRule>
    <cfRule type="notContainsBlanks" dxfId="255" priority="126">
      <formula>LEN(TRIM(I151))&gt;0</formula>
    </cfRule>
  </conditionalFormatting>
  <conditionalFormatting sqref="I154:I157">
    <cfRule type="expression" dxfId="254" priority="130">
      <formula>AND((VRLI_Result="Excluded"),(VROPS_Result="Excluded"),(VRA_Result="Excluded"))</formula>
    </cfRule>
  </conditionalFormatting>
  <conditionalFormatting sqref="I154:I171">
    <cfRule type="containsBlanks" dxfId="253" priority="132">
      <formula>LEN(TRIM(I154))=0</formula>
    </cfRule>
    <cfRule type="notContainsBlanks" dxfId="252" priority="131">
      <formula>LEN(TRIM(I154))&gt;0</formula>
    </cfRule>
  </conditionalFormatting>
  <conditionalFormatting sqref="I158:I171">
    <cfRule type="expression" dxfId="251" priority="133">
      <formula>AND((VRLI_Result="Excluded"),(VROPS_Result="Excluded"),(VRA_Result="Excluded"))</formula>
    </cfRule>
  </conditionalFormatting>
  <conditionalFormatting sqref="I246:I253">
    <cfRule type="notContainsBlanks" dxfId="250" priority="134">
      <formula>LEN(TRIM(I246))&gt;0</formula>
    </cfRule>
    <cfRule type="containsBlanks" dxfId="249" priority="135">
      <formula>LEN(TRIM(I246))=0</formula>
    </cfRule>
  </conditionalFormatting>
  <conditionalFormatting sqref="I246:I309">
    <cfRule type="notContainsBlanks" dxfId="248" priority="136">
      <formula>LEN(TRIM(I246))&gt;0</formula>
    </cfRule>
    <cfRule type="containsBlanks" dxfId="247" priority="137">
      <formula>LEN(TRIM(I246))=0</formula>
    </cfRule>
  </conditionalFormatting>
  <conditionalFormatting sqref="L39">
    <cfRule type="expression" dxfId="246" priority="138">
      <formula>AND((VRLI_Result="Excluded"),(VROPS_Result="Excluded"),(VRA_Result="Excluded"))</formula>
    </cfRule>
  </conditionalFormatting>
  <conditionalFormatting sqref="L60:L62">
    <cfRule type="expression" dxfId="245" priority="139">
      <formula>AND(VVD_Result="Excluded",ISBLANK(#REF!))</formula>
    </cfRule>
  </conditionalFormatting>
  <conditionalFormatting sqref="L66:L68">
    <cfRule type="expression" dxfId="244" priority="140">
      <formula>AND(VVD_Result="Excluded",ISBLANK(#REF!))</formula>
    </cfRule>
  </conditionalFormatting>
  <conditionalFormatting sqref="L97:L98 L111:L122">
    <cfRule type="expression" dxfId="243" priority="142">
      <formula>(VVD_Result="Excluded")</formula>
    </cfRule>
  </conditionalFormatting>
  <conditionalFormatting sqref="L100">
    <cfRule type="expression" dxfId="242" priority="143">
      <formula>OR((VROPS_Result="Excluded"),(VRA_Result="Excluded"))</formula>
    </cfRule>
  </conditionalFormatting>
  <conditionalFormatting sqref="L101">
    <cfRule type="expression" dxfId="241" priority="144">
      <formula>(VRLI_Result="Excluded")</formula>
    </cfRule>
  </conditionalFormatting>
  <conditionalFormatting sqref="L102">
    <cfRule type="expression" dxfId="240" priority="145">
      <formula>OR((VRLI_Result="Excluded"),(VROPS_Result="Excluded"))</formula>
    </cfRule>
  </conditionalFormatting>
  <conditionalFormatting sqref="L103:L106 L145:L151">
    <cfRule type="expression" dxfId="239" priority="149">
      <formula>(VRA_Result="Excluded")</formula>
    </cfRule>
  </conditionalFormatting>
  <conditionalFormatting sqref="L107">
    <cfRule type="expression" dxfId="238" priority="146">
      <formula>OR((VROPS_Result="Excluded"),(VRA_Result="Excluded"))</formula>
    </cfRule>
  </conditionalFormatting>
  <conditionalFormatting sqref="L126:L127">
    <cfRule type="expression" dxfId="237" priority="147">
      <formula>(VVD_Result="Excluded")</formula>
    </cfRule>
  </conditionalFormatting>
  <conditionalFormatting sqref="L131:L132">
    <cfRule type="expression" dxfId="236" priority="148">
      <formula>OR((VVD_Result="Excluded"),(tanzu_result="Excluded"))</formula>
    </cfRule>
  </conditionalFormatting>
  <conditionalFormatting sqref="L139:L141">
    <cfRule type="expression" dxfId="235" priority="220">
      <formula>(VROPS_Result="Excluded")</formula>
    </cfRule>
  </conditionalFormatting>
  <conditionalFormatting sqref="L164">
    <cfRule type="expression" dxfId="234" priority="150">
      <formula>(VVD_Result="Excluded")</formula>
    </cfRule>
  </conditionalFormatting>
  <conditionalFormatting sqref="L179">
    <cfRule type="expression" dxfId="233" priority="151">
      <formula>AND((VRLI_Result="Excluded"),(VROPS_Result="Excluded"),(VRA_Result="Excluded"))</formula>
    </cfRule>
  </conditionalFormatting>
  <conditionalFormatting sqref="L229">
    <cfRule type="notContainsBlanks" dxfId="232" priority="152">
      <formula>LEN(TRIM(L229))&gt;0</formula>
    </cfRule>
    <cfRule type="containsBlanks" dxfId="231" priority="153">
      <formula>LEN(TRIM(L229))=0</formula>
    </cfRule>
    <cfRule type="expression" dxfId="230" priority="154">
      <formula>(VROPS_Result="Excluded")</formula>
    </cfRule>
  </conditionalFormatting>
  <conditionalFormatting sqref="L234:L252">
    <cfRule type="notContainsBlanks" dxfId="229" priority="155">
      <formula>LEN(TRIM(L234))&gt;0</formula>
    </cfRule>
    <cfRule type="containsBlanks" dxfId="228" priority="156">
      <formula>LEN(TRIM(L234))=0</formula>
    </cfRule>
    <cfRule type="expression" dxfId="227" priority="157">
      <formula>(VROPS_Result="Excluded")</formula>
    </cfRule>
  </conditionalFormatting>
  <conditionalFormatting sqref="L269:L272">
    <cfRule type="notContainsBlanks" dxfId="226" priority="158">
      <formula>LEN(TRIM(L269))&gt;0</formula>
    </cfRule>
    <cfRule type="expression" dxfId="225" priority="160">
      <formula>(VROPS_Result="Excluded")</formula>
    </cfRule>
    <cfRule type="containsBlanks" dxfId="224" priority="159">
      <formula>LEN(TRIM(L269))=0</formula>
    </cfRule>
  </conditionalFormatting>
  <conditionalFormatting sqref="L274:L284">
    <cfRule type="notContainsBlanks" dxfId="223" priority="161">
      <formula>LEN(TRIM(L274))&gt;0</formula>
    </cfRule>
    <cfRule type="containsBlanks" dxfId="222" priority="162">
      <formula>LEN(TRIM(L274))=0</formula>
    </cfRule>
    <cfRule type="expression" dxfId="221" priority="163">
      <formula>(VROPS_Result="Excluded")</formula>
    </cfRule>
  </conditionalFormatting>
  <conditionalFormatting sqref="O8:O59">
    <cfRule type="notContainsBlanks" dxfId="220" priority="164">
      <formula>LEN(TRIM(O8))&gt;0</formula>
    </cfRule>
    <cfRule type="containsBlanks" dxfId="219" priority="165">
      <formula>LEN(TRIM(O8))=0</formula>
    </cfRule>
    <cfRule type="expression" dxfId="218" priority="166">
      <formula>(VROPS_Result="Excluded")</formula>
    </cfRule>
    <cfRule type="expression" dxfId="217" priority="167">
      <formula>AND((VRLI_Result="Excluded"),(VROPS_Result="Excluded"),(VRA_Result="Excluded"))</formula>
    </cfRule>
  </conditionalFormatting>
  <conditionalFormatting sqref="Q97">
    <cfRule type="expression" dxfId="216" priority="169">
      <formula>AND((VRLI_Result="Excluded"),(VROPS_Result="Excluded"),(VRA_Result="Excluded"))</formula>
    </cfRule>
  </conditionalFormatting>
  <conditionalFormatting sqref="Q104">
    <cfRule type="expression" dxfId="215" priority="170">
      <formula>AND((VRLI_Result="Excluded"),(VROPS_Result="Excluded"),(VRA_Result="Excluded"))</formula>
    </cfRule>
  </conditionalFormatting>
  <conditionalFormatting sqref="Q110">
    <cfRule type="expression" dxfId="214" priority="171">
      <formula>AND((VRLI_Result="Excluded"),(VROPS_Result="Excluded"),(VRA_Result="Excluded"))</formula>
    </cfRule>
  </conditionalFormatting>
  <conditionalFormatting sqref="Q115">
    <cfRule type="expression" dxfId="213" priority="172">
      <formula>AND((VRLI_Result="Excluded"),(VROPS_Result="Excluded"),(VRA_Result="Excluded"))</formula>
    </cfRule>
  </conditionalFormatting>
  <conditionalFormatting sqref="Q120">
    <cfRule type="expression" dxfId="212" priority="173">
      <formula>AND((VRLI_Result="Excluded"),(VROPS_Result="Excluded"),(VRA_Result="Excluded"))</formula>
    </cfRule>
  </conditionalFormatting>
  <conditionalFormatting sqref="Q125">
    <cfRule type="expression" dxfId="211" priority="174">
      <formula>AND((VRLI_Result="Excluded"),(VROPS_Result="Excluded"),(VRA_Result="Excluded"))</formula>
    </cfRule>
  </conditionalFormatting>
  <conditionalFormatting sqref="R8">
    <cfRule type="notContainsBlanks" dxfId="210" priority="176">
      <formula>LEN(TRIM(R8))&gt;0</formula>
    </cfRule>
    <cfRule type="containsBlanks" dxfId="209" priority="177">
      <formula>LEN(TRIM(R8))=0</formula>
    </cfRule>
    <cfRule type="expression" dxfId="208" priority="178">
      <formula>(VROPS_Result="Excluded")</formula>
    </cfRule>
  </conditionalFormatting>
  <conditionalFormatting sqref="R12">
    <cfRule type="notContainsBlanks" dxfId="207" priority="179">
      <formula>LEN(TRIM(R12))&gt;0</formula>
    </cfRule>
    <cfRule type="containsBlanks" dxfId="206" priority="180">
      <formula>LEN(TRIM(R12))=0</formula>
    </cfRule>
    <cfRule type="expression" dxfId="205" priority="181">
      <formula>(VROPS_Result="Excluded")</formula>
    </cfRule>
  </conditionalFormatting>
  <conditionalFormatting sqref="R16">
    <cfRule type="notContainsBlanks" dxfId="204" priority="182">
      <formula>LEN(TRIM(R16))&gt;0</formula>
    </cfRule>
    <cfRule type="containsBlanks" dxfId="203" priority="183">
      <formula>LEN(TRIM(R16))=0</formula>
    </cfRule>
    <cfRule type="expression" dxfId="202" priority="184">
      <formula>(VROPS_Result="Excluded")</formula>
    </cfRule>
  </conditionalFormatting>
  <conditionalFormatting sqref="R34:R41">
    <cfRule type="containsBlanks" dxfId="201" priority="186">
      <formula>LEN(TRIM(R34))=0</formula>
    </cfRule>
    <cfRule type="notContainsBlanks" dxfId="200" priority="185">
      <formula>LEN(TRIM(R34))&gt;0</formula>
    </cfRule>
    <cfRule type="expression" dxfId="199" priority="187">
      <formula>(VROPS_Result="Excluded")</formula>
    </cfRule>
    <cfRule type="expression" dxfId="198" priority="188">
      <formula>AND((VRLI_Result="Excluded"),(VROPS_Result="Excluded"),(VRA_Result="Excluded"))</formula>
    </cfRule>
  </conditionalFormatting>
  <conditionalFormatting sqref="R45">
    <cfRule type="notContainsBlanks" dxfId="197" priority="189">
      <formula>LEN(TRIM(R45))&gt;0</formula>
    </cfRule>
    <cfRule type="containsBlanks" dxfId="196" priority="190">
      <formula>LEN(TRIM(R45))=0</formula>
    </cfRule>
    <cfRule type="expression" dxfId="195" priority="191">
      <formula>(VROPS_Result="Excluded")</formula>
    </cfRule>
    <cfRule type="expression" dxfId="194" priority="192">
      <formula>AND((VRLI_Result="Excluded"),(VROPS_Result="Excluded"),(VRA_Result="Excluded"))</formula>
    </cfRule>
  </conditionalFormatting>
  <conditionalFormatting sqref="R49:R50">
    <cfRule type="notContainsBlanks" dxfId="193" priority="193">
      <formula>LEN(TRIM(R49))&gt;0</formula>
    </cfRule>
    <cfRule type="containsBlanks" dxfId="192" priority="194">
      <formula>LEN(TRIM(R49))=0</formula>
    </cfRule>
    <cfRule type="expression" dxfId="191" priority="195">
      <formula>(VROPS_Result="Excluded")</formula>
    </cfRule>
    <cfRule type="expression" dxfId="190" priority="196">
      <formula>AND((VRLI_Result="Excluded"),(VROPS_Result="Excluded"),(VRA_Result="Excluded"))</formula>
    </cfRule>
  </conditionalFormatting>
  <conditionalFormatting sqref="R54:R57">
    <cfRule type="expression" dxfId="189" priority="197">
      <formula>(VRLI_Result="Excluded")</formula>
    </cfRule>
  </conditionalFormatting>
  <conditionalFormatting sqref="R61:R64">
    <cfRule type="expression" dxfId="188" priority="198">
      <formula>(VRLI_Result="Excluded")</formula>
    </cfRule>
  </conditionalFormatting>
  <conditionalFormatting sqref="R68:R71">
    <cfRule type="expression" dxfId="187" priority="199">
      <formula>(VRLI_Result="Excluded")</formula>
    </cfRule>
  </conditionalFormatting>
  <conditionalFormatting sqref="R75:R79 U99:U118">
    <cfRule type="expression" dxfId="186" priority="217">
      <formula>(VROPS_Result="Excluded")</formula>
    </cfRule>
  </conditionalFormatting>
  <conditionalFormatting sqref="R83:R86 L99">
    <cfRule type="expression" dxfId="185" priority="200">
      <formula>(VROPS_Result="Excluded")</formula>
    </cfRule>
  </conditionalFormatting>
  <conditionalFormatting sqref="R83:R87">
    <cfRule type="notContainsBlanks" dxfId="184" priority="201">
      <formula>LEN(TRIM(R83))&gt;0</formula>
    </cfRule>
    <cfRule type="containsBlanks" dxfId="183" priority="202">
      <formula>LEN(TRIM(R83))=0</formula>
    </cfRule>
  </conditionalFormatting>
  <conditionalFormatting sqref="R91:R95">
    <cfRule type="notContainsBlanks" dxfId="182" priority="203">
      <formula>LEN(TRIM(R91))&gt;0</formula>
    </cfRule>
    <cfRule type="containsBlanks" dxfId="181" priority="204">
      <formula>LEN(TRIM(R91))=0</formula>
    </cfRule>
  </conditionalFormatting>
  <conditionalFormatting sqref="R132:R133">
    <cfRule type="expression" dxfId="180" priority="205">
      <formula>(VROPS_Result="Excluded")</formula>
    </cfRule>
  </conditionalFormatting>
  <conditionalFormatting sqref="R137:R138">
    <cfRule type="expression" dxfId="179" priority="206">
      <formula>(VRLI_Result="Excluded")</formula>
    </cfRule>
  </conditionalFormatting>
  <conditionalFormatting sqref="T6 R8 R12 K13 R16 L152:L160">
    <cfRule type="expression" dxfId="178" priority="175">
      <formula>AND((VRLI_Result="Excluded"),(VROPS_Result="Excluded"),(VRA_Result="Excluded"))</formula>
    </cfRule>
  </conditionalFormatting>
  <conditionalFormatting sqref="T38">
    <cfRule type="expression" dxfId="177" priority="207">
      <formula>AND((VRLI_Result="Excluded"),(VROPS_Result="Excluded"),(VRA_Result="Excluded"))</formula>
    </cfRule>
  </conditionalFormatting>
  <conditionalFormatting sqref="T46">
    <cfRule type="expression" dxfId="176" priority="208">
      <formula>AND((VRLI_Result="Excluded"),(VROPS_Result="Excluded"),(VRA_Result="Excluded"))</formula>
    </cfRule>
  </conditionalFormatting>
  <conditionalFormatting sqref="T121">
    <cfRule type="expression" dxfId="175" priority="209">
      <formula>AND((VRLI_Result="Excluded"),(VROPS_Result="Excluded"),(VRA_Result="Excluded"))</formula>
    </cfRule>
  </conditionalFormatting>
  <conditionalFormatting sqref="T151">
    <cfRule type="expression" dxfId="174" priority="210">
      <formula>AND((VRLI_Result="Excluded"),(VROPS_Result="Excluded"),(VRA_Result="Excluded"))</formula>
    </cfRule>
  </conditionalFormatting>
  <conditionalFormatting sqref="T186">
    <cfRule type="expression" dxfId="173" priority="211">
      <formula>AND((VRLI_Result="Excluded"),(VROPS_Result="Excluded"),(VRA_Result="Excluded"))</formula>
    </cfRule>
  </conditionalFormatting>
  <conditionalFormatting sqref="T58:U58">
    <cfRule type="expression" dxfId="172" priority="212">
      <formula>AND((VRLI_Result="Excluded"),(VROPS_Result="Excluded"),(VRA_Result="Excluded"))</formula>
    </cfRule>
  </conditionalFormatting>
  <conditionalFormatting sqref="T97:U97">
    <cfRule type="expression" dxfId="171" priority="213">
      <formula>AND((VRLI_Result="Excluded"),(VROPS_Result="Excluded"),(VRA_Result="Excluded"))</formula>
    </cfRule>
  </conditionalFormatting>
  <conditionalFormatting sqref="U48:U56">
    <cfRule type="expression" dxfId="170" priority="214">
      <formula>(VROPS_Result="Excluded")</formula>
    </cfRule>
  </conditionalFormatting>
  <conditionalFormatting sqref="U60:U95">
    <cfRule type="expression" dxfId="169" priority="216">
      <formula>(VROPS_Result="Excluded")</formula>
    </cfRule>
  </conditionalFormatting>
  <conditionalFormatting sqref="U187:U207">
    <cfRule type="notContainsBlanks" dxfId="168" priority="222">
      <formula>LEN(TRIM(U187))&gt;0</formula>
    </cfRule>
    <cfRule type="containsBlanks" dxfId="167" priority="223">
      <formula>LEN(TRIM(U187))=0</formula>
    </cfRule>
  </conditionalFormatting>
  <conditionalFormatting sqref="U208">
    <cfRule type="expression" dxfId="166" priority="224">
      <formula>mgmt_tier0_skip_chosen="Selected"</formula>
    </cfRule>
    <cfRule type="notContainsBlanks" dxfId="165" priority="225">
      <formula>LEN(TRIM(U208))&gt;0</formula>
    </cfRule>
    <cfRule type="containsBlanks" dxfId="164" priority="226">
      <formula>LEN(TRIM(U208))=0</formula>
    </cfRule>
  </conditionalFormatting>
  <conditionalFormatting sqref="AA48:AA60 L133:L138">
    <cfRule type="expression" dxfId="163" priority="227">
      <formula>AND((VRLI_Result="Excluded"),(VROPS_Result="Excluded"),(VRA_Result="Excluded"))</formula>
    </cfRule>
  </conditionalFormatting>
  <conditionalFormatting sqref="AA61">
    <cfRule type="expression" dxfId="162" priority="228">
      <formula>(mgmt_consolidated_chosen="Exclude")</formula>
    </cfRule>
    <cfRule type="expression" dxfId="161" priority="229">
      <formula>(mgmt_consolidated_chosen="Include")</formula>
    </cfRule>
  </conditionalFormatting>
  <dataValidations count="3">
    <dataValidation type="list" allowBlank="1" showErrorMessage="1" sqref="F7" xr:uid="{00000000-0002-0000-0A00-000000000000}">
      <formula1>"1,2,3"</formula1>
    </dataValidation>
    <dataValidation type="list" allowBlank="1" showErrorMessage="1" sqref="E10" xr:uid="{00000000-0002-0000-0A00-000001000000}">
      <formula1>"Include,Exclude"</formula1>
    </dataValidation>
    <dataValidation type="list" allowBlank="1" showErrorMessage="1" sqref="I8" xr:uid="{00000000-0002-0000-0A00-000002000000}">
      <formula1>"Workload Domain,MGMT Workload Domain"</formula1>
    </dataValidation>
  </dataValidations>
  <hyperlinks>
    <hyperlink ref="O52" r:id="rId1" xr:uid="{00000000-0004-0000-0A00-000000000000}"/>
    <hyperlink ref="L97" r:id="rId2" xr:uid="{00000000-0004-0000-0A00-000001000000}"/>
    <hyperlink ref="L98" r:id="rId3" xr:uid="{00000000-0004-0000-0A00-000002000000}"/>
  </hyperlinks>
  <pageMargins left="0.7" right="0.7" top="0.75" bottom="0.75" header="0.3" footer="0.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62"/>
  <sheetViews>
    <sheetView workbookViewId="0"/>
  </sheetViews>
  <sheetFormatPr baseColWidth="10" defaultColWidth="12.6640625" defaultRowHeight="13"/>
  <cols>
    <col min="1" max="1" width="11.83203125" customWidth="1"/>
    <col min="2" max="2" width="80.1640625" customWidth="1"/>
    <col min="3" max="3" width="42.83203125" customWidth="1"/>
    <col min="4" max="4" width="27.1640625" customWidth="1"/>
    <col min="5" max="5" width="82.1640625" customWidth="1"/>
    <col min="6" max="6" width="27" customWidth="1"/>
    <col min="7" max="7" width="20.6640625" customWidth="1"/>
    <col min="8" max="8" width="12.33203125" customWidth="1"/>
    <col min="9" max="26" width="11.83203125" customWidth="1"/>
  </cols>
  <sheetData>
    <row r="1" spans="1:26" ht="40" customHeight="1">
      <c r="A1" s="7"/>
      <c r="B1" s="203" t="s">
        <v>8173</v>
      </c>
      <c r="C1" s="183"/>
      <c r="D1" s="183"/>
      <c r="E1" s="183"/>
      <c r="F1" s="183"/>
      <c r="G1" s="183"/>
      <c r="H1" s="183"/>
      <c r="I1" s="183"/>
      <c r="J1" s="181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6" customHeight="1">
      <c r="A2" s="10"/>
      <c r="B2" s="219" t="s">
        <v>8174</v>
      </c>
      <c r="C2" s="183"/>
      <c r="D2" s="183"/>
      <c r="E2" s="183"/>
      <c r="F2" s="183"/>
      <c r="G2" s="183"/>
      <c r="H2" s="183"/>
      <c r="I2" s="183"/>
      <c r="J2" s="181"/>
      <c r="K2" s="7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6" customHeight="1">
      <c r="A3" s="7"/>
      <c r="B3" s="81" t="s">
        <v>8175</v>
      </c>
      <c r="C3" s="81" t="s">
        <v>8176</v>
      </c>
      <c r="D3" s="81" t="s">
        <v>8177</v>
      </c>
      <c r="E3" s="81" t="s">
        <v>8178</v>
      </c>
      <c r="F3" s="81" t="s">
        <v>8179</v>
      </c>
      <c r="G3" s="81" t="s">
        <v>8180</v>
      </c>
      <c r="H3" s="220" t="s">
        <v>8181</v>
      </c>
      <c r="I3" s="183"/>
      <c r="J3" s="181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6" customHeight="1">
      <c r="A4" s="27"/>
      <c r="B4" s="80" t="s">
        <v>6811</v>
      </c>
      <c r="C4" s="37" t="s">
        <v>7467</v>
      </c>
      <c r="D4" s="33" t="e">
        <f>CONCATENATE(this_instance,"-m01-vrms01")</f>
        <v>#REF!</v>
      </c>
      <c r="E4" s="13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26" customHeight="1">
      <c r="A5" s="7"/>
      <c r="B5" s="80"/>
      <c r="C5" s="37" t="s">
        <v>8182</v>
      </c>
      <c r="D5" s="33" t="s">
        <v>8182</v>
      </c>
      <c r="E5" s="82" t="s">
        <v>8182</v>
      </c>
      <c r="F5" s="33" t="e">
        <f>CONCATENATE(prefix_mgmt_az1_cidr,"16.125")</f>
        <v>#REF!</v>
      </c>
      <c r="G5" s="13"/>
      <c r="H5" s="221" t="s">
        <v>8183</v>
      </c>
      <c r="I5" s="183"/>
      <c r="J5" s="181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6" customHeight="1">
      <c r="A6" s="7"/>
      <c r="B6" s="80" t="s">
        <v>7642</v>
      </c>
      <c r="C6" s="37" t="s">
        <v>7467</v>
      </c>
      <c r="D6" s="7"/>
      <c r="E6" s="7"/>
      <c r="F6" s="33" t="e">
        <f>IF(mgmt_dpg_reuse_result="Included",CONCATENATE(prefix_mgmt_az1_cidr,"10.126"),CONCATENATE(prefix_mgmt_az1_cidr,"11.126"))</f>
        <v>#REF!</v>
      </c>
      <c r="G6" s="13"/>
      <c r="H6" s="221" t="s">
        <v>8184</v>
      </c>
      <c r="I6" s="183"/>
      <c r="J6" s="18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6" customHeight="1">
      <c r="A7" s="7"/>
      <c r="B7" s="80" t="s">
        <v>8185</v>
      </c>
      <c r="C7" s="37"/>
      <c r="D7" s="33" t="s">
        <v>8182</v>
      </c>
      <c r="E7" s="82" t="s">
        <v>8182</v>
      </c>
      <c r="F7" s="33" t="e">
        <f>IF(mgmt_vns_chosen="VLAN-Backed",CONCATENATE(prefix_mgmt_az1_cidr,"99.3"),CONCATENATE(prefix_xreg_cidr,".3"))</f>
        <v>#REF!</v>
      </c>
      <c r="G7" s="13"/>
      <c r="H7" s="221"/>
      <c r="I7" s="183"/>
      <c r="J7" s="181"/>
      <c r="K7" s="7"/>
      <c r="L7" s="7"/>
      <c r="M7" s="7"/>
      <c r="N7" s="7"/>
      <c r="O7" s="7"/>
      <c r="P7" s="7"/>
      <c r="Q7" s="30" t="s">
        <v>7539</v>
      </c>
      <c r="R7" s="37" t="s">
        <v>6450</v>
      </c>
      <c r="S7" s="13"/>
      <c r="T7" s="13"/>
      <c r="U7" s="7"/>
      <c r="V7" s="7"/>
      <c r="W7" s="7"/>
      <c r="X7" s="7"/>
      <c r="Y7" s="7"/>
      <c r="Z7" s="7"/>
    </row>
    <row r="8" spans="1:26" ht="26" customHeight="1">
      <c r="A8" s="7"/>
      <c r="B8" s="219" t="s">
        <v>8186</v>
      </c>
      <c r="C8" s="183"/>
      <c r="D8" s="183"/>
      <c r="E8" s="183"/>
      <c r="F8" s="183"/>
      <c r="G8" s="183"/>
      <c r="H8" s="183"/>
      <c r="I8" s="183"/>
      <c r="J8" s="181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6" customHeight="1">
      <c r="A9" s="7"/>
      <c r="B9" s="81" t="s">
        <v>8175</v>
      </c>
      <c r="C9" s="81" t="s">
        <v>8176</v>
      </c>
      <c r="D9" s="81" t="s">
        <v>8177</v>
      </c>
      <c r="E9" s="81" t="s">
        <v>8178</v>
      </c>
      <c r="F9" s="81" t="s">
        <v>8179</v>
      </c>
      <c r="G9" s="81" t="s">
        <v>8180</v>
      </c>
      <c r="H9" s="220" t="s">
        <v>8181</v>
      </c>
      <c r="I9" s="183"/>
      <c r="J9" s="181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6" customHeight="1">
      <c r="A10" s="7"/>
      <c r="B10" s="80" t="s">
        <v>6811</v>
      </c>
      <c r="C10" s="37" t="s">
        <v>7467</v>
      </c>
      <c r="D10" s="33" t="e">
        <f>CONCATENATE(this_instance,"-w0",wld_domain_number_chosen,"-vrms01")</f>
        <v>#REF!</v>
      </c>
      <c r="E10" s="13"/>
      <c r="F10" s="33" t="e">
        <f>IF(mgmt_dpg_reuse_result="Included",CONCATENATE(prefix_wld_az1_cidr,"10.125"),CONCATENATE(prefix_wld_az1_cidr,"11.125"))</f>
        <v>#REF!</v>
      </c>
      <c r="G10" s="13"/>
      <c r="H10" s="221" t="s">
        <v>8187</v>
      </c>
      <c r="I10" s="183"/>
      <c r="J10" s="181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1" customHeight="1">
      <c r="A11" s="7"/>
      <c r="B11" s="80"/>
      <c r="C11" s="37" t="s">
        <v>8182</v>
      </c>
      <c r="D11" s="33" t="s">
        <v>8182</v>
      </c>
      <c r="E11" s="82" t="s">
        <v>8182</v>
      </c>
      <c r="F11" s="33" t="e">
        <f>CONCATENATE(prefix_wld_az1_cidr,"16.125")</f>
        <v>#REF!</v>
      </c>
      <c r="G11" s="13"/>
      <c r="H11" s="221" t="s">
        <v>8188</v>
      </c>
      <c r="I11" s="183"/>
      <c r="J11" s="181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40" customHeight="1">
      <c r="A12" s="27"/>
      <c r="B12" s="80" t="s">
        <v>7642</v>
      </c>
      <c r="C12" s="37" t="s">
        <v>7467</v>
      </c>
      <c r="D12" s="33" t="e">
        <f>CONCATENATE(this_instance,"-w0",wld_domain_number_chosen,"-srm01")</f>
        <v>#REF!</v>
      </c>
      <c r="E12" s="13"/>
      <c r="F12" s="33" t="e">
        <f>IF(mgmt_dpg_reuse_result="Included",CONCATENATE(prefix_mgmt_az1_cidr,"10.",(127 + (30*(wld_domain_number_chosen - 1)))),CONCATENATE(prefix_mgmt_az1_cidr,"11.",(127 + (30*(wld_domain_number_chosen - 1)))))</f>
        <v>#REF!</v>
      </c>
      <c r="G12" s="13"/>
      <c r="H12" s="221" t="s">
        <v>8189</v>
      </c>
      <c r="I12" s="183"/>
      <c r="J12" s="181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40" customHeight="1">
      <c r="A13" s="2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26" customHeight="1">
      <c r="A14" s="7"/>
      <c r="B14" s="180" t="s">
        <v>8190</v>
      </c>
      <c r="C14" s="183"/>
      <c r="D14" s="183"/>
      <c r="E14" s="181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6" customHeight="1">
      <c r="A15" s="10"/>
      <c r="B15" s="12" t="s">
        <v>6780</v>
      </c>
      <c r="C15" s="12" t="s">
        <v>8191</v>
      </c>
      <c r="D15" s="79" t="s">
        <v>6943</v>
      </c>
      <c r="E15" s="12" t="s">
        <v>8181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6" customHeight="1">
      <c r="A16" s="7"/>
      <c r="B16" s="222" t="s">
        <v>8192</v>
      </c>
      <c r="C16" s="183"/>
      <c r="D16" s="183"/>
      <c r="E16" s="181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6" customHeight="1">
      <c r="A17" s="27"/>
      <c r="B17" s="30" t="s">
        <v>7379</v>
      </c>
      <c r="C17" s="37" t="e">
        <f>CONCATENATE(other_instance,"-vcf01.",other_instance,".",sample_parent_dns_zone)</f>
        <v>#REF!</v>
      </c>
      <c r="D17" s="13"/>
      <c r="E17" s="13"/>
      <c r="F17" s="27"/>
      <c r="G17" s="27"/>
      <c r="H17" s="27"/>
      <c r="I17" s="2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6" customHeight="1">
      <c r="A18" s="7"/>
      <c r="B18" s="30" t="s">
        <v>7384</v>
      </c>
      <c r="C18" s="37" t="s">
        <v>7398</v>
      </c>
      <c r="D18" s="13"/>
      <c r="E18" s="13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6" customHeight="1">
      <c r="A19" s="7"/>
      <c r="B19" s="30" t="s">
        <v>7388</v>
      </c>
      <c r="C19" s="37" t="s">
        <v>6763</v>
      </c>
      <c r="D19" s="13"/>
      <c r="E19" s="13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6" customHeight="1">
      <c r="A20" s="7"/>
      <c r="B20" s="30" t="s">
        <v>7404</v>
      </c>
      <c r="C20" s="7"/>
      <c r="D20" s="7"/>
      <c r="E20" s="13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6" customHeight="1">
      <c r="A21" s="7"/>
      <c r="B21" s="30" t="s">
        <v>7410</v>
      </c>
      <c r="C21" s="27"/>
      <c r="D21" s="27"/>
      <c r="E21" s="13"/>
      <c r="F21" s="7"/>
      <c r="G21" s="7"/>
      <c r="H21" s="7"/>
      <c r="I21" s="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26" customHeight="1">
      <c r="A22" s="7"/>
      <c r="B22" s="30" t="s">
        <v>7416</v>
      </c>
      <c r="C22" s="7"/>
      <c r="D22" s="7"/>
      <c r="E22" s="13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6" customHeight="1">
      <c r="A23" s="7"/>
      <c r="B23" s="30" t="s">
        <v>7422</v>
      </c>
      <c r="C23" s="7"/>
      <c r="D23" s="7"/>
      <c r="E23" s="13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6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6" customHeight="1">
      <c r="A25" s="27"/>
      <c r="B25" s="180" t="s">
        <v>8193</v>
      </c>
      <c r="C25" s="183"/>
      <c r="D25" s="183"/>
      <c r="E25" s="181"/>
      <c r="F25" s="27"/>
      <c r="G25" s="27"/>
      <c r="H25" s="27"/>
      <c r="I25" s="2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6" customHeight="1">
      <c r="A26" s="7"/>
      <c r="B26" s="12" t="s">
        <v>6780</v>
      </c>
      <c r="C26" s="12" t="s">
        <v>8191</v>
      </c>
      <c r="D26" s="79" t="s">
        <v>6943</v>
      </c>
      <c r="E26" s="12" t="s">
        <v>8181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6" customHeight="1">
      <c r="A27" s="7"/>
      <c r="B27" s="222" t="s">
        <v>8194</v>
      </c>
      <c r="C27" s="183"/>
      <c r="D27" s="183"/>
      <c r="E27" s="181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6" customHeight="1">
      <c r="A28" s="7"/>
      <c r="B28" s="30" t="s">
        <v>8195</v>
      </c>
      <c r="C28" s="37" t="e">
        <f>CONCATENATE(this_instance,"-m01-fd-vrms")</f>
        <v>#REF!</v>
      </c>
      <c r="D28" s="13"/>
      <c r="E28" s="13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6" customHeight="1">
      <c r="A29" s="7"/>
      <c r="B29" s="30" t="s">
        <v>8196</v>
      </c>
      <c r="C29" s="37" t="s">
        <v>6763</v>
      </c>
      <c r="D29" s="13"/>
      <c r="E29" s="13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6" customHeight="1">
      <c r="A30" s="7"/>
      <c r="B30" s="30" t="s">
        <v>8197</v>
      </c>
      <c r="C30" s="37" t="s">
        <v>6763</v>
      </c>
      <c r="D30" s="13"/>
      <c r="E30" s="13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6" customHeight="1">
      <c r="A31" s="7"/>
      <c r="B31" s="30" t="s">
        <v>8198</v>
      </c>
      <c r="C31" s="7"/>
      <c r="D31" s="7"/>
      <c r="E31" s="13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6" customHeight="1">
      <c r="A32" s="7"/>
      <c r="B32" s="30" t="s">
        <v>8199</v>
      </c>
      <c r="C32" s="7"/>
      <c r="D32" s="7"/>
      <c r="E32" s="13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6" customHeight="1">
      <c r="A33" s="27"/>
      <c r="B33" s="30" t="s">
        <v>8200</v>
      </c>
      <c r="C33" s="7"/>
      <c r="D33" s="7"/>
      <c r="E33" s="13"/>
      <c r="F33" s="27"/>
      <c r="G33" s="27"/>
      <c r="H33" s="27"/>
      <c r="I33" s="2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6" customHeight="1">
      <c r="A34" s="7"/>
      <c r="B34" s="30" t="s">
        <v>8201</v>
      </c>
      <c r="C34" s="37" t="s">
        <v>6763</v>
      </c>
      <c r="D34" s="13"/>
      <c r="E34" s="13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6" customHeight="1">
      <c r="A35" s="7"/>
      <c r="B35" s="222" t="s">
        <v>7642</v>
      </c>
      <c r="C35" s="183"/>
      <c r="D35" s="183"/>
      <c r="E35" s="181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6" customHeight="1">
      <c r="A36" s="7"/>
      <c r="B36" s="30" t="s">
        <v>8195</v>
      </c>
      <c r="C36" s="37" t="e">
        <f>CONCATENATE(this_instance,"-m01-fd-srm")</f>
        <v>#REF!</v>
      </c>
      <c r="D36" s="13"/>
      <c r="E36" s="1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6" customHeight="1">
      <c r="A37" s="7"/>
      <c r="B37" s="30" t="s">
        <v>8196</v>
      </c>
      <c r="C37" s="84" t="s">
        <v>6709</v>
      </c>
      <c r="D37" s="13"/>
      <c r="E37" s="13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6" customHeight="1">
      <c r="A38" s="7"/>
      <c r="B38" s="30" t="s">
        <v>8197</v>
      </c>
      <c r="C38" s="84" t="s">
        <v>6763</v>
      </c>
      <c r="D38" s="13"/>
      <c r="E38" s="13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6" customHeight="1">
      <c r="A39" s="7"/>
      <c r="B39" s="30" t="s">
        <v>8202</v>
      </c>
      <c r="C39" s="37" t="s">
        <v>6763</v>
      </c>
      <c r="D39" s="13"/>
      <c r="E39" s="13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6" customHeight="1">
      <c r="A40" s="7"/>
      <c r="B40" s="30" t="s">
        <v>8198</v>
      </c>
      <c r="C40" s="37" t="e">
        <f>UPPER(sample_mgmt_sddc_domain)</f>
        <v>#REF!</v>
      </c>
      <c r="D40" s="13"/>
      <c r="E40" s="13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6" customHeight="1">
      <c r="A41" s="7"/>
      <c r="B41" s="30" t="s">
        <v>8199</v>
      </c>
      <c r="C41" s="37" t="e">
        <f>CONCATENATE("srm-administrator@",sample_parent_dns_zone)</f>
        <v>#REF!</v>
      </c>
      <c r="D41" s="13"/>
      <c r="E41" s="13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6" customHeight="1">
      <c r="A42" s="7"/>
      <c r="B42" s="30" t="s">
        <v>8201</v>
      </c>
      <c r="C42" s="37" t="s">
        <v>6763</v>
      </c>
      <c r="D42" s="13"/>
      <c r="E42" s="13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6" customHeight="1">
      <c r="A43" s="7"/>
      <c r="B43" s="30" t="s">
        <v>7506</v>
      </c>
      <c r="C43" s="7"/>
      <c r="D43" s="7"/>
      <c r="E43" s="13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6" customHeight="1">
      <c r="A44" s="7"/>
      <c r="B44" s="30" t="s">
        <v>7511</v>
      </c>
      <c r="C44" s="7"/>
      <c r="D44" s="7"/>
      <c r="E44" s="13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6" customHeight="1">
      <c r="A45" s="7"/>
      <c r="B45" s="30" t="s">
        <v>7514</v>
      </c>
      <c r="C45" s="7"/>
      <c r="D45" s="7"/>
      <c r="E45" s="13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6" customHeight="1">
      <c r="A46" s="7"/>
      <c r="B46" s="30" t="s">
        <v>8203</v>
      </c>
      <c r="C46" s="37" t="s">
        <v>8204</v>
      </c>
      <c r="D46" s="13"/>
      <c r="E46" s="13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6" customHeight="1">
      <c r="A47" s="7"/>
      <c r="B47" s="30" t="s">
        <v>8205</v>
      </c>
      <c r="C47" s="37" t="s">
        <v>8206</v>
      </c>
      <c r="D47" s="13"/>
      <c r="E47" s="13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6" customHeight="1">
      <c r="A48" s="7"/>
      <c r="B48" s="30" t="s">
        <v>7524</v>
      </c>
      <c r="C48" s="7"/>
      <c r="D48" s="7"/>
      <c r="E48" s="13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6" customHeight="1">
      <c r="A49" s="7"/>
      <c r="B49" s="30" t="s">
        <v>7527</v>
      </c>
      <c r="C49" s="7"/>
      <c r="D49" s="7"/>
      <c r="E49" s="13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6" customHeight="1">
      <c r="A50" s="7"/>
      <c r="B50" s="30" t="s">
        <v>7529</v>
      </c>
      <c r="C50" s="37" t="s">
        <v>8207</v>
      </c>
      <c r="D50" s="13"/>
      <c r="E50" s="13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6" customHeight="1">
      <c r="A51" s="7"/>
      <c r="B51" s="30" t="s">
        <v>7534</v>
      </c>
      <c r="C51" s="37" t="s">
        <v>8208</v>
      </c>
      <c r="D51" s="13"/>
      <c r="E51" s="13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6" customHeight="1">
      <c r="A52" s="7"/>
      <c r="B52" s="222" t="s">
        <v>8209</v>
      </c>
      <c r="C52" s="183"/>
      <c r="D52" s="183"/>
      <c r="E52" s="181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1" customHeight="1">
      <c r="A53" s="7"/>
      <c r="B53" s="30" t="s">
        <v>8210</v>
      </c>
      <c r="C53" s="37" t="s">
        <v>8211</v>
      </c>
      <c r="D53" s="13"/>
      <c r="E53" s="13" t="s">
        <v>8212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40" customHeight="1">
      <c r="A54" s="7"/>
      <c r="B54" s="222" t="s">
        <v>8192</v>
      </c>
      <c r="C54" s="183"/>
      <c r="D54" s="183"/>
      <c r="E54" s="181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6" customHeight="1">
      <c r="A55" s="7"/>
      <c r="B55" s="30" t="s">
        <v>7538</v>
      </c>
      <c r="C55" s="7"/>
      <c r="D55" s="7"/>
      <c r="E55" s="13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6" customHeight="1">
      <c r="A56" s="7"/>
      <c r="B56" s="30" t="s">
        <v>7541</v>
      </c>
      <c r="C56" s="7"/>
      <c r="D56" s="7"/>
      <c r="E56" s="13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6" customHeight="1">
      <c r="A57" s="7"/>
      <c r="B57" s="30" t="s">
        <v>7544</v>
      </c>
      <c r="C57" s="7"/>
      <c r="D57" s="7"/>
      <c r="E57" s="13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6" customHeight="1">
      <c r="A58" s="7"/>
      <c r="B58" s="30" t="s">
        <v>7549</v>
      </c>
      <c r="C58" s="37" t="e">
        <f>CONCATENATE(other_instance,"-m01")</f>
        <v>#REF!</v>
      </c>
      <c r="D58" s="13"/>
      <c r="E58" s="13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6" customHeight="1">
      <c r="A59" s="7"/>
      <c r="B59" s="30" t="s">
        <v>7553</v>
      </c>
      <c r="C59" s="37" t="e">
        <f>CONCATENATE(other_instance,"-m01")</f>
        <v>#REF!</v>
      </c>
      <c r="D59" s="13"/>
      <c r="E59" s="13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6" customHeight="1">
      <c r="A60" s="7"/>
      <c r="B60" s="30" t="s">
        <v>7558</v>
      </c>
      <c r="C60" s="37" t="e">
        <f>CONCATENATE(other_instance,"-m01-ec01")</f>
        <v>#REF!</v>
      </c>
      <c r="D60" s="13"/>
      <c r="E60" s="13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6" customHeight="1">
      <c r="A61" s="7"/>
      <c r="B61" s="30" t="s">
        <v>7562</v>
      </c>
      <c r="C61" s="7"/>
      <c r="D61" s="7"/>
      <c r="E61" s="13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6" customHeight="1">
      <c r="A62" s="7"/>
      <c r="B62" s="30" t="s">
        <v>7566</v>
      </c>
      <c r="C62" s="7"/>
      <c r="D62" s="7"/>
      <c r="E62" s="13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6" customHeight="1">
      <c r="A63" s="7"/>
      <c r="B63" s="30" t="s">
        <v>7571</v>
      </c>
      <c r="C63" s="37" t="e">
        <f>CONCATENATE(prefix_other_region_az1_cidr,"16.0/24")</f>
        <v>#REF!</v>
      </c>
      <c r="D63" s="13"/>
      <c r="E63" s="13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6" customHeight="1">
      <c r="A64" s="7"/>
      <c r="B64" s="30" t="s">
        <v>8213</v>
      </c>
      <c r="C64" s="37" t="s">
        <v>8214</v>
      </c>
      <c r="D64" s="13"/>
      <c r="E64" s="13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6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6" customHeight="1">
      <c r="A66" s="7"/>
      <c r="B66" s="180" t="s">
        <v>8215</v>
      </c>
      <c r="C66" s="183"/>
      <c r="D66" s="183"/>
      <c r="E66" s="181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6" customHeight="1">
      <c r="A67" s="7"/>
      <c r="B67" s="12" t="s">
        <v>6780</v>
      </c>
      <c r="C67" s="12" t="s">
        <v>6285</v>
      </c>
      <c r="D67" s="79" t="s">
        <v>6943</v>
      </c>
      <c r="E67" s="12" t="s">
        <v>8181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6" customHeight="1">
      <c r="A68" s="7"/>
      <c r="B68" s="222" t="s">
        <v>8194</v>
      </c>
      <c r="C68" s="183"/>
      <c r="D68" s="183"/>
      <c r="E68" s="181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6" customHeight="1">
      <c r="A69" s="7"/>
      <c r="B69" s="30" t="s">
        <v>8195</v>
      </c>
      <c r="C69" s="37" t="e">
        <f>CONCATENATE(this_instance,"-w0",wld_domain_number_chosen,"-fd-vrms")</f>
        <v>#REF!</v>
      </c>
      <c r="D69" s="13"/>
      <c r="E69" s="13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6" customHeight="1">
      <c r="A70" s="7"/>
      <c r="B70" s="30" t="s">
        <v>8196</v>
      </c>
      <c r="C70" s="37" t="s">
        <v>6763</v>
      </c>
      <c r="D70" s="13"/>
      <c r="E70" s="13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6" customHeight="1">
      <c r="A71" s="7"/>
      <c r="B71" s="30" t="s">
        <v>8197</v>
      </c>
      <c r="C71" s="37" t="s">
        <v>6763</v>
      </c>
      <c r="D71" s="13"/>
      <c r="E71" s="13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6" customHeight="1">
      <c r="A72" s="7"/>
      <c r="B72" s="30" t="s">
        <v>8198</v>
      </c>
      <c r="C72" s="37" t="e">
        <f>UPPER(sample_wld_sddc_domain)</f>
        <v>#REF!</v>
      </c>
      <c r="D72" s="13"/>
      <c r="E72" s="13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6" customHeight="1">
      <c r="A73" s="7"/>
      <c r="B73" s="30" t="s">
        <v>8199</v>
      </c>
      <c r="C73" s="37" t="e">
        <f>CONCATENATE("vrms-administrator@",sample_parent_dns_zone)</f>
        <v>#REF!</v>
      </c>
      <c r="D73" s="13"/>
      <c r="E73" s="13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6" customHeight="1">
      <c r="A74" s="7"/>
      <c r="B74" s="30" t="s">
        <v>8200</v>
      </c>
      <c r="C74" s="37" t="e">
        <f>CONCATENATE(this_instance,"-w01-cl01-vds01-pg-vrms")</f>
        <v>#REF!</v>
      </c>
      <c r="D74" s="13"/>
      <c r="E74" s="13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6" customHeight="1">
      <c r="A75" s="7"/>
      <c r="B75" s="30" t="s">
        <v>8201</v>
      </c>
      <c r="C75" s="37" t="s">
        <v>6763</v>
      </c>
      <c r="D75" s="13"/>
      <c r="E75" s="13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6" customHeight="1">
      <c r="A76" s="7"/>
      <c r="B76" s="222" t="s">
        <v>7642</v>
      </c>
      <c r="C76" s="183"/>
      <c r="D76" s="183"/>
      <c r="E76" s="181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6" customHeight="1">
      <c r="A77" s="7"/>
      <c r="B77" s="30" t="s">
        <v>8195</v>
      </c>
      <c r="C77" s="37" t="e">
        <f>CONCATENATE(this_instance,"-w0",wld_domain_number_chosen,"-fd-srm")</f>
        <v>#REF!</v>
      </c>
      <c r="D77" s="13"/>
      <c r="E77" s="13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1" customHeight="1">
      <c r="A78" s="7"/>
      <c r="B78" s="30" t="s">
        <v>8196</v>
      </c>
      <c r="C78" s="37" t="s">
        <v>6763</v>
      </c>
      <c r="D78" s="13"/>
      <c r="E78" s="13"/>
      <c r="F78" s="7"/>
      <c r="G78" s="7"/>
      <c r="H78" s="7"/>
      <c r="I78" s="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45" customHeight="1">
      <c r="A79" s="7"/>
      <c r="B79" s="30" t="s">
        <v>8197</v>
      </c>
      <c r="C79" s="37" t="s">
        <v>6763</v>
      </c>
      <c r="D79" s="13"/>
      <c r="E79" s="13"/>
      <c r="F79" s="7"/>
      <c r="G79" s="7"/>
      <c r="H79" s="7"/>
      <c r="I79" s="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21" customHeight="1">
      <c r="A80" s="7"/>
      <c r="B80" s="30" t="s">
        <v>8202</v>
      </c>
      <c r="C80" s="37" t="s">
        <v>6763</v>
      </c>
      <c r="D80" s="13"/>
      <c r="E80" s="13"/>
      <c r="F80" s="7"/>
      <c r="G80" s="7"/>
      <c r="H80" s="7"/>
      <c r="I80" s="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45" customHeight="1">
      <c r="A81" s="7"/>
      <c r="B81" s="30" t="s">
        <v>8198</v>
      </c>
      <c r="C81" s="37" t="e">
        <f>UPPER(sample_wld_sddc_domain)</f>
        <v>#REF!</v>
      </c>
      <c r="D81" s="13"/>
      <c r="E81" s="13"/>
      <c r="F81" s="7"/>
      <c r="G81" s="7"/>
      <c r="H81" s="7"/>
      <c r="I81" s="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21" customHeight="1">
      <c r="A82" s="7"/>
      <c r="B82" s="30" t="s">
        <v>8199</v>
      </c>
      <c r="C82" s="37" t="e">
        <f>CONCATENATE("srm-administrator@",sample_parent_dns_zone)</f>
        <v>#REF!</v>
      </c>
      <c r="D82" s="13"/>
      <c r="E82" s="13"/>
      <c r="F82" s="7"/>
      <c r="G82" s="7"/>
      <c r="H82" s="7"/>
      <c r="I82" s="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45" customHeight="1">
      <c r="A83" s="7"/>
      <c r="B83" s="30" t="s">
        <v>8201</v>
      </c>
      <c r="C83" s="37" t="s">
        <v>6763</v>
      </c>
      <c r="D83" s="13"/>
      <c r="E83" s="13"/>
      <c r="F83" s="7"/>
      <c r="G83" s="7"/>
      <c r="H83" s="7"/>
      <c r="I83" s="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26" customHeight="1">
      <c r="A84" s="7"/>
      <c r="B84" s="222" t="s">
        <v>8192</v>
      </c>
      <c r="C84" s="183"/>
      <c r="D84" s="183"/>
      <c r="E84" s="181"/>
      <c r="F84" s="7"/>
      <c r="G84" s="7"/>
      <c r="H84" s="7"/>
      <c r="I84" s="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26" customHeight="1">
      <c r="A85" s="7"/>
      <c r="B85" s="30" t="s">
        <v>7538</v>
      </c>
      <c r="C85" s="37" t="e">
        <f>CONCATENATE(other_instance,"-w01-vc01.",other_instance,".",sample_parent_dns_zone)</f>
        <v>#REF!</v>
      </c>
      <c r="D85" s="13"/>
      <c r="E85" s="13"/>
      <c r="F85" s="7"/>
      <c r="G85" s="7"/>
      <c r="H85" s="7"/>
      <c r="I85" s="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26" customHeight="1">
      <c r="A86" s="7"/>
      <c r="B86" s="30" t="s">
        <v>7541</v>
      </c>
      <c r="C86" s="37" t="s">
        <v>7398</v>
      </c>
      <c r="D86" s="13"/>
      <c r="E86" s="13"/>
      <c r="F86" s="7"/>
      <c r="G86" s="7"/>
      <c r="H86" s="7"/>
      <c r="I86" s="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26" customHeight="1">
      <c r="A87" s="7"/>
      <c r="B87" s="30" t="s">
        <v>7544</v>
      </c>
      <c r="C87" s="37" t="s">
        <v>6763</v>
      </c>
      <c r="D87" s="13"/>
      <c r="E87" s="13"/>
      <c r="F87" s="7"/>
      <c r="G87" s="7"/>
      <c r="H87" s="7"/>
      <c r="I87" s="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21" customHeight="1">
      <c r="A88" s="7"/>
      <c r="B88" s="30" t="s">
        <v>7571</v>
      </c>
      <c r="C88" s="37" t="e">
        <f>CONCATENATE(prefix_other_region_az1_cidr,"9.0/24")</f>
        <v>#REF!</v>
      </c>
      <c r="D88" s="13"/>
      <c r="E88" s="13"/>
      <c r="F88" s="7"/>
      <c r="G88" s="7"/>
      <c r="H88" s="7"/>
      <c r="I88" s="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45" customHeight="1">
      <c r="A89" s="7"/>
      <c r="B89" s="30" t="s">
        <v>8213</v>
      </c>
      <c r="C89" s="37" t="s">
        <v>8214</v>
      </c>
      <c r="D89" s="13"/>
      <c r="E89" s="13"/>
      <c r="F89" s="7"/>
      <c r="G89" s="7"/>
      <c r="H89" s="7"/>
      <c r="I89" s="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3" spans="1:26" ht="26" customHeight="1">
      <c r="A93" s="27"/>
      <c r="B93" s="218" t="s">
        <v>8216</v>
      </c>
      <c r="C93" s="183"/>
      <c r="D93" s="183"/>
      <c r="E93" s="181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26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26" customHeight="1">
      <c r="A95" s="27"/>
      <c r="B95" s="205" t="s">
        <v>8217</v>
      </c>
      <c r="C95" s="183"/>
      <c r="D95" s="183"/>
      <c r="E95" s="181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21" customHeight="1">
      <c r="A96" s="27"/>
      <c r="B96" s="88" t="s">
        <v>6780</v>
      </c>
      <c r="C96" s="88" t="s">
        <v>8191</v>
      </c>
      <c r="D96" s="88" t="s">
        <v>6943</v>
      </c>
      <c r="E96" s="88" t="s">
        <v>8181</v>
      </c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45" customHeight="1">
      <c r="A97" s="27"/>
      <c r="B97" s="30" t="s">
        <v>8218</v>
      </c>
      <c r="C97" s="31" t="e">
        <f>sample_mgmt_vc_fqdn</f>
        <v>#REF!</v>
      </c>
      <c r="D97" s="13" t="e">
        <f>mgmt_vc_fqdn</f>
        <v>#REF!</v>
      </c>
      <c r="E97" s="15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26" customHeight="1">
      <c r="A98" s="27"/>
      <c r="B98" s="30" t="s">
        <v>8219</v>
      </c>
      <c r="C98" s="31" t="s">
        <v>8220</v>
      </c>
      <c r="D98" s="13">
        <f>vrslcm_xreg_vm_folder</f>
        <v>0</v>
      </c>
      <c r="E98" s="15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26" customHeight="1">
      <c r="A99" s="27"/>
      <c r="B99" s="30" t="s">
        <v>8221</v>
      </c>
      <c r="C99" s="27"/>
      <c r="D99" s="27"/>
      <c r="E99" s="15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26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26" customHeight="1">
      <c r="A101" s="27"/>
      <c r="B101" s="205" t="s">
        <v>8222</v>
      </c>
      <c r="C101" s="183"/>
      <c r="D101" s="183"/>
      <c r="E101" s="181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26" customHeight="1">
      <c r="A102" s="27"/>
      <c r="B102" s="88" t="s">
        <v>6780</v>
      </c>
      <c r="C102" s="88" t="s">
        <v>8191</v>
      </c>
      <c r="D102" s="88" t="s">
        <v>6943</v>
      </c>
      <c r="E102" s="88" t="s">
        <v>8181</v>
      </c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26" customHeight="1">
      <c r="A103" s="27"/>
      <c r="B103" s="89" t="s">
        <v>8223</v>
      </c>
      <c r="C103" s="31" t="e">
        <f>sample_mgmt_srm_recovery_vcenter_fqdn</f>
        <v>#REF!</v>
      </c>
      <c r="D103" s="90" t="str">
        <f>mgmt_srm_recovery_vcenter_fqdn</f>
        <v>Value Missing</v>
      </c>
      <c r="E103" s="91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26" customHeight="1">
      <c r="A104" s="27"/>
      <c r="B104" s="80" t="s">
        <v>8224</v>
      </c>
      <c r="C104" s="31" t="str">
        <f t="array" ref="C104">sample_vrslcm_xreg_vm_folder</f>
        <v>xint-m01-fd-lcm</v>
      </c>
      <c r="D104" s="13"/>
      <c r="E104" s="15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26" customHeight="1">
      <c r="A105" s="27"/>
      <c r="B105" s="30" t="s">
        <v>8225</v>
      </c>
      <c r="C105" s="31" t="s">
        <v>8226</v>
      </c>
      <c r="D105" s="13"/>
      <c r="E105" s="15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26" customHeight="1">
      <c r="A106" s="27"/>
      <c r="B106" s="30" t="s">
        <v>8227</v>
      </c>
      <c r="C106" s="31" t="s">
        <v>8228</v>
      </c>
      <c r="D106" s="13"/>
      <c r="E106" s="15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26" customHeight="1">
      <c r="A107" s="27"/>
      <c r="B107" s="80" t="s">
        <v>8229</v>
      </c>
      <c r="C107" s="31" t="s">
        <v>8230</v>
      </c>
      <c r="D107" s="13"/>
      <c r="E107" s="15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21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45" customHeight="1">
      <c r="A109" s="27"/>
      <c r="B109" s="205" t="s">
        <v>8231</v>
      </c>
      <c r="C109" s="183"/>
      <c r="D109" s="183"/>
      <c r="E109" s="181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26" customHeight="1">
      <c r="A110" s="27"/>
      <c r="B110" s="88" t="s">
        <v>6780</v>
      </c>
      <c r="C110" s="88" t="s">
        <v>8191</v>
      </c>
      <c r="D110" s="88" t="s">
        <v>6943</v>
      </c>
      <c r="E110" s="88" t="s">
        <v>8181</v>
      </c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26" customHeight="1">
      <c r="A111" s="27"/>
      <c r="B111" s="30" t="s">
        <v>8232</v>
      </c>
      <c r="C111" s="31" t="e">
        <f>IF(mgmt_domain_chosen="First Instance",sample_mgmt_nsxt_gm_vip_fqdn,sample_mgmt_existing_active_nsx_gm)</f>
        <v>#REF!</v>
      </c>
      <c r="D111" s="13" t="str">
        <f ca="1">IFERROR(__xludf.DUMMYFUNCTION("SINGLE(IF(mgmt_domain_chosen=""First Domain"",mgmt_nsxt_gm_vip_fqdn,mgmt_existing_active_nsx_gm))"),"#REF!")</f>
        <v>#REF!</v>
      </c>
      <c r="E111" s="15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26" customHeight="1">
      <c r="A112" s="27"/>
      <c r="B112" s="30" t="s">
        <v>8233</v>
      </c>
      <c r="C112" s="31" t="e">
        <f>sample_mgmt_srm_recovery_nsx_location</f>
        <v>#REF!</v>
      </c>
      <c r="D112" s="13" t="str">
        <f>mgmt_srm_recovery_nsx_location</f>
        <v>Value Missing</v>
      </c>
      <c r="E112" s="15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26" customHeight="1">
      <c r="A113" s="27"/>
      <c r="B113" s="80" t="s">
        <v>8234</v>
      </c>
      <c r="C113" s="31" t="s">
        <v>8235</v>
      </c>
      <c r="D113" s="13" t="str">
        <f>C113</f>
        <v>recovery-t1-gw01</v>
      </c>
      <c r="E113" s="15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21" customHeight="1">
      <c r="A114" s="27"/>
      <c r="B114" s="80" t="s">
        <v>7226</v>
      </c>
      <c r="C114" s="31" t="e">
        <f>sample_mgmt_srm_recovery_nsx_ec_name</f>
        <v>#REF!</v>
      </c>
      <c r="D114" s="13" t="str">
        <f>mgmt_srm_recovery_nsx_ec_name</f>
        <v>Value Missing</v>
      </c>
      <c r="E114" s="15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45" customHeight="1">
      <c r="A115" s="27"/>
      <c r="B115" s="80" t="s">
        <v>6780</v>
      </c>
      <c r="C115" s="31" t="s">
        <v>8236</v>
      </c>
      <c r="D115" s="13" t="str">
        <f>C115</f>
        <v>recovery-t1-gw01-si01</v>
      </c>
      <c r="E115" s="15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26" customHeight="1">
      <c r="A116" s="27"/>
      <c r="B116" s="80" t="s">
        <v>8237</v>
      </c>
      <c r="C116" s="31" t="e">
        <f>IF(sample_reg_seg01_cidr&lt;&gt;"N/A",CONCATENATE(sample_mgmt_srm_recovery_t1_si_ip,"/",INT(RIGHT(sample_reg_seg01_cidr,LEN(sample_reg_seg01_cidr)-FIND("/",sample_reg_seg01_cidr)))),"N/A")</f>
        <v>#NAME?</v>
      </c>
      <c r="D116" s="13" t="e">
        <f>IF(OR((mgmt_srm_recovery_t1_si_ip="Value Missing"),(xreg_seg01_cidr="Value Missing")),"Value Missing",CONCATENATE(mgmt_srm_recovery_t1_si_ip,"/",INT(RIGHT(xreg_seg01_cidr,LEN(xreg_seg01_cidr)-FIND("/",xreg_seg01_cidr)))))</f>
        <v>#NAME?</v>
      </c>
      <c r="E116" s="15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26" customHeight="1">
      <c r="A117" s="27"/>
      <c r="B117" s="80" t="s">
        <v>8238</v>
      </c>
      <c r="C117" s="31" t="e">
        <f>sample_xreg_seg01_name</f>
        <v>#REF!</v>
      </c>
      <c r="D117" s="13" t="e">
        <f>xreg_seg01_name</f>
        <v>#NAME?</v>
      </c>
      <c r="E117" s="15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26" customHeight="1">
      <c r="A118" s="27"/>
      <c r="B118" s="30" t="s">
        <v>7937</v>
      </c>
      <c r="C118" s="31" t="e">
        <f>sample_xreg_seg01_gateway_ip</f>
        <v>#NAME?</v>
      </c>
      <c r="D118" s="13" t="e">
        <f>xreg_seg01_gateway_ip</f>
        <v>#NAME?</v>
      </c>
      <c r="E118" s="15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26" customHeight="1">
      <c r="A119" s="27"/>
      <c r="B119" s="30" t="s">
        <v>8239</v>
      </c>
      <c r="C119" s="31" t="s">
        <v>8236</v>
      </c>
      <c r="D119" s="13" t="str">
        <f>C119</f>
        <v>recovery-t1-gw01-si01</v>
      </c>
      <c r="E119" s="15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21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45" customHeight="1">
      <c r="A121" s="27"/>
      <c r="B121" s="205" t="s">
        <v>8240</v>
      </c>
      <c r="C121" s="183"/>
      <c r="D121" s="183"/>
      <c r="E121" s="181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26" customHeight="1">
      <c r="A122" s="27"/>
      <c r="B122" s="88" t="s">
        <v>6780</v>
      </c>
      <c r="C122" s="88" t="s">
        <v>8191</v>
      </c>
      <c r="D122" s="88" t="s">
        <v>6943</v>
      </c>
      <c r="E122" s="88" t="s">
        <v>8181</v>
      </c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26" customHeight="1">
      <c r="A123" s="27"/>
      <c r="B123" s="30" t="s">
        <v>8232</v>
      </c>
      <c r="C123" s="31" t="e">
        <f t="array" ref="C123">IF(mgmt_domain_chosen="First Domain",CONCATENATE(sample_mgmt_nsxt_gm_hostname,".",sample_child_dns_zone),sample_mgmt_existing_active_nsx_gm)</f>
        <v>#REF!</v>
      </c>
      <c r="D123" s="13" t="str">
        <f ca="1">IFERROR(__xludf.DUMMYFUNCTION("SINGLE(IF(mgmt_domain_chosen=""First Domain"",mgmt_nsxt_gm_vip_fqdn,mgmt_existing_active_nsx_gm))"),"#REF!")</f>
        <v>#REF!</v>
      </c>
      <c r="E123" s="15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26" customHeight="1">
      <c r="A124" s="27"/>
      <c r="B124" s="30" t="s">
        <v>8233</v>
      </c>
      <c r="C124" s="31" t="e">
        <f>sample_mgmt_srm_recovery_nsx_location</f>
        <v>#REF!</v>
      </c>
      <c r="D124" s="13" t="str">
        <f>mgmt_srm_recovery_nsx_location</f>
        <v>Value Missing</v>
      </c>
      <c r="E124" s="15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26" customHeight="1">
      <c r="A125" s="27"/>
      <c r="B125" s="80" t="s">
        <v>6780</v>
      </c>
      <c r="C125" s="31" t="s">
        <v>8241</v>
      </c>
      <c r="D125" s="13" t="str">
        <f>C125</f>
        <v>recovery-lb01</v>
      </c>
      <c r="E125" s="15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21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45" customHeight="1">
      <c r="A127" s="27"/>
      <c r="B127" s="205" t="s">
        <v>8242</v>
      </c>
      <c r="C127" s="183"/>
      <c r="D127" s="183"/>
      <c r="E127" s="181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26" customHeight="1">
      <c r="A128" s="27"/>
      <c r="B128" s="88" t="s">
        <v>6780</v>
      </c>
      <c r="C128" s="88" t="s">
        <v>8191</v>
      </c>
      <c r="D128" s="88" t="s">
        <v>6943</v>
      </c>
      <c r="E128" s="88" t="s">
        <v>8181</v>
      </c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26" customHeight="1">
      <c r="A129" s="27"/>
      <c r="B129" s="30" t="s">
        <v>8232</v>
      </c>
      <c r="C129" s="31" t="e">
        <f t="array" ref="C129">IF(mgmt_domain_chosen="First Domain",CONCATENATE(sample_mgmt_nsxt_gm_hostname,".",sample_child_dns_zone),sample_mgmt_existing_active_nsx_gm)</f>
        <v>#REF!</v>
      </c>
      <c r="D129" s="13" t="str">
        <f ca="1">IFERROR(__xludf.DUMMYFUNCTION("SINGLE(IF(mgmt_domain_chosen=""First Domain"",mgmt_nsxt_gm_vip_fqdn,mgmt_existing_active_nsx_gm))"),"#REF!")</f>
        <v>#REF!</v>
      </c>
      <c r="E129" s="15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26" customHeight="1">
      <c r="A130" s="27"/>
      <c r="B130" s="30" t="s">
        <v>8233</v>
      </c>
      <c r="C130" s="31" t="e">
        <f>sample_mgmt_srm_recovery_nsx_location</f>
        <v>#REF!</v>
      </c>
      <c r="D130" s="13" t="str">
        <f>mgmt_srm_recovery_nsx_location</f>
        <v>Value Missing</v>
      </c>
      <c r="E130" s="15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26" customHeight="1">
      <c r="A131" s="27"/>
      <c r="B131" s="80" t="s">
        <v>6780</v>
      </c>
      <c r="C131" s="31"/>
      <c r="D131" s="13"/>
      <c r="E131" s="15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26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26" customHeight="1">
      <c r="A133" s="27"/>
      <c r="B133" s="205" t="s">
        <v>8243</v>
      </c>
      <c r="C133" s="183"/>
      <c r="D133" s="183"/>
      <c r="E133" s="181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26" customHeight="1">
      <c r="A134" s="27"/>
      <c r="B134" s="88" t="s">
        <v>6780</v>
      </c>
      <c r="C134" s="88" t="s">
        <v>8191</v>
      </c>
      <c r="D134" s="88" t="s">
        <v>6943</v>
      </c>
      <c r="E134" s="88" t="s">
        <v>8181</v>
      </c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26" customHeight="1">
      <c r="A135" s="27"/>
      <c r="B135" s="30" t="s">
        <v>8232</v>
      </c>
      <c r="C135" s="31" t="e">
        <f t="array" ref="C135">IF(mgmt_domain_chosen="First Domain",CONCATENATE(sample_mgmt_nsxt_gm_hostname,".",sample_child_dns_zone),sample_mgmt_existing_active_nsx_gm)</f>
        <v>#REF!</v>
      </c>
      <c r="D135" s="13" t="str">
        <f ca="1">IFERROR(__xludf.DUMMYFUNCTION("SINGLE(IF(mgmt_domain_chosen=""First Domain"",mgmt_nsxt_gm_vip_fqdn,mgmt_existing_active_nsx_gm))"),"#REF!")</f>
        <v>#REF!</v>
      </c>
      <c r="E135" s="15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26" customHeight="1">
      <c r="A136" s="27"/>
      <c r="B136" s="30" t="s">
        <v>8233</v>
      </c>
      <c r="C136" s="31" t="e">
        <f>sample_mgmt_srm_recovery_nsx_location</f>
        <v>#REF!</v>
      </c>
      <c r="D136" s="13" t="str">
        <f>mgmt_srm_recovery_nsx_location</f>
        <v>Value Missing</v>
      </c>
      <c r="E136" s="15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26" customHeight="1">
      <c r="A137" s="27"/>
      <c r="B137" s="80" t="s">
        <v>6780</v>
      </c>
      <c r="C137" s="31" t="s">
        <v>8244</v>
      </c>
      <c r="D137" s="13" t="str">
        <f>C137</f>
        <v>vrops-https-monitor</v>
      </c>
      <c r="E137" s="15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26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21" customHeight="1">
      <c r="A139" s="27"/>
      <c r="B139" s="205" t="s">
        <v>8245</v>
      </c>
      <c r="C139" s="183"/>
      <c r="D139" s="183"/>
      <c r="E139" s="181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45" customHeight="1">
      <c r="A140" s="27"/>
      <c r="B140" s="88" t="s">
        <v>6780</v>
      </c>
      <c r="C140" s="88" t="s">
        <v>8191</v>
      </c>
      <c r="D140" s="88" t="s">
        <v>6943</v>
      </c>
      <c r="E140" s="88" t="s">
        <v>8181</v>
      </c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26" customHeight="1">
      <c r="A141" s="27"/>
      <c r="B141" s="30" t="s">
        <v>8232</v>
      </c>
      <c r="C141" s="31" t="e">
        <f t="array" ref="C141">IF(mgmt_domain_chosen="First Domain",CONCATENATE(sample_mgmt_nsxt_gm_hostname,".",sample_child_dns_zone),sample_mgmt_existing_active_nsx_gm)</f>
        <v>#REF!</v>
      </c>
      <c r="D141" s="13" t="str">
        <f ca="1">IFERROR(__xludf.DUMMYFUNCTION("SINGLE(IF(mgmt_domain_chosen=""First Domain"",mgmt_nsxt_gm_vip_fqdn,mgmt_existing_active_nsx_gm))"),"#REF!")</f>
        <v>#REF!</v>
      </c>
      <c r="E141" s="15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26" customHeight="1">
      <c r="A142" s="27"/>
      <c r="B142" s="30" t="s">
        <v>8233</v>
      </c>
      <c r="C142" s="31" t="e">
        <f>sample_mgmt_srm_recovery_nsx_location</f>
        <v>#REF!</v>
      </c>
      <c r="D142" s="13" t="str">
        <f>mgmt_srm_recovery_nsx_location</f>
        <v>Value Missing</v>
      </c>
      <c r="E142" s="15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26" customHeight="1">
      <c r="A143" s="27"/>
      <c r="B143" s="80" t="s">
        <v>6780</v>
      </c>
      <c r="C143" s="31" t="s">
        <v>8246</v>
      </c>
      <c r="D143" s="13" t="str">
        <f t="shared" ref="D143:D144" si="0">C143</f>
        <v>vrops-server-pool</v>
      </c>
      <c r="E143" s="15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26" customHeight="1">
      <c r="A144" s="27"/>
      <c r="B144" s="80" t="s">
        <v>8247</v>
      </c>
      <c r="C144" s="31" t="s">
        <v>8248</v>
      </c>
      <c r="D144" s="13" t="str">
        <f t="shared" si="0"/>
        <v>vrops01svr01a</v>
      </c>
      <c r="E144" s="15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26" customHeight="1">
      <c r="A145" s="27"/>
      <c r="B145" s="80" t="s">
        <v>8249</v>
      </c>
      <c r="C145" s="31" t="e">
        <f>sample_xreg_vrops_nodea_ip</f>
        <v>#REF!</v>
      </c>
      <c r="D145" s="13" t="e">
        <f>xreg_vrops_nodea_ip</f>
        <v>#REF!</v>
      </c>
      <c r="E145" s="15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26" customHeight="1">
      <c r="A146" s="27"/>
      <c r="B146" s="80" t="s">
        <v>8250</v>
      </c>
      <c r="C146" s="31" t="s">
        <v>8251</v>
      </c>
      <c r="D146" s="13" t="str">
        <f>C146</f>
        <v>vrops01svr01b</v>
      </c>
      <c r="E146" s="15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21" customHeight="1">
      <c r="A147" s="27"/>
      <c r="B147" s="80" t="s">
        <v>8252</v>
      </c>
      <c r="C147" s="31" t="e">
        <f>sample_xreg_vrops_nodeb_ip</f>
        <v>#REF!</v>
      </c>
      <c r="D147" s="13" t="e">
        <f>xreg_vrops_nodeb_ip</f>
        <v>#REF!</v>
      </c>
      <c r="E147" s="15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45" customHeight="1">
      <c r="A148" s="27"/>
      <c r="B148" s="30" t="s">
        <v>8253</v>
      </c>
      <c r="C148" s="31" t="s">
        <v>8254</v>
      </c>
      <c r="D148" s="13" t="str">
        <f>C148</f>
        <v>vrops01svr01c</v>
      </c>
      <c r="E148" s="15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26" customHeight="1">
      <c r="A149" s="27"/>
      <c r="B149" s="30" t="s">
        <v>8255</v>
      </c>
      <c r="C149" s="31" t="e">
        <f>sample_xreg_vrops_nodec_ip</f>
        <v>#REF!</v>
      </c>
      <c r="D149" s="13" t="e">
        <f>xreg_vrops_nodec_ip</f>
        <v>#REF!</v>
      </c>
      <c r="E149" s="15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26" customHeight="1">
      <c r="A150" s="27"/>
      <c r="B150" s="80" t="s">
        <v>8256</v>
      </c>
      <c r="C150" s="31" t="s">
        <v>8244</v>
      </c>
      <c r="D150" s="13" t="str">
        <f>C150</f>
        <v>vrops-https-monitor</v>
      </c>
      <c r="E150" s="15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26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26" customHeight="1">
      <c r="A152" s="27"/>
      <c r="B152" s="205" t="s">
        <v>8257</v>
      </c>
      <c r="C152" s="183"/>
      <c r="D152" s="183"/>
      <c r="E152" s="181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26" customHeight="1">
      <c r="A153" s="27"/>
      <c r="B153" s="88" t="s">
        <v>6780</v>
      </c>
      <c r="C153" s="88" t="s">
        <v>8191</v>
      </c>
      <c r="D153" s="88" t="s">
        <v>6943</v>
      </c>
      <c r="E153" s="88" t="s">
        <v>8181</v>
      </c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26" customHeight="1">
      <c r="A154" s="27"/>
      <c r="B154" s="30" t="s">
        <v>8232</v>
      </c>
      <c r="C154" s="31" t="e">
        <f t="array" ref="C154">IF(mgmt_domain_chosen="First Domain",CONCATENATE(sample_mgmt_nsxt_gm_hostname,".",sample_child_dns_zone),sample_mgmt_existing_active_nsx_gm)</f>
        <v>#REF!</v>
      </c>
      <c r="D154" s="13" t="str">
        <f ca="1">IFERROR(__xludf.DUMMYFUNCTION("SINGLE(IF(mgmt_domain_chosen=""First Domain"",mgmt_nsxt_gm_vip_fqdn,mgmt_existing_active_nsx_gm))"),"#REF!")</f>
        <v>#REF!</v>
      </c>
      <c r="E154" s="15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26" customHeight="1">
      <c r="A155" s="27"/>
      <c r="B155" s="30" t="s">
        <v>8233</v>
      </c>
      <c r="C155" s="31" t="e">
        <f>sample_mgmt_srm_recovery_nsx_location</f>
        <v>#REF!</v>
      </c>
      <c r="D155" s="13" t="str">
        <f>mgmt_srm_recovery_nsx_location</f>
        <v>Value Missing</v>
      </c>
      <c r="E155" s="15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26" customHeight="1">
      <c r="A156" s="27"/>
      <c r="B156" s="80" t="s">
        <v>8258</v>
      </c>
      <c r="C156" s="31" t="s">
        <v>8259</v>
      </c>
      <c r="D156" s="13" t="str">
        <f t="shared" ref="D156:D158" si="1">C156</f>
        <v>vrops-tcp-app-profile</v>
      </c>
      <c r="E156" s="15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26" customHeight="1">
      <c r="A157" s="27"/>
      <c r="B157" s="80" t="s">
        <v>8260</v>
      </c>
      <c r="C157" s="31" t="s">
        <v>8261</v>
      </c>
      <c r="D157" s="13" t="str">
        <f t="shared" si="1"/>
        <v>vrops-http-app-profile-redirect</v>
      </c>
      <c r="E157" s="15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26" customHeight="1">
      <c r="A158" s="27"/>
      <c r="B158" s="80" t="s">
        <v>8262</v>
      </c>
      <c r="C158" s="31" t="s">
        <v>8263</v>
      </c>
      <c r="D158" s="13" t="str">
        <f t="shared" si="1"/>
        <v>vrops-source-ip-persistence-profile</v>
      </c>
      <c r="E158" s="15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26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26" customHeight="1">
      <c r="A160" s="27"/>
      <c r="B160" s="205" t="s">
        <v>8264</v>
      </c>
      <c r="C160" s="183"/>
      <c r="D160" s="183"/>
      <c r="E160" s="181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26" customHeight="1">
      <c r="A161" s="27"/>
      <c r="B161" s="88" t="s">
        <v>6780</v>
      </c>
      <c r="C161" s="88" t="s">
        <v>8191</v>
      </c>
      <c r="D161" s="88" t="s">
        <v>6943</v>
      </c>
      <c r="E161" s="88" t="s">
        <v>8181</v>
      </c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21" customHeight="1">
      <c r="A162" s="27"/>
      <c r="B162" s="30" t="s">
        <v>8232</v>
      </c>
      <c r="C162" s="31" t="e">
        <f t="array" ref="C162">IF(mgmt_domain_chosen="First Domain",CONCATENATE(sample_mgmt_nsxt_gm_hostname,".",sample_child_dns_zone),sample_mgmt_existing_active_nsx_gm)</f>
        <v>#REF!</v>
      </c>
      <c r="D162" s="13" t="str">
        <f ca="1">IFERROR(__xludf.DUMMYFUNCTION("SINGLE(IF(mgmt_domain_chosen=""First Domain"",mgmt_nsxt_gm_vip_fqdn,mgmt_existing_active_nsx_gm))"),"#REF!")</f>
        <v>#REF!</v>
      </c>
      <c r="E162" s="15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45" customHeight="1">
      <c r="A163" s="27"/>
      <c r="B163" s="30" t="s">
        <v>8233</v>
      </c>
      <c r="C163" s="31" t="e">
        <f>sample_mgmt_srm_recovery_nsx_location</f>
        <v>#REF!</v>
      </c>
      <c r="D163" s="13" t="str">
        <f>mgmt_srm_recovery_nsx_location</f>
        <v>Value Missing</v>
      </c>
      <c r="E163" s="15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26" customHeight="1">
      <c r="A164" s="27"/>
      <c r="B164" s="30" t="s">
        <v>8265</v>
      </c>
      <c r="C164" s="31" t="s">
        <v>8266</v>
      </c>
      <c r="D164" s="13" t="str">
        <f>C164</f>
        <v>vrops-https</v>
      </c>
      <c r="E164" s="15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26" customHeight="1">
      <c r="A165" s="27"/>
      <c r="B165" s="30" t="s">
        <v>8267</v>
      </c>
      <c r="C165" s="31" t="e">
        <f>sample_xreg_vrops_virtual_ip</f>
        <v>#REF!</v>
      </c>
      <c r="D165" s="13" t="e">
        <f>xreg_vrops_virtual_ip</f>
        <v>#REF!</v>
      </c>
      <c r="E165" s="15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26" customHeight="1">
      <c r="A166" s="27"/>
      <c r="B166" s="30" t="s">
        <v>8268</v>
      </c>
      <c r="C166" s="31" t="s">
        <v>8241</v>
      </c>
      <c r="D166" s="13" t="str">
        <f t="shared" ref="D166:D170" si="2">C166</f>
        <v>recovery-lb01</v>
      </c>
      <c r="E166" s="15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26" customHeight="1">
      <c r="A167" s="27"/>
      <c r="B167" s="80" t="s">
        <v>8269</v>
      </c>
      <c r="C167" s="31" t="s">
        <v>8246</v>
      </c>
      <c r="D167" s="13" t="str">
        <f t="shared" si="2"/>
        <v>vrops-server-pool</v>
      </c>
      <c r="E167" s="15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21" customHeight="1">
      <c r="A168" s="27"/>
      <c r="B168" s="80" t="s">
        <v>8270</v>
      </c>
      <c r="C168" s="31" t="s">
        <v>8263</v>
      </c>
      <c r="D168" s="13" t="str">
        <f t="shared" si="2"/>
        <v>vrops-source-ip-persistence-profile</v>
      </c>
      <c r="E168" s="15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45" customHeight="1">
      <c r="A169" s="27"/>
      <c r="B169" s="80" t="s">
        <v>8271</v>
      </c>
      <c r="C169" s="31" t="s">
        <v>8259</v>
      </c>
      <c r="D169" s="13" t="str">
        <f t="shared" si="2"/>
        <v>vrops-tcp-app-profile</v>
      </c>
      <c r="E169" s="15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26" customHeight="1">
      <c r="A170" s="27"/>
      <c r="B170" s="80" t="s">
        <v>8272</v>
      </c>
      <c r="C170" s="31" t="s">
        <v>8273</v>
      </c>
      <c r="D170" s="13" t="str">
        <f t="shared" si="2"/>
        <v>vrops-http-redirect</v>
      </c>
      <c r="E170" s="15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26" customHeight="1">
      <c r="A171" s="27"/>
      <c r="B171" s="80" t="s">
        <v>8274</v>
      </c>
      <c r="C171" s="31" t="e">
        <f>sample_xreg_vrops_virtual_ip</f>
        <v>#REF!</v>
      </c>
      <c r="D171" s="13" t="e">
        <f>xreg_vrops_virtual_ip</f>
        <v>#REF!</v>
      </c>
      <c r="E171" s="15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26" customHeight="1">
      <c r="A172" s="27"/>
      <c r="B172" s="30" t="s">
        <v>8275</v>
      </c>
      <c r="C172" s="31" t="s">
        <v>8241</v>
      </c>
      <c r="D172" s="13" t="str">
        <f t="shared" ref="D172:D173" si="3">C172</f>
        <v>recovery-lb01</v>
      </c>
      <c r="E172" s="15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26" customHeight="1">
      <c r="A173" s="27"/>
      <c r="B173" s="30" t="s">
        <v>8276</v>
      </c>
      <c r="C173" s="31" t="s">
        <v>8277</v>
      </c>
      <c r="D173" s="13" t="str">
        <f t="shared" si="3"/>
        <v>wsa-http-app-profile-redirect</v>
      </c>
      <c r="E173" s="15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26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26" customHeight="1">
      <c r="A175" s="27"/>
      <c r="B175" s="205" t="s">
        <v>8278</v>
      </c>
      <c r="C175" s="183"/>
      <c r="D175" s="183"/>
      <c r="E175" s="181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26" customHeight="1">
      <c r="A176" s="27"/>
      <c r="B176" s="88" t="s">
        <v>6780</v>
      </c>
      <c r="C176" s="88" t="s">
        <v>8191</v>
      </c>
      <c r="D176" s="88" t="s">
        <v>6943</v>
      </c>
      <c r="E176" s="88" t="s">
        <v>8181</v>
      </c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26" customHeight="1">
      <c r="A177" s="27"/>
      <c r="B177" s="30" t="s">
        <v>8232</v>
      </c>
      <c r="C177" s="31" t="e">
        <f t="array" ref="C177">IF(mgmt_domain_chosen="First Domain",CONCATENATE(sample_mgmt_nsxt_gm_hostname,".",sample_child_dns_zone),sample_mgmt_existing_active_nsx_gm)</f>
        <v>#REF!</v>
      </c>
      <c r="D177" s="13" t="str">
        <f ca="1">IFERROR(__xludf.DUMMYFUNCTION("SINGLE(IF(mgmt_domain_chosen=""First Domain"",mgmt_nsxt_gm_vip_fqdn,mgmt_existing_active_nsx_gm))"),"#REF!")</f>
        <v>#REF!</v>
      </c>
      <c r="E177" s="15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26" customHeight="1">
      <c r="A178" s="27"/>
      <c r="B178" s="30" t="s">
        <v>8233</v>
      </c>
      <c r="C178" s="31" t="e">
        <f>sample_mgmt_srm_recovery_nsx_location</f>
        <v>#REF!</v>
      </c>
      <c r="D178" s="13" t="str">
        <f>mgmt_srm_recovery_nsx_location</f>
        <v>Value Missing</v>
      </c>
      <c r="E178" s="15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26" customHeight="1">
      <c r="A179" s="27"/>
      <c r="B179" s="80" t="s">
        <v>6780</v>
      </c>
      <c r="C179" s="31" t="s">
        <v>8279</v>
      </c>
      <c r="D179" s="13" t="str">
        <f>C179</f>
        <v>vra-http-monitor</v>
      </c>
      <c r="E179" s="15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26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21" customHeight="1">
      <c r="A181" s="27"/>
      <c r="B181" s="205" t="s">
        <v>8280</v>
      </c>
      <c r="C181" s="183"/>
      <c r="D181" s="183"/>
      <c r="E181" s="181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45" customHeight="1">
      <c r="A182" s="27"/>
      <c r="B182" s="88" t="s">
        <v>6780</v>
      </c>
      <c r="C182" s="88" t="s">
        <v>8191</v>
      </c>
      <c r="D182" s="88" t="s">
        <v>6943</v>
      </c>
      <c r="E182" s="88" t="s">
        <v>8181</v>
      </c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26" customHeight="1">
      <c r="A183" s="27"/>
      <c r="B183" s="30" t="s">
        <v>8232</v>
      </c>
      <c r="C183" s="31" t="e">
        <f t="array" ref="C183">IF(mgmt_domain_chosen="First Domain",CONCATENATE(sample_mgmt_nsxt_gm_hostname,".",sample_child_dns_zone),sample_mgmt_existing_active_nsx_gm)</f>
        <v>#REF!</v>
      </c>
      <c r="D183" s="13" t="str">
        <f ca="1">IFERROR(__xludf.DUMMYFUNCTION("SINGLE(IF(mgmt_domain_chosen=""First Domain"",mgmt_nsxt_gm_vip_fqdn,mgmt_existing_active_nsx_gm))"),"#REF!")</f>
        <v>#REF!</v>
      </c>
      <c r="E183" s="15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26" customHeight="1">
      <c r="A184" s="27"/>
      <c r="B184" s="30" t="s">
        <v>8233</v>
      </c>
      <c r="C184" s="31" t="e">
        <f>sample_mgmt_srm_recovery_nsx_location</f>
        <v>#REF!</v>
      </c>
      <c r="D184" s="13" t="str">
        <f>mgmt_srm_recovery_nsx_location</f>
        <v>Value Missing</v>
      </c>
      <c r="E184" s="15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26" customHeight="1">
      <c r="A185" s="27"/>
      <c r="B185" s="80" t="s">
        <v>6780</v>
      </c>
      <c r="C185" s="31" t="s">
        <v>8281</v>
      </c>
      <c r="D185" s="13" t="str">
        <f t="shared" ref="D185:D186" si="4">C185</f>
        <v>vra-server-pool</v>
      </c>
      <c r="E185" s="15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26" customHeight="1">
      <c r="A186" s="27"/>
      <c r="B186" s="80" t="s">
        <v>8282</v>
      </c>
      <c r="C186" s="31" t="s">
        <v>8283</v>
      </c>
      <c r="D186" s="13" t="str">
        <f t="shared" si="4"/>
        <v>vra01svr01a</v>
      </c>
      <c r="E186" s="15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26" customHeight="1">
      <c r="A187" s="27"/>
      <c r="B187" s="80" t="s">
        <v>8249</v>
      </c>
      <c r="C187" s="31" t="e">
        <f>sample_xreg_vra_nodea_ip</f>
        <v>#NAME?</v>
      </c>
      <c r="D187" s="13" t="e">
        <f>xreg_vra_nodea_ip</f>
        <v>#REF!</v>
      </c>
      <c r="E187" s="15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21" customHeight="1">
      <c r="A188" s="27"/>
      <c r="B188" s="80" t="s">
        <v>8284</v>
      </c>
      <c r="C188" s="31" t="s">
        <v>8285</v>
      </c>
      <c r="D188" s="13" t="str">
        <f>C188</f>
        <v>vra01svr01b</v>
      </c>
      <c r="E188" s="15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45" customHeight="1">
      <c r="A189" s="27"/>
      <c r="B189" s="80" t="s">
        <v>8252</v>
      </c>
      <c r="C189" s="31" t="e">
        <f>sample_xreg_vra_nodeb_ip</f>
        <v>#NAME?</v>
      </c>
      <c r="D189" s="13" t="e">
        <f>xreg_vra_nodeb_ip</f>
        <v>#REF!</v>
      </c>
      <c r="E189" s="15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26" customHeight="1">
      <c r="A190" s="27"/>
      <c r="B190" s="30" t="s">
        <v>8286</v>
      </c>
      <c r="C190" s="31" t="s">
        <v>8287</v>
      </c>
      <c r="D190" s="13" t="str">
        <f>C190</f>
        <v>vra01svr01c</v>
      </c>
      <c r="E190" s="15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26" customHeight="1">
      <c r="A191" s="27"/>
      <c r="B191" s="30" t="s">
        <v>8255</v>
      </c>
      <c r="C191" s="31" t="e">
        <f>sample_xreg_vra_nodec_ip</f>
        <v>#NAME?</v>
      </c>
      <c r="D191" s="13" t="e">
        <f>xreg_vra_nodec_ip</f>
        <v>#REF!</v>
      </c>
      <c r="E191" s="15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26" customHeight="1">
      <c r="A192" s="27"/>
      <c r="B192" s="80" t="s">
        <v>8256</v>
      </c>
      <c r="C192" s="31" t="s">
        <v>8279</v>
      </c>
      <c r="D192" s="13" t="str">
        <f>C192</f>
        <v>vra-http-monitor</v>
      </c>
      <c r="E192" s="15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26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26" customHeight="1">
      <c r="A194" s="27"/>
      <c r="B194" s="205" t="s">
        <v>8288</v>
      </c>
      <c r="C194" s="183"/>
      <c r="D194" s="183"/>
      <c r="E194" s="181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26" customHeight="1">
      <c r="A195" s="27"/>
      <c r="B195" s="88" t="s">
        <v>6780</v>
      </c>
      <c r="C195" s="88" t="s">
        <v>8191</v>
      </c>
      <c r="D195" s="88" t="s">
        <v>6943</v>
      </c>
      <c r="E195" s="88" t="s">
        <v>8181</v>
      </c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26" customHeight="1">
      <c r="A196" s="27"/>
      <c r="B196" s="30" t="s">
        <v>8232</v>
      </c>
      <c r="C196" s="31" t="e">
        <f t="array" ref="C196">IF(mgmt_domain_chosen="First Domain",CONCATENATE(sample_mgmt_nsxt_gm_hostname,".",sample_child_dns_zone),sample_mgmt_existing_active_nsx_gm)</f>
        <v>#REF!</v>
      </c>
      <c r="D196" s="13" t="str">
        <f ca="1">IFERROR(__xludf.DUMMYFUNCTION("SINGLE(IF(mgmt_domain_chosen=""First Domain"",mgmt_nsxt_gm_vip_fqdn,mgmt_existing_active_nsx_gm))"),"#REF!")</f>
        <v>#REF!</v>
      </c>
      <c r="E196" s="15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26" customHeight="1">
      <c r="A197" s="27"/>
      <c r="B197" s="30" t="s">
        <v>8233</v>
      </c>
      <c r="C197" s="31" t="e">
        <f>sample_mgmt_srm_recovery_nsx_location</f>
        <v>#REF!</v>
      </c>
      <c r="D197" s="13" t="str">
        <f>mgmt_srm_recovery_nsx_location</f>
        <v>Value Missing</v>
      </c>
      <c r="E197" s="15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26" customHeight="1">
      <c r="A198" s="27"/>
      <c r="B198" s="80" t="s">
        <v>8258</v>
      </c>
      <c r="C198" s="31" t="s">
        <v>8289</v>
      </c>
      <c r="D198" s="13" t="str">
        <f t="shared" ref="D198:D199" si="5">C198</f>
        <v>vra-tcp-app-profile</v>
      </c>
      <c r="E198" s="15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26" customHeight="1">
      <c r="A199" s="27"/>
      <c r="B199" s="80" t="s">
        <v>8260</v>
      </c>
      <c r="C199" s="31" t="s">
        <v>8290</v>
      </c>
      <c r="D199" s="13" t="str">
        <f t="shared" si="5"/>
        <v>vra-http-app-profile-redirect</v>
      </c>
      <c r="E199" s="15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26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26" customHeight="1">
      <c r="A201" s="27"/>
      <c r="B201" s="205" t="s">
        <v>8291</v>
      </c>
      <c r="C201" s="183"/>
      <c r="D201" s="183"/>
      <c r="E201" s="181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21" customHeight="1">
      <c r="A202" s="27"/>
      <c r="B202" s="88" t="s">
        <v>6780</v>
      </c>
      <c r="C202" s="88" t="s">
        <v>8191</v>
      </c>
      <c r="D202" s="88" t="s">
        <v>6943</v>
      </c>
      <c r="E202" s="88" t="s">
        <v>8181</v>
      </c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45" customHeight="1">
      <c r="A203" s="27"/>
      <c r="B203" s="30" t="s">
        <v>8232</v>
      </c>
      <c r="C203" s="31" t="e">
        <f t="array" ref="C203">IF(mgmt_domain_chosen="First Domain",CONCATENATE(sample_mgmt_nsxt_gm_hostname,".",sample_child_dns_zone),sample_mgmt_existing_active_nsx_gm)</f>
        <v>#REF!</v>
      </c>
      <c r="D203" s="13" t="str">
        <f ca="1">IFERROR(__xludf.DUMMYFUNCTION("SINGLE(IF(mgmt_domain_chosen=""First Domain"",mgmt_nsxt_gm_vip_fqdn,mgmt_existing_active_nsx_gm))"),"#REF!")</f>
        <v>#REF!</v>
      </c>
      <c r="E203" s="15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26" customHeight="1">
      <c r="A204" s="27"/>
      <c r="B204" s="30" t="s">
        <v>8233</v>
      </c>
      <c r="C204" s="31" t="e">
        <f>sample_mgmt_srm_recovery_nsx_location</f>
        <v>#REF!</v>
      </c>
      <c r="D204" s="13" t="str">
        <f>mgmt_srm_recovery_nsx_location</f>
        <v>Value Missing</v>
      </c>
      <c r="E204" s="15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26" customHeight="1">
      <c r="A205" s="27"/>
      <c r="B205" s="80" t="s">
        <v>8265</v>
      </c>
      <c r="C205" s="31" t="s">
        <v>8292</v>
      </c>
      <c r="D205" s="13" t="str">
        <f>C205</f>
        <v>vra-https</v>
      </c>
      <c r="E205" s="15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26" customHeight="1">
      <c r="A206" s="27"/>
      <c r="B206" s="80" t="s">
        <v>8293</v>
      </c>
      <c r="C206" s="31" t="e">
        <f>sample_xreg_vra_virtual_ip</f>
        <v>#REF!</v>
      </c>
      <c r="D206" s="13" t="e">
        <f>xreg_vra_virtual_ip</f>
        <v>#REF!</v>
      </c>
      <c r="E206" s="15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26" customHeight="1">
      <c r="A207" s="27"/>
      <c r="B207" s="80" t="s">
        <v>8268</v>
      </c>
      <c r="C207" s="31" t="s">
        <v>8241</v>
      </c>
      <c r="D207" s="13" t="str">
        <f t="shared" ref="D207:D210" si="6">C207</f>
        <v>recovery-lb01</v>
      </c>
      <c r="E207" s="15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26" customHeight="1">
      <c r="A208" s="27"/>
      <c r="B208" s="80" t="s">
        <v>8294</v>
      </c>
      <c r="C208" s="31" t="s">
        <v>8281</v>
      </c>
      <c r="D208" s="13" t="str">
        <f t="shared" si="6"/>
        <v>vra-server-pool</v>
      </c>
      <c r="E208" s="15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26" customHeight="1">
      <c r="A209" s="27"/>
      <c r="B209" s="80" t="s">
        <v>8295</v>
      </c>
      <c r="C209" s="31" t="s">
        <v>8289</v>
      </c>
      <c r="D209" s="13" t="str">
        <f t="shared" si="6"/>
        <v>vra-tcp-app-profile</v>
      </c>
      <c r="E209" s="15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21" customHeight="1">
      <c r="A210" s="27"/>
      <c r="B210" s="30" t="s">
        <v>8296</v>
      </c>
      <c r="C210" s="31" t="s">
        <v>8297</v>
      </c>
      <c r="D210" s="13" t="str">
        <f t="shared" si="6"/>
        <v>vra-http-redirect</v>
      </c>
      <c r="E210" s="15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45" customHeight="1">
      <c r="A211" s="27"/>
      <c r="B211" s="30" t="s">
        <v>8274</v>
      </c>
      <c r="C211" s="31" t="e">
        <f>sample_xreg_vra_virtual_ip</f>
        <v>#REF!</v>
      </c>
      <c r="D211" s="13" t="e">
        <f>xreg_vra_virtual_ip</f>
        <v>#REF!</v>
      </c>
      <c r="E211" s="15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26" customHeight="1">
      <c r="A212" s="27"/>
      <c r="B212" s="80" t="s">
        <v>8275</v>
      </c>
      <c r="C212" s="31" t="s">
        <v>8241</v>
      </c>
      <c r="D212" s="13" t="str">
        <f t="shared" ref="D212:D213" si="7">C212</f>
        <v>recovery-lb01</v>
      </c>
      <c r="E212" s="15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26" customHeight="1">
      <c r="A213" s="27"/>
      <c r="B213" s="80" t="s">
        <v>8298</v>
      </c>
      <c r="C213" s="31" t="s">
        <v>8290</v>
      </c>
      <c r="D213" s="13" t="str">
        <f t="shared" si="7"/>
        <v>vra-http-app-profile-redirect</v>
      </c>
      <c r="E213" s="15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26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6" spans="1:26" ht="18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26" customHeight="1">
      <c r="A217" s="27"/>
      <c r="B217" s="218" t="s">
        <v>8186</v>
      </c>
      <c r="C217" s="183"/>
      <c r="D217" s="183"/>
      <c r="E217" s="181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26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26" customHeight="1">
      <c r="A219" s="27"/>
      <c r="B219" s="218" t="s">
        <v>8299</v>
      </c>
      <c r="C219" s="183"/>
      <c r="D219" s="183"/>
      <c r="E219" s="181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26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26" customHeight="1">
      <c r="A221" s="27"/>
      <c r="B221" s="205" t="s">
        <v>8300</v>
      </c>
      <c r="C221" s="183"/>
      <c r="D221" s="183"/>
      <c r="E221" s="181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26" customHeight="1">
      <c r="A222" s="27"/>
      <c r="B222" s="88" t="s">
        <v>6780</v>
      </c>
      <c r="C222" s="88" t="s">
        <v>8191</v>
      </c>
      <c r="D222" s="88" t="s">
        <v>6943</v>
      </c>
      <c r="E222" s="88" t="s">
        <v>8181</v>
      </c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26" customHeight="1">
      <c r="A223" s="27"/>
      <c r="B223" s="30" t="s">
        <v>8301</v>
      </c>
      <c r="C223" s="31" t="e">
        <f>sample_wld_vc_fqdn</f>
        <v>#REF!</v>
      </c>
      <c r="D223" s="13" t="e">
        <f>wld_vc_fqdn</f>
        <v>#REF!</v>
      </c>
      <c r="E223" s="15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21" customHeight="1">
      <c r="A224" s="27"/>
      <c r="B224" s="30" t="s">
        <v>8219</v>
      </c>
      <c r="C224" s="31" t="e">
        <f>sample_wld_vrms_vm_folder</f>
        <v>#REF!</v>
      </c>
      <c r="D224" s="13" t="str">
        <f>wld_vrms_vm_folder</f>
        <v>Value Missing</v>
      </c>
      <c r="E224" s="15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4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26" customHeight="1">
      <c r="A226" s="27"/>
      <c r="B226" s="205" t="s">
        <v>8302</v>
      </c>
      <c r="C226" s="183"/>
      <c r="D226" s="183"/>
      <c r="E226" s="181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26" customHeight="1">
      <c r="A227" s="27"/>
      <c r="B227" s="88" t="s">
        <v>6780</v>
      </c>
      <c r="C227" s="88" t="s">
        <v>8191</v>
      </c>
      <c r="D227" s="88" t="s">
        <v>6943</v>
      </c>
      <c r="E227" s="88" t="s">
        <v>8181</v>
      </c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26" customHeight="1">
      <c r="A228" s="27"/>
      <c r="B228" s="30" t="s">
        <v>8301</v>
      </c>
      <c r="C228" s="31" t="e">
        <f>sample_wld_vc_fqdn</f>
        <v>#REF!</v>
      </c>
      <c r="D228" s="13" t="e">
        <f>wld_vc_fqdn</f>
        <v>#REF!</v>
      </c>
      <c r="E228" s="15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26" customHeight="1">
      <c r="A229" s="27"/>
      <c r="B229" s="80" t="s">
        <v>6317</v>
      </c>
      <c r="C229" s="31" t="e">
        <f>sample_wld_cl01_cluster</f>
        <v>#REF!</v>
      </c>
      <c r="D229" s="13" t="e">
        <f>wld_cl01_cluster</f>
        <v>#REF!</v>
      </c>
      <c r="E229" s="15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26" customHeight="1">
      <c r="A230" s="27"/>
      <c r="B230" s="80" t="s">
        <v>8303</v>
      </c>
      <c r="C230" s="31" t="e">
        <f>sample_wld_vrms_hostname</f>
        <v>#REF!</v>
      </c>
      <c r="D230" s="13" t="str">
        <f>wld_vrms_hostname</f>
        <v>Value Missing</v>
      </c>
      <c r="E230" s="15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26" customHeight="1">
      <c r="A231" s="27"/>
      <c r="B231" s="80" t="s">
        <v>8304</v>
      </c>
      <c r="C231" s="31" t="e">
        <f>sample_wld_vrms_vm_folder</f>
        <v>#REF!</v>
      </c>
      <c r="D231" s="13" t="str">
        <f>wld_vrms_vm_folder</f>
        <v>Value Missing</v>
      </c>
      <c r="E231" s="15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26" customHeight="1">
      <c r="A232" s="27"/>
      <c r="B232" s="80" t="s">
        <v>8305</v>
      </c>
      <c r="C232" s="31" t="e">
        <f>sample_wld_cl01_cluster</f>
        <v>#REF!</v>
      </c>
      <c r="D232" s="13" t="e">
        <f>wld_cl01_cluster</f>
        <v>#REF!</v>
      </c>
      <c r="E232" s="15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7">
      <c r="A233" s="27"/>
      <c r="B233" s="80" t="s">
        <v>7847</v>
      </c>
      <c r="C233" s="31" t="e">
        <f>sample_wld_cl01_vsan_datastore</f>
        <v>#REF!</v>
      </c>
      <c r="D233" s="13" t="e">
        <f>wld_cl01_vsan_datastore</f>
        <v>#REF!</v>
      </c>
      <c r="E233" s="15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45" customHeight="1">
      <c r="A234" s="27"/>
      <c r="B234" s="30" t="s">
        <v>8306</v>
      </c>
      <c r="C234" s="31" t="e">
        <f>sample_wld_cl01_az1_mgmt_pg</f>
        <v>#REF!</v>
      </c>
      <c r="D234" s="13" t="e">
        <f>wld_cl01_az1_mgmt_pg</f>
        <v>#REF!</v>
      </c>
      <c r="E234" s="15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21" customHeight="1">
      <c r="A235" s="27"/>
      <c r="B235" s="30" t="s">
        <v>8307</v>
      </c>
      <c r="C235" s="31" t="str">
        <f>sample_wld_vrms_root_password</f>
        <v>VMw@re1!</v>
      </c>
      <c r="D235" s="13" t="str">
        <f>wld_vrms_root_password</f>
        <v>Value Missing</v>
      </c>
      <c r="E235" s="15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45" customHeight="1">
      <c r="A236" s="27"/>
      <c r="B236" s="80" t="s">
        <v>8308</v>
      </c>
      <c r="C236" s="31" t="str">
        <f>sample_wld_vrms_admin_password</f>
        <v>VMw@re1!</v>
      </c>
      <c r="D236" s="13" t="str">
        <f>wld_vrms_admin_password</f>
        <v>Value Missing</v>
      </c>
      <c r="E236" s="15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21" customHeight="1">
      <c r="A237" s="27"/>
      <c r="B237" s="80" t="s">
        <v>6697</v>
      </c>
      <c r="C237" s="31" t="e">
        <f>sample_region_ntp1_server</f>
        <v>#REF!</v>
      </c>
      <c r="D237" s="13" t="e">
        <f>region_ntp1_server</f>
        <v>#REF!</v>
      </c>
      <c r="E237" s="15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45" customHeight="1">
      <c r="A238" s="27"/>
      <c r="B238" s="30" t="s">
        <v>6786</v>
      </c>
      <c r="C238" s="31" t="e">
        <f>CONCATENATE(sample_wld_vrms_hostname,".",sample_child_dns_zone)</f>
        <v>#REF!</v>
      </c>
      <c r="D238" s="13" t="str">
        <f>wld_vrms_fqdn</f>
        <v>Value Missing.Value Missing</v>
      </c>
      <c r="E238" s="15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26" customHeight="1">
      <c r="A239" s="27"/>
      <c r="B239" s="30" t="s">
        <v>7989</v>
      </c>
      <c r="C239" s="31" t="e">
        <f>sample_wld_az1_mgmt_vm_gateway_ip</f>
        <v>#NAME?</v>
      </c>
      <c r="D239" s="13" t="e">
        <f>wld_az1_mgmt_vm_gateway_ip</f>
        <v>#REF!</v>
      </c>
      <c r="E239" s="15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26" customHeight="1">
      <c r="A240" s="27"/>
      <c r="B240" s="80" t="s">
        <v>6692</v>
      </c>
      <c r="C240" s="31" t="e">
        <f>sample_child_dns_zone</f>
        <v>#REF!</v>
      </c>
      <c r="D240" s="13" t="str">
        <f>child_dns_zone</f>
        <v>Value Missing</v>
      </c>
      <c r="E240" s="15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26" customHeight="1">
      <c r="A241" s="27"/>
      <c r="B241" s="80" t="s">
        <v>8309</v>
      </c>
      <c r="C241" s="31" t="e">
        <f>sample_child_dns_zone</f>
        <v>#REF!</v>
      </c>
      <c r="D241" s="13" t="str">
        <f>child_dns_zone</f>
        <v>Value Missing</v>
      </c>
      <c r="E241" s="15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21" customHeight="1">
      <c r="A242" s="27"/>
      <c r="B242" s="80" t="s">
        <v>8310</v>
      </c>
      <c r="C242" s="31" t="e">
        <f>CONCATENATE(sample_region_dns1_ip,",",sample_region_dns2_ip)</f>
        <v>#REF!</v>
      </c>
      <c r="D242" s="13" t="e">
        <f>CONCATENATE(region_dns1_ip,",",region_dns2_ip)</f>
        <v>#REF!</v>
      </c>
      <c r="E242" s="15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45" customHeight="1">
      <c r="A243" s="27"/>
      <c r="B243" s="80" t="s">
        <v>8311</v>
      </c>
      <c r="C243" s="31" t="e">
        <f>sample_wld_vrms_mgmt_ip</f>
        <v>#REF!</v>
      </c>
      <c r="D243" s="13" t="str">
        <f>wld_vrms_mgmt_ip</f>
        <v>Value Missing</v>
      </c>
      <c r="E243" s="15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26" customHeight="1">
      <c r="A244" s="27"/>
      <c r="B244" s="80" t="s">
        <v>8312</v>
      </c>
      <c r="C244" s="31" t="e">
        <f>INT(RIGHT(sample_wld_az1_mgmt_cidr,LEN(sample_wld_az1_mgmt_cidr)-FIND("/",sample_wld_az1_mgmt_cidr)))</f>
        <v>#NAME?</v>
      </c>
      <c r="D244" s="13" t="e">
        <f>IF(wld_az1_mgmt_cidr="Value Missing","Value Missing",IF(wld_az1_mgmt_cidr="Not Required","Not Required",INT(RIGHT(wld_az1_mgmt_cidr,LEN(wld_az1_mgmt_cidr)-FIND("/",wld_az1_mgmt_cidr)))))</f>
        <v>#REF!</v>
      </c>
      <c r="E244" s="15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26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26" customHeight="1">
      <c r="A246" s="27"/>
      <c r="B246" s="205" t="s">
        <v>8313</v>
      </c>
      <c r="C246" s="183"/>
      <c r="D246" s="183"/>
      <c r="E246" s="181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26" customHeight="1">
      <c r="A247" s="27"/>
      <c r="B247" s="88" t="s">
        <v>6780</v>
      </c>
      <c r="C247" s="88" t="s">
        <v>8191</v>
      </c>
      <c r="D247" s="88" t="s">
        <v>6943</v>
      </c>
      <c r="E247" s="88" t="s">
        <v>8181</v>
      </c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26" customHeight="1">
      <c r="A248" s="27"/>
      <c r="B248" s="30" t="s">
        <v>8314</v>
      </c>
      <c r="C248" s="31" t="e">
        <f>CONCATENATE(sample_wld_vrms_hostname,".",sample_child_dns_zone)</f>
        <v>#REF!</v>
      </c>
      <c r="D248" s="13" t="str">
        <f>wld_vrms_fqdn</f>
        <v>Value Missing.Value Missing</v>
      </c>
      <c r="E248" s="15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26" customHeight="1">
      <c r="A249" s="27"/>
      <c r="B249" s="30" t="s">
        <v>8315</v>
      </c>
      <c r="C249" s="31" t="str">
        <f>sample_wld_vrms_p12_password</f>
        <v>VMw@re1!</v>
      </c>
      <c r="D249" s="13" t="str">
        <f>wld_vrms_p12_password</f>
        <v>Value Missing</v>
      </c>
      <c r="E249" s="15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26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26" customHeight="1">
      <c r="A251" s="27"/>
      <c r="B251" s="205" t="s">
        <v>8316</v>
      </c>
      <c r="C251" s="183"/>
      <c r="D251" s="183"/>
      <c r="E251" s="181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26" customHeight="1">
      <c r="A252" s="27"/>
      <c r="B252" s="88" t="s">
        <v>6780</v>
      </c>
      <c r="C252" s="88" t="s">
        <v>8191</v>
      </c>
      <c r="D252" s="88" t="s">
        <v>6943</v>
      </c>
      <c r="E252" s="88" t="s">
        <v>8181</v>
      </c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26" customHeight="1">
      <c r="A253" s="27"/>
      <c r="B253" s="30" t="s">
        <v>8314</v>
      </c>
      <c r="C253" s="31" t="e">
        <f>CONCATENATE(sample_wld_vrms_hostname,".",sample_child_dns_zone)</f>
        <v>#REF!</v>
      </c>
      <c r="D253" s="13" t="str">
        <f>wld_vrms_fqdn</f>
        <v>Value Missing.Value Missing</v>
      </c>
      <c r="E253" s="15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26" customHeight="1">
      <c r="A254" s="27"/>
      <c r="B254" s="80" t="s">
        <v>8317</v>
      </c>
      <c r="C254" s="31" t="e">
        <f>sample_wld_vc_fqdn</f>
        <v>#REF!</v>
      </c>
      <c r="D254" s="13" t="e">
        <f>wld_vc_fqdn</f>
        <v>#REF!</v>
      </c>
      <c r="E254" s="15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26" customHeight="1">
      <c r="A255" s="27"/>
      <c r="B255" s="80" t="s">
        <v>8318</v>
      </c>
      <c r="C255" s="31" t="s">
        <v>7398</v>
      </c>
      <c r="D255" s="13" t="str">
        <f>C255</f>
        <v>administrator@vsphere.local</v>
      </c>
      <c r="E255" s="15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26" customHeight="1">
      <c r="A256" s="27"/>
      <c r="B256" s="80" t="s">
        <v>6792</v>
      </c>
      <c r="C256" s="31" t="e">
        <f>sample_administrator_vsphere_local_password</f>
        <v>#REF!</v>
      </c>
      <c r="D256" s="13" t="e">
        <f>administrator_vsphere_local_password</f>
        <v>#REF!</v>
      </c>
      <c r="E256" s="15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26" customHeight="1">
      <c r="A257" s="27"/>
      <c r="B257" s="80" t="s">
        <v>7187</v>
      </c>
      <c r="C257" s="31" t="e">
        <f>sample_wld_vc_fqdn</f>
        <v>#REF!</v>
      </c>
      <c r="D257" s="13" t="e">
        <f>wld_vc_fqdn</f>
        <v>#REF!</v>
      </c>
      <c r="E257" s="15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26" customHeight="1">
      <c r="A258" s="27"/>
      <c r="B258" s="80" t="s">
        <v>8198</v>
      </c>
      <c r="C258" s="31" t="e">
        <f>sample_wld_vrms_site_name</f>
        <v>#REF!</v>
      </c>
      <c r="D258" s="13" t="str">
        <f>wld_vrms_site_name</f>
        <v>Value Missing</v>
      </c>
      <c r="E258" s="15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26" customHeight="1">
      <c r="A259" s="27"/>
      <c r="B259" s="30" t="s">
        <v>8319</v>
      </c>
      <c r="C259" s="31" t="e">
        <f>sample_wld_vrms_admin_email</f>
        <v>#REF!</v>
      </c>
      <c r="D259" s="13" t="str">
        <f>wld_vrms_admin_email</f>
        <v>Value Missing</v>
      </c>
      <c r="E259" s="15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26" customHeight="1">
      <c r="A260" s="27"/>
      <c r="B260" s="30" t="s">
        <v>8320</v>
      </c>
      <c r="C260" s="31" t="e">
        <f>CONCATENATE(sample_wld_vrms_hostname,".",sample_child_dns_zone)</f>
        <v>#REF!</v>
      </c>
      <c r="D260" s="13" t="str">
        <f>wld_vrms_fqdn</f>
        <v>Value Missing.Value Missing</v>
      </c>
      <c r="E260" s="15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26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21" customHeight="1">
      <c r="A262" s="27"/>
      <c r="B262" s="205" t="s">
        <v>8321</v>
      </c>
      <c r="C262" s="183"/>
      <c r="D262" s="183"/>
      <c r="E262" s="181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45" customHeight="1">
      <c r="A263" s="27"/>
      <c r="B263" s="88" t="s">
        <v>6780</v>
      </c>
      <c r="C263" s="88" t="s">
        <v>8191</v>
      </c>
      <c r="D263" s="88" t="s">
        <v>6943</v>
      </c>
      <c r="E263" s="88" t="s">
        <v>8181</v>
      </c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26" customHeight="1">
      <c r="A264" s="27"/>
      <c r="B264" s="80" t="s">
        <v>8301</v>
      </c>
      <c r="C264" s="31" t="e">
        <f>sample_wld_vc_fqdn</f>
        <v>#REF!</v>
      </c>
      <c r="D264" s="13" t="e">
        <f>wld_vc_fqdn</f>
        <v>#REF!</v>
      </c>
      <c r="E264" s="15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26" customHeight="1">
      <c r="A265" s="27"/>
      <c r="B265" s="80" t="s">
        <v>8322</v>
      </c>
      <c r="C265" s="31" t="e">
        <f>sample_mgmt_cl01_vds01_name</f>
        <v>#REF!</v>
      </c>
      <c r="D265" s="13" t="e">
        <f>mgmt_cl01_vds01_name</f>
        <v>#REF!</v>
      </c>
      <c r="E265" s="15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26" customHeight="1">
      <c r="A266" s="27"/>
      <c r="B266" s="223" t="s">
        <v>8323</v>
      </c>
      <c r="C266" s="183"/>
      <c r="D266" s="183"/>
      <c r="E266" s="181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21" customHeight="1">
      <c r="A267" s="27"/>
      <c r="B267" s="80" t="s">
        <v>6780</v>
      </c>
      <c r="C267" s="27"/>
      <c r="D267" s="13" t="str">
        <f>wld_vrms_pg</f>
        <v>Value Missing</v>
      </c>
      <c r="E267" s="15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45" customHeight="1">
      <c r="A268" s="27"/>
      <c r="B268" s="105" t="s">
        <v>7175</v>
      </c>
      <c r="C268" s="27"/>
      <c r="D268" s="13"/>
      <c r="E268" s="10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26" customHeight="1">
      <c r="A269" s="27"/>
      <c r="B269" s="105" t="s">
        <v>7180</v>
      </c>
      <c r="C269" s="34" t="e">
        <f>CONCATENATE(prefix_wld_az1_cidr,"9.1")</f>
        <v>#REF!</v>
      </c>
      <c r="D269" s="13"/>
      <c r="E269" s="31" t="s">
        <v>6420</v>
      </c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26" customHeight="1">
      <c r="A270" s="27"/>
      <c r="B270" s="105" t="s">
        <v>7188</v>
      </c>
      <c r="C270" s="34" t="e">
        <f>CONCATENATE(prefix_wld_az1_cidr,"9.0/24")</f>
        <v>#REF!</v>
      </c>
      <c r="D270" s="13"/>
      <c r="E270" s="10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26" customHeight="1">
      <c r="A271" s="27"/>
      <c r="B271" s="42" t="s">
        <v>7196</v>
      </c>
      <c r="C271" s="34">
        <v>9000</v>
      </c>
      <c r="D271" s="13"/>
      <c r="E271" s="10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26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26" customHeight="1">
      <c r="A273" s="27"/>
      <c r="B273" s="205" t="s">
        <v>8324</v>
      </c>
      <c r="C273" s="183"/>
      <c r="D273" s="183"/>
      <c r="E273" s="181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26" customHeight="1">
      <c r="A274" s="27"/>
      <c r="B274" s="88" t="s">
        <v>6780</v>
      </c>
      <c r="C274" s="88" t="s">
        <v>8191</v>
      </c>
      <c r="D274" s="88" t="s">
        <v>6943</v>
      </c>
      <c r="E274" s="88" t="s">
        <v>8181</v>
      </c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26" customHeight="1">
      <c r="A275" s="27"/>
      <c r="B275" s="80" t="s">
        <v>8301</v>
      </c>
      <c r="C275" s="31" t="e">
        <f>sample_wld_vc_fqdn</f>
        <v>#REF!</v>
      </c>
      <c r="D275" s="13" t="e">
        <f>wld_vc_fqdn</f>
        <v>#REF!</v>
      </c>
      <c r="E275" s="15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26" customHeight="1">
      <c r="A276" s="27"/>
      <c r="B276" s="80" t="s">
        <v>6317</v>
      </c>
      <c r="C276" s="31" t="e">
        <f>sample_wld_cl01_cluster</f>
        <v>#REF!</v>
      </c>
      <c r="D276" s="13" t="e">
        <f>wld_cl01_cluster</f>
        <v>#REF!</v>
      </c>
      <c r="E276" s="15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26" customHeight="1">
      <c r="A277" s="27"/>
      <c r="B277" s="80" t="s">
        <v>8325</v>
      </c>
      <c r="C277" s="31" t="e">
        <f>sample_wld_vrms_hostname</f>
        <v>#REF!</v>
      </c>
      <c r="D277" s="13" t="str">
        <f>wld_vrms_hostname</f>
        <v>Value Missing</v>
      </c>
      <c r="E277" s="15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21" customHeight="1">
      <c r="A278" s="27"/>
      <c r="B278" s="80" t="s">
        <v>8326</v>
      </c>
      <c r="C278" s="31" t="e">
        <f>sample_wld_vrms_pg</f>
        <v>#REF!</v>
      </c>
      <c r="D278" s="13" t="str">
        <f>wld_vrms_pg</f>
        <v>Value Missing</v>
      </c>
      <c r="E278" s="15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45" customHeight="1">
      <c r="A279" s="27"/>
      <c r="B279" s="80" t="s">
        <v>8327</v>
      </c>
      <c r="C279" s="31" t="e">
        <f>CONCATENATE(sample_wld_vrms_hostname,".",sample_child_dns_zone)</f>
        <v>#REF!</v>
      </c>
      <c r="D279" s="13" t="str">
        <f>wld_vrms_fqdn</f>
        <v>Value Missing.Value Missing</v>
      </c>
      <c r="E279" s="15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26" customHeight="1">
      <c r="A280" s="27"/>
      <c r="B280" s="80" t="s">
        <v>8328</v>
      </c>
      <c r="C280" s="31" t="e">
        <f>sample_wld_vrms_vrms_ip</f>
        <v>#REF!</v>
      </c>
      <c r="D280" s="13" t="str">
        <f>wld_vrms_vrms_ip</f>
        <v>Value Missing</v>
      </c>
      <c r="E280" s="15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26" customHeight="1">
      <c r="A281" s="27"/>
      <c r="B281" s="80" t="s">
        <v>8329</v>
      </c>
      <c r="C281" s="31" t="e">
        <f>INT(RIGHT(sample_wld_az1_vrms_cidr,LEN(sample_wld_az1_vrms_cidr)-FIND("/",sample_wld_az1_vrms_cidr)))</f>
        <v>#REF!</v>
      </c>
      <c r="D281" s="13" t="e">
        <f>IF(wld_az1_mgmt_cidr="Value Missing","Value Missing",IF(wld_az1_mgmt_cidr="Not Required","Not Required",INT(RIGHT(wld_az1_mgmt_cidr,LEN(wld_az1_mgmt_cidr)-FIND("/",wld_az1_mgmt_cidr)))))</f>
        <v>#REF!</v>
      </c>
      <c r="E281" s="15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26" customHeight="1">
      <c r="A282" s="27"/>
      <c r="B282" s="30" t="s">
        <v>8330</v>
      </c>
      <c r="C282" s="31" t="e">
        <f>sample_wld_az1_mgmt_gateway_ip</f>
        <v>#NAME?</v>
      </c>
      <c r="D282" s="13" t="e">
        <f>wld_az1_mgmt_gateway_ip</f>
        <v>#REF!</v>
      </c>
      <c r="E282" s="15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26" customHeight="1">
      <c r="A283" s="27"/>
      <c r="B283" s="30" t="s">
        <v>8331</v>
      </c>
      <c r="C283" s="31" t="e">
        <f>sample_wld_vrms_vrms_ip</f>
        <v>#REF!</v>
      </c>
      <c r="D283" s="13" t="str">
        <f>wld_vrms_vrms_ip</f>
        <v>Value Missing</v>
      </c>
      <c r="E283" s="15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26" customHeight="1">
      <c r="A284" s="27"/>
      <c r="B284" s="80" t="s">
        <v>8332</v>
      </c>
      <c r="C284" s="31" t="e">
        <f>sample_wld_az1_vrms_gateway_ip</f>
        <v>#REF!</v>
      </c>
      <c r="D284" s="13" t="str">
        <f>wld_az1_vrms_gateway_ip</f>
        <v>Value Missing</v>
      </c>
      <c r="E284" s="15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26" customHeight="1">
      <c r="A285" s="27"/>
      <c r="B285" s="80" t="s">
        <v>8333</v>
      </c>
      <c r="C285" s="31" t="e">
        <f>sample_wld_vrms_recovery_replication_cidr</f>
        <v>#REF!</v>
      </c>
      <c r="D285" s="13" t="str">
        <f t="array" ref="D285">wld_vrms_recovery_replication_cidr</f>
        <v>Value Missing</v>
      </c>
      <c r="E285" s="15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26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26" customHeight="1">
      <c r="A287" s="27"/>
      <c r="B287" s="205" t="s">
        <v>8334</v>
      </c>
      <c r="C287" s="183"/>
      <c r="D287" s="183"/>
      <c r="E287" s="181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26" customHeight="1">
      <c r="A288" s="27"/>
      <c r="B288" s="88" t="s">
        <v>6780</v>
      </c>
      <c r="C288" s="88" t="s">
        <v>8191</v>
      </c>
      <c r="D288" s="88" t="s">
        <v>6943</v>
      </c>
      <c r="E288" s="88" t="s">
        <v>8181</v>
      </c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26" customHeight="1">
      <c r="A289" s="27"/>
      <c r="B289" s="80" t="s">
        <v>8301</v>
      </c>
      <c r="C289" s="31" t="e">
        <f>sample_wld_vc_fqdn</f>
        <v>#REF!</v>
      </c>
      <c r="D289" s="13" t="e">
        <f>wld_vc_fqdn</f>
        <v>#REF!</v>
      </c>
      <c r="E289" s="15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21" customHeight="1">
      <c r="A290" s="27"/>
      <c r="B290" s="80" t="s">
        <v>6317</v>
      </c>
      <c r="C290" s="31" t="e">
        <f>sample_wld_cl01_cluster</f>
        <v>#REF!</v>
      </c>
      <c r="D290" s="13" t="e">
        <f>wld_cl01_cluster</f>
        <v>#REF!</v>
      </c>
      <c r="E290" s="15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45" customHeight="1">
      <c r="A291" s="27"/>
      <c r="B291" s="30" t="s">
        <v>6690</v>
      </c>
      <c r="C291" s="31" t="e">
        <f>sample_wld_vrms_pg</f>
        <v>#REF!</v>
      </c>
      <c r="D291" s="13" t="str">
        <f>wld_vrms_pg</f>
        <v>Value Missing</v>
      </c>
      <c r="E291" s="15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26" customHeight="1">
      <c r="A292" s="27"/>
      <c r="B292" s="217" t="s">
        <v>8335</v>
      </c>
      <c r="C292" s="183"/>
      <c r="D292" s="183"/>
      <c r="E292" s="181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26" customHeight="1">
      <c r="A293" s="27"/>
      <c r="B293" s="80" t="e" cm="1">
        <f t="array" ref="B293:B308">wld_az1_host_fqdns</f>
        <v>#REF!</v>
      </c>
      <c r="C293" s="33" t="e">
        <f>CONCATENATE(prefix_wld_az1_cidr,"9.101")</f>
        <v>#REF!</v>
      </c>
      <c r="D293" s="13"/>
      <c r="E293" s="108" t="s">
        <v>8336</v>
      </c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26" customHeight="1">
      <c r="A294" s="27"/>
      <c r="B294" s="80" t="e">
        <v>#REF!</v>
      </c>
      <c r="C294" s="33" t="e">
        <f>CONCATENATE(prefix_wld_az1_cidr,"9.102")</f>
        <v>#REF!</v>
      </c>
      <c r="D294" s="13"/>
      <c r="E294" s="108" t="s">
        <v>8337</v>
      </c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26" customHeight="1">
      <c r="A295" s="27"/>
      <c r="B295" s="80" t="e">
        <v>#REF!</v>
      </c>
      <c r="C295" s="33" t="e">
        <f>CONCATENATE(prefix_wld_az1_cidr,"9.103")</f>
        <v>#REF!</v>
      </c>
      <c r="D295" s="13"/>
      <c r="E295" s="108" t="s">
        <v>8338</v>
      </c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26" customHeight="1">
      <c r="A296" s="27"/>
      <c r="B296" s="80" t="e">
        <v>#REF!</v>
      </c>
      <c r="C296" s="33" t="e">
        <f>CONCATENATE(prefix_wld_az1_cidr,"9.104")</f>
        <v>#REF!</v>
      </c>
      <c r="D296" s="13"/>
      <c r="E296" s="108" t="s">
        <v>8339</v>
      </c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26" customHeight="1">
      <c r="A297" s="27"/>
      <c r="B297" s="80" t="e">
        <v>#REF!</v>
      </c>
      <c r="C297" s="33" t="e">
        <f>CONCATENATE(prefix_wld_az1_cidr,"9.105")</f>
        <v>#REF!</v>
      </c>
      <c r="D297" s="13"/>
      <c r="E297" s="108" t="s">
        <v>8340</v>
      </c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26" customHeight="1">
      <c r="A298" s="27"/>
      <c r="B298" s="80" t="e">
        <v>#REF!</v>
      </c>
      <c r="C298" s="33" t="e">
        <f>CONCATENATE(prefix_wld_az1_cidr,"9.106")</f>
        <v>#REF!</v>
      </c>
      <c r="D298" s="13"/>
      <c r="E298" s="108" t="s">
        <v>8341</v>
      </c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26" customHeight="1">
      <c r="A299" s="27"/>
      <c r="B299" s="30" t="e">
        <v>#REF!</v>
      </c>
      <c r="C299" s="33" t="e">
        <f>CONCATENATE(prefix_wld_az1_cidr,"9.107")</f>
        <v>#REF!</v>
      </c>
      <c r="D299" s="13"/>
      <c r="E299" s="108" t="s">
        <v>8342</v>
      </c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26" customHeight="1">
      <c r="A300" s="27"/>
      <c r="B300" s="30" t="e">
        <v>#REF!</v>
      </c>
      <c r="C300" s="33" t="e">
        <f>CONCATENATE(prefix_wld_az1_cidr,"9.108")</f>
        <v>#REF!</v>
      </c>
      <c r="D300" s="13"/>
      <c r="E300" s="108" t="s">
        <v>8343</v>
      </c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26" customHeight="1">
      <c r="A301" s="27"/>
      <c r="B301" s="30" t="e">
        <v>#REF!</v>
      </c>
      <c r="C301" s="33" t="e">
        <f>CONCATENATE(prefix_wld_az1_cidr,"9.109")</f>
        <v>#REF!</v>
      </c>
      <c r="D301" s="13"/>
      <c r="E301" s="108" t="s">
        <v>8344</v>
      </c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26" customHeight="1">
      <c r="A302" s="27"/>
      <c r="B302" s="80" t="e">
        <v>#REF!</v>
      </c>
      <c r="C302" s="33" t="e">
        <f>CONCATENATE(prefix_wld_az1_cidr,"9.110")</f>
        <v>#REF!</v>
      </c>
      <c r="D302" s="13"/>
      <c r="E302" s="108" t="s">
        <v>8345</v>
      </c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26" customHeight="1">
      <c r="A303" s="27"/>
      <c r="B303" s="80" t="e">
        <v>#REF!</v>
      </c>
      <c r="C303" s="33" t="e">
        <f>CONCATENATE(prefix_wld_az1_cidr,"9.111")</f>
        <v>#REF!</v>
      </c>
      <c r="D303" s="13"/>
      <c r="E303" s="108" t="s">
        <v>8346</v>
      </c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21" customHeight="1">
      <c r="A304" s="27"/>
      <c r="B304" s="80" t="e">
        <v>#REF!</v>
      </c>
      <c r="C304" s="33" t="e">
        <f>CONCATENATE(prefix_wld_az1_cidr,"9.112")</f>
        <v>#REF!</v>
      </c>
      <c r="D304" s="13"/>
      <c r="E304" s="108" t="s">
        <v>8347</v>
      </c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45" customHeight="1">
      <c r="A305" s="27"/>
      <c r="B305" s="92" t="e">
        <v>#REF!</v>
      </c>
      <c r="C305" s="33" t="e">
        <f>CONCATENATE(prefix_wld_az1_cidr,"9.113")</f>
        <v>#REF!</v>
      </c>
      <c r="D305" s="13"/>
      <c r="E305" s="108" t="s">
        <v>8348</v>
      </c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26" customHeight="1">
      <c r="A306" s="27"/>
      <c r="B306" s="92" t="e">
        <v>#REF!</v>
      </c>
      <c r="C306" s="33" t="e">
        <f>CONCATENATE(prefix_wld_az1_cidr,"9.114")</f>
        <v>#REF!</v>
      </c>
      <c r="D306" s="13"/>
      <c r="E306" s="108" t="s">
        <v>8349</v>
      </c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26" customHeight="1">
      <c r="A307" s="27"/>
      <c r="B307" s="92" t="e">
        <v>#REF!</v>
      </c>
      <c r="C307" s="33" t="e">
        <f>CONCATENATE(prefix_wld_az1_cidr,"9.115")</f>
        <v>#REF!</v>
      </c>
      <c r="D307" s="13"/>
      <c r="E307" s="108" t="s">
        <v>8350</v>
      </c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26" customHeight="1">
      <c r="A308" s="27"/>
      <c r="B308" s="92" t="e">
        <v>#REF!</v>
      </c>
      <c r="C308" s="33" t="e">
        <f>CONCATENATE(prefix_wld_az1_cidr,"9.116")</f>
        <v>#REF!</v>
      </c>
      <c r="D308" s="13"/>
      <c r="E308" s="108" t="s">
        <v>8351</v>
      </c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26" customHeight="1">
      <c r="A309" s="27"/>
      <c r="B309" s="217" t="s">
        <v>8352</v>
      </c>
      <c r="C309" s="183"/>
      <c r="D309" s="183"/>
      <c r="E309" s="181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26" customHeight="1">
      <c r="A310" s="27"/>
      <c r="B310" s="80" t="e" cm="1">
        <f t="array" ref="B310:B325">wld_az2_host_fqdns</f>
        <v>#REF!</v>
      </c>
      <c r="C310" s="33" t="e">
        <f>CONCATENATE(prefix_wld_az2_cidr,"9.101")</f>
        <v>#REF!</v>
      </c>
      <c r="D310" s="13"/>
      <c r="E310" s="108" t="s">
        <v>8336</v>
      </c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26" customHeight="1">
      <c r="A311" s="27"/>
      <c r="B311" s="80" t="e">
        <v>#REF!</v>
      </c>
      <c r="C311" s="33" t="e">
        <f>CONCATENATE(prefix_wld_az2_cidr,"9.102")</f>
        <v>#REF!</v>
      </c>
      <c r="D311" s="13"/>
      <c r="E311" s="108" t="s">
        <v>8337</v>
      </c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26" customHeight="1">
      <c r="A312" s="27"/>
      <c r="B312" s="80" t="e">
        <v>#REF!</v>
      </c>
      <c r="C312" s="33" t="e">
        <f>CONCATENATE(prefix_wld_az2_cidr,"9.103")</f>
        <v>#REF!</v>
      </c>
      <c r="D312" s="13"/>
      <c r="E312" s="108" t="s">
        <v>8338</v>
      </c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26" customHeight="1">
      <c r="A313" s="27"/>
      <c r="B313" s="80" t="e">
        <v>#REF!</v>
      </c>
      <c r="C313" s="33" t="e">
        <f>CONCATENATE(prefix_wld_az2_cidr,"9.104")</f>
        <v>#REF!</v>
      </c>
      <c r="D313" s="13"/>
      <c r="E313" s="108" t="s">
        <v>8339</v>
      </c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26" customHeight="1">
      <c r="A314" s="27"/>
      <c r="B314" s="80" t="e">
        <v>#REF!</v>
      </c>
      <c r="C314" s="33" t="e">
        <f>CONCATENATE(prefix_wld_az2_cidr,"9.105")</f>
        <v>#REF!</v>
      </c>
      <c r="D314" s="13"/>
      <c r="E314" s="108" t="s">
        <v>8340</v>
      </c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26" customHeight="1">
      <c r="A315" s="27"/>
      <c r="B315" s="80" t="e">
        <v>#REF!</v>
      </c>
      <c r="C315" s="33" t="e">
        <f>CONCATENATE(prefix_wld_az2_cidr,"9.106")</f>
        <v>#REF!</v>
      </c>
      <c r="D315" s="13"/>
      <c r="E315" s="108" t="s">
        <v>8341</v>
      </c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26" customHeight="1">
      <c r="A316" s="27"/>
      <c r="B316" s="30" t="e">
        <v>#REF!</v>
      </c>
      <c r="C316" s="33" t="e">
        <f>CONCATENATE(prefix_wld_az2_cidr,"9.107")</f>
        <v>#REF!</v>
      </c>
      <c r="D316" s="13"/>
      <c r="E316" s="108" t="s">
        <v>8342</v>
      </c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26" customHeight="1">
      <c r="A317" s="27"/>
      <c r="B317" s="30" t="e">
        <v>#REF!</v>
      </c>
      <c r="C317" s="33" t="e">
        <f>CONCATENATE(prefix_wld_az2_cidr,"9.108")</f>
        <v>#REF!</v>
      </c>
      <c r="D317" s="13"/>
      <c r="E317" s="108" t="s">
        <v>8343</v>
      </c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26" customHeight="1">
      <c r="A318" s="27"/>
      <c r="B318" s="30" t="e">
        <v>#REF!</v>
      </c>
      <c r="C318" s="33" t="e">
        <f>CONCATENATE(prefix_wld_az2_cidr,"9.109")</f>
        <v>#REF!</v>
      </c>
      <c r="D318" s="13"/>
      <c r="E318" s="108" t="s">
        <v>8344</v>
      </c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26" customHeight="1">
      <c r="A319" s="27"/>
      <c r="B319" s="80" t="e">
        <v>#REF!</v>
      </c>
      <c r="C319" s="33" t="e">
        <f>CONCATENATE(prefix_wld_az2_cidr,"9.110")</f>
        <v>#REF!</v>
      </c>
      <c r="D319" s="13"/>
      <c r="E319" s="108" t="s">
        <v>8345</v>
      </c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26" customHeight="1">
      <c r="A320" s="27"/>
      <c r="B320" s="80" t="e">
        <v>#REF!</v>
      </c>
      <c r="C320" s="33" t="e">
        <f>CONCATENATE(prefix_wld_az2_cidr,"9.111")</f>
        <v>#REF!</v>
      </c>
      <c r="D320" s="13"/>
      <c r="E320" s="108" t="s">
        <v>8346</v>
      </c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26" customHeight="1">
      <c r="A321" s="27"/>
      <c r="B321" s="80" t="e">
        <v>#REF!</v>
      </c>
      <c r="C321" s="33" t="e">
        <f>CONCATENATE(prefix_wld_az2_cidr,"9.112")</f>
        <v>#REF!</v>
      </c>
      <c r="D321" s="13"/>
      <c r="E321" s="108" t="s">
        <v>8347</v>
      </c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26" customHeight="1">
      <c r="A322" s="27"/>
      <c r="B322" s="80" t="e">
        <v>#REF!</v>
      </c>
      <c r="C322" s="33" t="e">
        <f>CONCATENATE(prefix_wld_az2_cidr,"9.113")</f>
        <v>#REF!</v>
      </c>
      <c r="D322" s="13"/>
      <c r="E322" s="108" t="s">
        <v>8348</v>
      </c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26" customHeight="1">
      <c r="A323" s="27"/>
      <c r="B323" s="80" t="e">
        <v>#REF!</v>
      </c>
      <c r="C323" s="33" t="e">
        <f>CONCATENATE(prefix_wld_az2_cidr,"9.114")</f>
        <v>#REF!</v>
      </c>
      <c r="D323" s="13"/>
      <c r="E323" s="108" t="s">
        <v>8349</v>
      </c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26" customHeight="1">
      <c r="A324" s="27"/>
      <c r="B324" s="80" t="e">
        <v>#REF!</v>
      </c>
      <c r="C324" s="33" t="e">
        <f>CONCATENATE(prefix_wld_az2_cidr,"9.115")</f>
        <v>#REF!</v>
      </c>
      <c r="D324" s="13"/>
      <c r="E324" s="108" t="s">
        <v>8350</v>
      </c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26" customHeight="1">
      <c r="A325" s="27"/>
      <c r="B325" s="80" t="e">
        <v>#REF!</v>
      </c>
      <c r="C325" s="33" t="e">
        <f>CONCATENATE(prefix_wld_az2_cidr,"9.116")</f>
        <v>#REF!</v>
      </c>
      <c r="D325" s="13"/>
      <c r="E325" s="108" t="s">
        <v>8351</v>
      </c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26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26" customHeight="1">
      <c r="A327" s="27"/>
      <c r="B327" s="205" t="s">
        <v>8353</v>
      </c>
      <c r="C327" s="183"/>
      <c r="D327" s="183"/>
      <c r="E327" s="181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26" customHeight="1">
      <c r="A328" s="27"/>
      <c r="B328" s="88" t="s">
        <v>6780</v>
      </c>
      <c r="C328" s="88" t="s">
        <v>8191</v>
      </c>
      <c r="D328" s="88" t="s">
        <v>6943</v>
      </c>
      <c r="E328" s="88" t="s">
        <v>8181</v>
      </c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26" customHeight="1">
      <c r="A329" s="27"/>
      <c r="B329" s="217" t="s">
        <v>8335</v>
      </c>
      <c r="C329" s="183"/>
      <c r="D329" s="183"/>
      <c r="E329" s="181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26" customHeight="1">
      <c r="A330" s="27"/>
      <c r="B330" s="30" t="s">
        <v>8354</v>
      </c>
      <c r="C330" s="31" t="e">
        <f>sample_wld_az1_host1_fqdn</f>
        <v>#REF!</v>
      </c>
      <c r="D330" s="13" t="e">
        <f>wld_az1_host1_fqdn</f>
        <v>#REF!</v>
      </c>
      <c r="E330" s="15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26" customHeight="1">
      <c r="A331" s="27"/>
      <c r="B331" s="30" t="s">
        <v>8355</v>
      </c>
      <c r="C331" s="31" t="e">
        <f>sample_wld_az1_vrms_gateway_ip</f>
        <v>#REF!</v>
      </c>
      <c r="D331" s="13" t="str">
        <f>wld_az1_vrms_gateway_ip</f>
        <v>Value Missing</v>
      </c>
      <c r="E331" s="15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26" customHeight="1">
      <c r="A332" s="27"/>
      <c r="B332" s="80" t="s">
        <v>8356</v>
      </c>
      <c r="C332" s="31" t="e">
        <f t="array" ref="C332">sample_wld_vrms_recovery_replication_cidr</f>
        <v>#REF!</v>
      </c>
      <c r="D332" s="13" t="str">
        <f t="array" ref="D332">wld_vrms_recovery_replication_cidr</f>
        <v>Value Missing</v>
      </c>
      <c r="E332" s="15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26" customHeight="1">
      <c r="A333" s="27"/>
      <c r="B333" s="80" t="s">
        <v>8357</v>
      </c>
      <c r="C333" s="31" t="e">
        <f>sample_wld_az1_host2_fqdn</f>
        <v>#REF!</v>
      </c>
      <c r="D333" s="13" t="e">
        <f>wld_az1_host2_fqdn</f>
        <v>#REF!</v>
      </c>
      <c r="E333" s="15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26" customHeight="1">
      <c r="A334" s="27"/>
      <c r="B334" s="80" t="s">
        <v>8358</v>
      </c>
      <c r="C334" s="31" t="e">
        <f>sample_wld_az1_vrms_gateway_ip</f>
        <v>#REF!</v>
      </c>
      <c r="D334" s="13" t="str">
        <f>wld_az1_vrms_gateway_ip</f>
        <v>Value Missing</v>
      </c>
      <c r="E334" s="15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26" customHeight="1">
      <c r="A335" s="27"/>
      <c r="B335" s="80" t="s">
        <v>8359</v>
      </c>
      <c r="C335" s="31" t="e">
        <f t="array" ref="C335">sample_wld_vrms_recovery_replication_cidr</f>
        <v>#REF!</v>
      </c>
      <c r="D335" s="13" t="str">
        <f t="array" ref="D335">wld_vrms_recovery_replication_cidr</f>
        <v>Value Missing</v>
      </c>
      <c r="E335" s="15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26" customHeight="1">
      <c r="A336" s="27"/>
      <c r="B336" s="80" t="s">
        <v>8360</v>
      </c>
      <c r="C336" s="31" t="e">
        <f>sample_wld_az1_host3_fqdn</f>
        <v>#REF!</v>
      </c>
      <c r="D336" s="13" t="e">
        <f>wld_az1_host3_fqdn</f>
        <v>#REF!</v>
      </c>
      <c r="E336" s="15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26" customHeight="1">
      <c r="A337" s="27"/>
      <c r="B337" s="30" t="s">
        <v>8361</v>
      </c>
      <c r="C337" s="31" t="e">
        <f>sample_wld_az1_vrms_gateway_ip</f>
        <v>#REF!</v>
      </c>
      <c r="D337" s="13" t="str">
        <f>wld_az1_vrms_gateway_ip</f>
        <v>Value Missing</v>
      </c>
      <c r="E337" s="15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26" customHeight="1">
      <c r="A338" s="27"/>
      <c r="B338" s="30" t="s">
        <v>8362</v>
      </c>
      <c r="C338" s="31" t="e">
        <f t="array" ref="C338">sample_wld_vrms_recovery_replication_cidr</f>
        <v>#REF!</v>
      </c>
      <c r="D338" s="13" t="str">
        <f t="array" ref="D338">wld_vrms_recovery_replication_cidr</f>
        <v>Value Missing</v>
      </c>
      <c r="E338" s="15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26" customHeight="1">
      <c r="A339" s="27"/>
      <c r="B339" s="80" t="s">
        <v>8363</v>
      </c>
      <c r="C339" s="31" t="e">
        <f>sample_wld_az1_host4_fqdn</f>
        <v>#REF!</v>
      </c>
      <c r="D339" s="13" t="e">
        <f>wld_az1_host4_fqdn</f>
        <v>#REF!</v>
      </c>
      <c r="E339" s="15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26" customHeight="1">
      <c r="A340" s="27"/>
      <c r="B340" s="80" t="s">
        <v>8364</v>
      </c>
      <c r="C340" s="31" t="e">
        <f>sample_wld_az1_vrms_gateway_ip</f>
        <v>#REF!</v>
      </c>
      <c r="D340" s="13" t="str">
        <f>wld_az1_vrms_gateway_ip</f>
        <v>Value Missing</v>
      </c>
      <c r="E340" s="15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26" customHeight="1">
      <c r="A341" s="27"/>
      <c r="B341" s="30" t="s">
        <v>8365</v>
      </c>
      <c r="C341" s="31" t="e">
        <f t="array" ref="C341">sample_wld_vrms_recovery_replication_cidr</f>
        <v>#REF!</v>
      </c>
      <c r="D341" s="13" t="str">
        <f t="array" ref="D341">wld_vrms_recovery_replication_cidr</f>
        <v>Value Missing</v>
      </c>
      <c r="E341" s="15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26" customHeight="1">
      <c r="A342" s="27"/>
      <c r="B342" s="217" t="s">
        <v>8352</v>
      </c>
      <c r="C342" s="183"/>
      <c r="D342" s="183"/>
      <c r="E342" s="181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26" customHeight="1">
      <c r="A343" s="27"/>
      <c r="B343" s="30" t="s">
        <v>8354</v>
      </c>
      <c r="C343" s="31" t="e">
        <f>sample_wld_az2_host1_fqdn</f>
        <v>#REF!</v>
      </c>
      <c r="D343" s="13" t="e">
        <f>wld_az2_host1_fqdn</f>
        <v>#REF!</v>
      </c>
      <c r="E343" s="15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21" customHeight="1">
      <c r="A344" s="27"/>
      <c r="B344" s="30" t="s">
        <v>8355</v>
      </c>
      <c r="C344" s="31" t="e">
        <f>sample_wld_az1_vrms_gateway_ip</f>
        <v>#REF!</v>
      </c>
      <c r="D344" s="13" t="str">
        <f>wld_az1_vrms_gateway_ip</f>
        <v>Value Missing</v>
      </c>
      <c r="E344" s="15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45" customHeight="1">
      <c r="A345" s="27"/>
      <c r="B345" s="80" t="s">
        <v>8356</v>
      </c>
      <c r="C345" s="31" t="e">
        <f t="array" ref="C345">sample_wld_vrms_recovery_replication_cidr</f>
        <v>#REF!</v>
      </c>
      <c r="D345" s="13" t="str">
        <f t="array" ref="D345">wld_vrms_recovery_replication_cidr</f>
        <v>Value Missing</v>
      </c>
      <c r="E345" s="15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26" customHeight="1">
      <c r="A346" s="27"/>
      <c r="B346" s="80" t="s">
        <v>8357</v>
      </c>
      <c r="C346" s="31" t="e">
        <f>sample_wld_az2_host2_fqdn</f>
        <v>#REF!</v>
      </c>
      <c r="D346" s="13" t="e">
        <f>wld_az2_host2_fqdn</f>
        <v>#REF!</v>
      </c>
      <c r="E346" s="15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26" customHeight="1">
      <c r="A347" s="27"/>
      <c r="B347" s="80" t="s">
        <v>8358</v>
      </c>
      <c r="C347" s="31" t="e">
        <f>sample_wld_az1_vrms_gateway_ip</f>
        <v>#REF!</v>
      </c>
      <c r="D347" s="13" t="str">
        <f>wld_az1_vrms_gateway_ip</f>
        <v>Value Missing</v>
      </c>
      <c r="E347" s="15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26" customHeight="1">
      <c r="A348" s="27"/>
      <c r="B348" s="80" t="s">
        <v>8359</v>
      </c>
      <c r="C348" s="31" t="e">
        <f t="array" ref="C348">sample_wld_vrms_recovery_replication_cidr</f>
        <v>#REF!</v>
      </c>
      <c r="D348" s="13" t="str">
        <f t="array" ref="D348">wld_vrms_recovery_replication_cidr</f>
        <v>Value Missing</v>
      </c>
      <c r="E348" s="15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26" customHeight="1">
      <c r="A349" s="27"/>
      <c r="B349" s="80" t="s">
        <v>8360</v>
      </c>
      <c r="C349" s="31" t="e">
        <f>sample_wld_az2_host3_fqdn</f>
        <v>#REF!</v>
      </c>
      <c r="D349" s="13" t="e">
        <f>wld_az2_host3_fqdn</f>
        <v>#REF!</v>
      </c>
      <c r="E349" s="15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26" customHeight="1">
      <c r="A350" s="27"/>
      <c r="B350" s="30" t="s">
        <v>8361</v>
      </c>
      <c r="C350" s="31" t="e">
        <f>sample_wld_az1_vrms_gateway_ip</f>
        <v>#REF!</v>
      </c>
      <c r="D350" s="13" t="str">
        <f>wld_az1_vrms_gateway_ip</f>
        <v>Value Missing</v>
      </c>
      <c r="E350" s="15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26" customHeight="1">
      <c r="A351" s="27"/>
      <c r="B351" s="30" t="s">
        <v>8362</v>
      </c>
      <c r="C351" s="31" t="e">
        <f t="array" ref="C351">sample_wld_vrms_recovery_replication_cidr</f>
        <v>#REF!</v>
      </c>
      <c r="D351" s="13" t="str">
        <f t="array" ref="D351">wld_vrms_recovery_replication_cidr</f>
        <v>Value Missing</v>
      </c>
      <c r="E351" s="15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26" customHeight="1">
      <c r="A352" s="27"/>
      <c r="B352" s="80" t="s">
        <v>8363</v>
      </c>
      <c r="C352" s="31" t="e">
        <f>sample_wld_az2_host14_fqdn</f>
        <v>#REF!</v>
      </c>
      <c r="D352" s="13" t="e">
        <f>wld_az2_host4_fqdn</f>
        <v>#REF!</v>
      </c>
      <c r="E352" s="15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26" customHeight="1">
      <c r="A353" s="27"/>
      <c r="B353" s="80" t="s">
        <v>8364</v>
      </c>
      <c r="C353" s="31" t="e">
        <f>sample_wld_az1_vrms_gateway_ip</f>
        <v>#REF!</v>
      </c>
      <c r="D353" s="13" t="str">
        <f>wld_az1_vrms_gateway_ip</f>
        <v>Value Missing</v>
      </c>
      <c r="E353" s="15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26" customHeight="1">
      <c r="A354" s="27"/>
      <c r="B354" s="30" t="s">
        <v>8365</v>
      </c>
      <c r="C354" s="31" t="e">
        <f>sample_wld_vrms_recovery_replication_cidr</f>
        <v>#REF!</v>
      </c>
      <c r="D354" s="13" t="str">
        <f t="array" ref="D354">wld_vrms_recovery_replication_cidr</f>
        <v>Value Missing</v>
      </c>
      <c r="E354" s="15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26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26" customHeight="1">
      <c r="A356" s="27"/>
      <c r="B356" s="218" t="s">
        <v>8366</v>
      </c>
      <c r="C356" s="183"/>
      <c r="D356" s="183"/>
      <c r="E356" s="181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26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26" customHeight="1">
      <c r="A358" s="27"/>
      <c r="B358" s="205" t="s">
        <v>8367</v>
      </c>
      <c r="C358" s="183"/>
      <c r="D358" s="183"/>
      <c r="E358" s="181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26" customHeight="1">
      <c r="A359" s="27"/>
      <c r="B359" s="88" t="s">
        <v>6780</v>
      </c>
      <c r="C359" s="88" t="s">
        <v>8191</v>
      </c>
      <c r="D359" s="88" t="s">
        <v>6943</v>
      </c>
      <c r="E359" s="88" t="s">
        <v>8181</v>
      </c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26" customHeight="1">
      <c r="A360" s="27"/>
      <c r="B360" s="80" t="s">
        <v>8301</v>
      </c>
      <c r="C360" s="31" t="e">
        <f>sample_mgmt_vc_fqdn</f>
        <v>#REF!</v>
      </c>
      <c r="D360" s="13" t="e">
        <f>mgmt_vc_fqdn</f>
        <v>#REF!</v>
      </c>
      <c r="E360" s="15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26" customHeight="1">
      <c r="A361" s="27"/>
      <c r="B361" s="30" t="s">
        <v>8219</v>
      </c>
      <c r="C361" s="31" t="e">
        <f>sample_wld_srm_vm_folder</f>
        <v>#REF!</v>
      </c>
      <c r="D361" s="13" t="str">
        <f>wld_srm_vm_folder</f>
        <v>Value Missing</v>
      </c>
      <c r="E361" s="15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26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26" customHeight="1">
      <c r="A363" s="27"/>
      <c r="B363" s="205" t="s">
        <v>8368</v>
      </c>
      <c r="C363" s="183"/>
      <c r="D363" s="183"/>
      <c r="E363" s="181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26" customHeight="1">
      <c r="A364" s="27"/>
      <c r="B364" s="88" t="s">
        <v>6780</v>
      </c>
      <c r="C364" s="88" t="s">
        <v>8191</v>
      </c>
      <c r="D364" s="88" t="s">
        <v>6943</v>
      </c>
      <c r="E364" s="88" t="s">
        <v>8181</v>
      </c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26" customHeight="1">
      <c r="A365" s="27"/>
      <c r="B365" s="30" t="s">
        <v>8369</v>
      </c>
      <c r="C365" s="31" t="e">
        <f>sample_mgmt_vc_fqdn</f>
        <v>#REF!</v>
      </c>
      <c r="D365" s="13" t="e">
        <f>mgmt_vc_fqdn</f>
        <v>#REF!</v>
      </c>
      <c r="E365" s="15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26" customHeight="1">
      <c r="A366" s="27"/>
      <c r="B366" s="80" t="s">
        <v>6317</v>
      </c>
      <c r="C366" s="31" t="e">
        <f>sample_mgmt_cl01_cluster</f>
        <v>#REF!</v>
      </c>
      <c r="D366" s="13" t="e">
        <f>mgmt_cl01_cluster</f>
        <v>#REF!</v>
      </c>
      <c r="E366" s="15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26" customHeight="1">
      <c r="A367" s="27"/>
      <c r="B367" s="80" t="s">
        <v>8303</v>
      </c>
      <c r="C367" s="31" t="e">
        <f>sample_wld_srm_hostname</f>
        <v>#REF!</v>
      </c>
      <c r="D367" s="13" t="str">
        <f>wld_srm_hostname</f>
        <v>Value Missing</v>
      </c>
      <c r="E367" s="15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26" customHeight="1">
      <c r="A368" s="27"/>
      <c r="B368" s="80" t="s">
        <v>8304</v>
      </c>
      <c r="C368" s="31" t="e">
        <f>sample_wld_srm_vm_folder</f>
        <v>#REF!</v>
      </c>
      <c r="D368" s="13" t="str">
        <f>wld_srm_vm_folder</f>
        <v>Value Missing</v>
      </c>
      <c r="E368" s="15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26" customHeight="1">
      <c r="A369" s="27"/>
      <c r="B369" s="80" t="s">
        <v>8305</v>
      </c>
      <c r="C369" s="31" t="e">
        <f>sample_mgmt_cl01_cluster</f>
        <v>#REF!</v>
      </c>
      <c r="D369" s="13" t="e">
        <f>mgmt_cl01_cluster</f>
        <v>#REF!</v>
      </c>
      <c r="E369" s="15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26" customHeight="1">
      <c r="A370" s="27"/>
      <c r="B370" s="80" t="s">
        <v>7847</v>
      </c>
      <c r="C370" s="31" t="e">
        <f>sample_mgmt_cl01_vsan_datastore</f>
        <v>#REF!</v>
      </c>
      <c r="D370" s="13" t="e">
        <f>mgmt_cl01_vsan_datastore</f>
        <v>#REF!</v>
      </c>
      <c r="E370" s="15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26" customHeight="1">
      <c r="A371" s="27"/>
      <c r="B371" s="30" t="s">
        <v>8306</v>
      </c>
      <c r="C371" s="31" t="e">
        <f>sample_mgmt_cl01_az1_mgmt_pg</f>
        <v>#REF!</v>
      </c>
      <c r="D371" s="13" t="e">
        <f>mgmt_cl01_az1_mgmt_pg</f>
        <v>#REF!</v>
      </c>
      <c r="E371" s="15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26" customHeight="1">
      <c r="A372" s="27"/>
      <c r="B372" s="30" t="s">
        <v>8307</v>
      </c>
      <c r="C372" s="31" t="str">
        <f>sample_wld_srm_root_password</f>
        <v>VMw@re1!</v>
      </c>
      <c r="D372" s="13" t="str">
        <f>wld_srm_root_password</f>
        <v>Value Missing</v>
      </c>
      <c r="E372" s="15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21" customHeight="1">
      <c r="A373" s="27"/>
      <c r="B373" s="80" t="s">
        <v>8308</v>
      </c>
      <c r="C373" s="31" t="str">
        <f>sample_wld_srm_admin_password</f>
        <v>VMw@re1!</v>
      </c>
      <c r="D373" s="13" t="str">
        <f>wld_srm_admin_password</f>
        <v>Value Missing</v>
      </c>
      <c r="E373" s="15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45" customHeight="1">
      <c r="A374" s="27"/>
      <c r="B374" s="80" t="s">
        <v>6697</v>
      </c>
      <c r="C374" s="31" t="e">
        <f>sample_region_ntp1_server</f>
        <v>#REF!</v>
      </c>
      <c r="D374" s="13" t="e">
        <f>region_ntp1_server</f>
        <v>#REF!</v>
      </c>
      <c r="E374" s="15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21" customHeight="1">
      <c r="A375" s="27"/>
      <c r="B375" s="30" t="s">
        <v>6786</v>
      </c>
      <c r="C375" s="31" t="e">
        <f>CONCATENATE(sample_wld_srm_hostname,".",sample_child_dns_zone)</f>
        <v>#REF!</v>
      </c>
      <c r="D375" s="13" t="str">
        <f>wld_srm_fqdn</f>
        <v>Value Missing.Value Missing</v>
      </c>
      <c r="E375" s="15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45" customHeight="1">
      <c r="A376" s="27"/>
      <c r="B376" s="80" t="s">
        <v>8370</v>
      </c>
      <c r="C376" s="31" t="str">
        <f>sample_wld_srm_database_password</f>
        <v>VMw@re1!</v>
      </c>
      <c r="D376" s="13" t="str">
        <f>wld_srm_database_password</f>
        <v>Value Missing</v>
      </c>
      <c r="E376" s="15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26" customHeight="1">
      <c r="A377" s="27"/>
      <c r="B377" s="30" t="s">
        <v>7989</v>
      </c>
      <c r="C377" s="31" t="e">
        <f>sample_mgmt_az1_mgmt_vm_gateway_cidr</f>
        <v>#REF!</v>
      </c>
      <c r="D377" s="13" t="e">
        <f>mgmt_az1_mgmt_vm_gateway_ip</f>
        <v>#REF!</v>
      </c>
      <c r="E377" s="15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26" customHeight="1">
      <c r="A378" s="27"/>
      <c r="B378" s="80" t="s">
        <v>6692</v>
      </c>
      <c r="C378" s="31" t="e">
        <f>sample_child_dns_zone</f>
        <v>#REF!</v>
      </c>
      <c r="D378" s="13" t="str">
        <f>child_dns_zone</f>
        <v>Value Missing</v>
      </c>
      <c r="E378" s="15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26" customHeight="1">
      <c r="A379" s="27"/>
      <c r="B379" s="80" t="s">
        <v>8309</v>
      </c>
      <c r="C379" s="31" t="e">
        <f>sample_child_dns_zone</f>
        <v>#REF!</v>
      </c>
      <c r="D379" s="13" t="str">
        <f>child_dns_zone</f>
        <v>Value Missing</v>
      </c>
      <c r="E379" s="15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21" customHeight="1">
      <c r="A380" s="27"/>
      <c r="B380" s="80" t="s">
        <v>8310</v>
      </c>
      <c r="C380" s="31" t="e">
        <f>CONCATENATE(sample_region_dns1_ip,",",sample_region_dns2_ip)</f>
        <v>#REF!</v>
      </c>
      <c r="D380" s="13" t="e">
        <f>CONCATENATE(region_dns1_ip,",",region_dns2_ip)</f>
        <v>#REF!</v>
      </c>
      <c r="E380" s="15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45" customHeight="1">
      <c r="A381" s="27"/>
      <c r="B381" s="80" t="s">
        <v>8311</v>
      </c>
      <c r="C381" s="31" t="e">
        <f>sample_wld_srm_ip</f>
        <v>#REF!</v>
      </c>
      <c r="D381" s="13" t="str">
        <f>wld_srm_ip</f>
        <v>Value Missing</v>
      </c>
      <c r="E381" s="15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26" customHeight="1">
      <c r="A382" s="27"/>
      <c r="B382" s="80" t="s">
        <v>8312</v>
      </c>
      <c r="C382" s="31" t="e">
        <f>INT(RIGHT(sample_mgmt_az1_mgmt_cidr,LEN(sample_mgmt_az1_mgmt_cidr)-FIND("/",sample_mgmt_az1_mgmt_cidr)))</f>
        <v>#NAME?</v>
      </c>
      <c r="D382" s="13" t="e">
        <f>IF(mgmt_az1_mgmt_cidr="Value Missing","Value Missing",INT(RIGHT(mgmt_az1_mgmt_cidr,LEN(mgmt_az1_mgmt_cidr)-FIND("/",mgmt_az1_mgmt_cidr))))</f>
        <v>#REF!</v>
      </c>
      <c r="E382" s="15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26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26" customHeight="1">
      <c r="A384" s="27"/>
      <c r="B384" s="205" t="s">
        <v>8371</v>
      </c>
      <c r="C384" s="183"/>
      <c r="D384" s="183"/>
      <c r="E384" s="181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26" customHeight="1">
      <c r="A385" s="27"/>
      <c r="B385" s="88" t="s">
        <v>6780</v>
      </c>
      <c r="C385" s="88" t="s">
        <v>8191</v>
      </c>
      <c r="D385" s="88" t="s">
        <v>6943</v>
      </c>
      <c r="E385" s="88" t="s">
        <v>8181</v>
      </c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26" customHeight="1">
      <c r="A386" s="27"/>
      <c r="B386" s="30" t="s">
        <v>8372</v>
      </c>
      <c r="C386" s="31" t="e">
        <f>CONCATENATE(sample_wld_srm_hostname,".",sample_child_dns_zone)</f>
        <v>#REF!</v>
      </c>
      <c r="D386" s="13" t="str">
        <f>wld_srm_fqdn</f>
        <v>Value Missing.Value Missing</v>
      </c>
      <c r="E386" s="15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26" customHeight="1">
      <c r="A387" s="27"/>
      <c r="B387" s="30" t="s">
        <v>8315</v>
      </c>
      <c r="C387" s="31" t="str">
        <f>sample_wld_srm_p12_password</f>
        <v>VMw@re1!</v>
      </c>
      <c r="D387" s="13" t="str">
        <f>wld_srm_p12_password</f>
        <v>Value Missing</v>
      </c>
      <c r="E387" s="15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26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26" customHeight="1">
      <c r="A389" s="27"/>
      <c r="B389" s="205" t="s">
        <v>8373</v>
      </c>
      <c r="C389" s="183"/>
      <c r="D389" s="183"/>
      <c r="E389" s="181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26" customHeight="1">
      <c r="A390" s="27"/>
      <c r="B390" s="88" t="s">
        <v>6780</v>
      </c>
      <c r="C390" s="88" t="s">
        <v>8191</v>
      </c>
      <c r="D390" s="88" t="s">
        <v>6943</v>
      </c>
      <c r="E390" s="88" t="s">
        <v>8181</v>
      </c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26" customHeight="1">
      <c r="A391" s="27"/>
      <c r="B391" s="30" t="s">
        <v>8372</v>
      </c>
      <c r="C391" s="31" t="e">
        <f>CONCATENATE(sample_wld_srm_hostname,".",sample_child_dns_zone)</f>
        <v>#REF!</v>
      </c>
      <c r="D391" s="13" t="str">
        <f>wld_srm_fqdn</f>
        <v>Value Missing.Value Missing</v>
      </c>
      <c r="E391" s="15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26" customHeight="1">
      <c r="A392" s="27"/>
      <c r="B392" s="80" t="s">
        <v>8317</v>
      </c>
      <c r="C392" s="31" t="e">
        <f>sample_wld_vc_fqdn</f>
        <v>#REF!</v>
      </c>
      <c r="D392" s="13" t="e">
        <f>wld_vc_fqdn</f>
        <v>#REF!</v>
      </c>
      <c r="E392" s="15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26" customHeight="1">
      <c r="A393" s="27"/>
      <c r="B393" s="80" t="s">
        <v>8318</v>
      </c>
      <c r="C393" s="31" t="s">
        <v>7398</v>
      </c>
      <c r="D393" s="13" t="str">
        <f>C393</f>
        <v>administrator@vsphere.local</v>
      </c>
      <c r="E393" s="15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26" customHeight="1">
      <c r="A394" s="27"/>
      <c r="B394" s="80" t="s">
        <v>6792</v>
      </c>
      <c r="C394" s="31" t="e">
        <f>sample_administrator_vsphere_local_password</f>
        <v>#REF!</v>
      </c>
      <c r="D394" s="13" t="e">
        <f>administrator_vsphere_local_password</f>
        <v>#REF!</v>
      </c>
      <c r="E394" s="15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26" customHeight="1">
      <c r="A395" s="27"/>
      <c r="B395" s="80" t="s">
        <v>7187</v>
      </c>
      <c r="C395" s="31" t="e">
        <f>sample_wld_vc_fqdn</f>
        <v>#REF!</v>
      </c>
      <c r="D395" s="13" t="e">
        <f>wld_vc_fqdn</f>
        <v>#REF!</v>
      </c>
      <c r="E395" s="15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26" customHeight="1">
      <c r="A396" s="27"/>
      <c r="B396" s="80" t="s">
        <v>8198</v>
      </c>
      <c r="C396" s="31" t="e">
        <f>sample_wld_srm_site_name</f>
        <v>#REF!</v>
      </c>
      <c r="D396" s="13" t="str">
        <f>wld_srm_site_name</f>
        <v>Value Missing</v>
      </c>
      <c r="E396" s="15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26" customHeight="1">
      <c r="A397" s="27"/>
      <c r="B397" s="30" t="s">
        <v>8319</v>
      </c>
      <c r="C397" s="31" t="e">
        <f>sample_wld_srm_admin_email</f>
        <v>#REF!</v>
      </c>
      <c r="D397" s="13" t="str">
        <f>wld_srm_admin_email</f>
        <v>Value Missing</v>
      </c>
      <c r="E397" s="15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26" customHeight="1">
      <c r="A398" s="27"/>
      <c r="B398" s="30" t="s">
        <v>8320</v>
      </c>
      <c r="C398" s="31" t="e">
        <f>CONCATENATE(sample_wld_srm_hostname,".",sample_child_dns_zone)</f>
        <v>#REF!</v>
      </c>
      <c r="D398" s="13" t="str">
        <f>wld_srm_fqdn</f>
        <v>Value Missing.Value Missing</v>
      </c>
      <c r="E398" s="15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26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26" customHeight="1">
      <c r="A400" s="27"/>
      <c r="B400" s="205" t="s">
        <v>8374</v>
      </c>
      <c r="C400" s="183"/>
      <c r="D400" s="183"/>
      <c r="E400" s="181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21" customHeight="1">
      <c r="A401" s="27"/>
      <c r="B401" s="88" t="s">
        <v>6780</v>
      </c>
      <c r="C401" s="88" t="s">
        <v>8191</v>
      </c>
      <c r="D401" s="88" t="s">
        <v>6943</v>
      </c>
      <c r="E401" s="88" t="s">
        <v>8181</v>
      </c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45" customHeight="1">
      <c r="A402" s="27"/>
      <c r="B402" s="80" t="s">
        <v>8301</v>
      </c>
      <c r="C402" s="31" t="e">
        <f>sample_wld_vc_fqdn</f>
        <v>#REF!</v>
      </c>
      <c r="D402" s="13" t="e">
        <f>wld_vc_fqdn</f>
        <v>#REF!</v>
      </c>
      <c r="E402" s="15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26" customHeight="1">
      <c r="A403" s="27"/>
      <c r="B403" s="30" t="s">
        <v>8375</v>
      </c>
      <c r="C403" s="31"/>
      <c r="D403" s="13"/>
      <c r="E403" s="15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26" customHeight="1">
      <c r="A404" s="27"/>
      <c r="B404" s="80" t="s">
        <v>8376</v>
      </c>
      <c r="C404" s="31" t="s">
        <v>7642</v>
      </c>
      <c r="D404" s="13" t="str">
        <f>C404</f>
        <v>Site Recovery Manager</v>
      </c>
      <c r="E404" s="15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26" customHeight="1">
      <c r="A405" s="27"/>
      <c r="B405" s="80" t="s">
        <v>8377</v>
      </c>
      <c r="C405" s="31" t="e">
        <f>sample_wld_srm_site_name</f>
        <v>#REF!</v>
      </c>
      <c r="D405" s="13" t="str">
        <f>wld_srm_site_name</f>
        <v>Value Missing</v>
      </c>
      <c r="E405" s="15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21" customHeight="1">
      <c r="A406" s="27"/>
      <c r="B406" s="80" t="s">
        <v>8378</v>
      </c>
      <c r="C406" s="31"/>
      <c r="D406" s="13"/>
      <c r="E406" s="15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4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26" customHeight="1">
      <c r="A408" s="27"/>
      <c r="B408" s="218" t="s">
        <v>8379</v>
      </c>
      <c r="C408" s="183"/>
      <c r="D408" s="183"/>
      <c r="E408" s="181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26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26" customHeight="1">
      <c r="A410" s="27"/>
      <c r="B410" s="205" t="s">
        <v>8380</v>
      </c>
      <c r="C410" s="183"/>
      <c r="D410" s="183"/>
      <c r="E410" s="181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26" customHeight="1">
      <c r="A411" s="27"/>
      <c r="B411" s="88" t="s">
        <v>6780</v>
      </c>
      <c r="C411" s="88" t="s">
        <v>8191</v>
      </c>
      <c r="D411" s="88" t="s">
        <v>6943</v>
      </c>
      <c r="E411" s="88" t="s">
        <v>8181</v>
      </c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26" customHeight="1">
      <c r="A412" s="27"/>
      <c r="B412" s="80" t="s">
        <v>8218</v>
      </c>
      <c r="C412" s="31" t="e">
        <f t="shared" ref="C412:C413" si="8">sample_wld_vc_fqdn</f>
        <v>#REF!</v>
      </c>
      <c r="D412" s="13" t="e">
        <f>wld_vc_fqdn</f>
        <v>#REF!</v>
      </c>
      <c r="E412" s="15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26" customHeight="1">
      <c r="A413" s="27"/>
      <c r="B413" s="80" t="s">
        <v>8381</v>
      </c>
      <c r="C413" s="31" t="e">
        <f t="shared" si="8"/>
        <v>#REF!</v>
      </c>
      <c r="D413" s="13" t="e">
        <f>wld_vc_fqdn</f>
        <v>#REF!</v>
      </c>
      <c r="E413" s="15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26" customHeight="1">
      <c r="A414" s="27"/>
      <c r="B414" s="80" t="s">
        <v>8382</v>
      </c>
      <c r="C414" s="31" t="s">
        <v>8383</v>
      </c>
      <c r="D414" s="13" t="str">
        <f>IF(wld_srm_sso_domain_membership="Value Missing","Value Missing",IF(wld_srm_sso_domain_membership="Same SSO Domain","Pair with a peer vCenter Server located in the same SSO domain","Pair with a peer vCenter Server located in a different SSO domain"))</f>
        <v>Value Missing</v>
      </c>
      <c r="E414" s="15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26" customHeight="1">
      <c r="A415" s="27"/>
      <c r="B415" s="80" t="s">
        <v>8317</v>
      </c>
      <c r="C415" s="31" t="e">
        <f>sample_wld_srm_recovery_vcenter_fqdn</f>
        <v>#REF!</v>
      </c>
      <c r="D415" s="13" t="str">
        <f>wld_srm_recovery_vcenter_fqdn</f>
        <v>Value Missing</v>
      </c>
      <c r="E415" s="15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26" customHeight="1">
      <c r="A416" s="27"/>
      <c r="B416" s="80" t="s">
        <v>8318</v>
      </c>
      <c r="C416" s="31" t="str">
        <f>sample_wld_srm_recovery_vcenter_username</f>
        <v>administrator@vsphere.local</v>
      </c>
      <c r="D416" s="13" t="str">
        <f>wld_srm_recovery_vcenter_username</f>
        <v>Value Missing</v>
      </c>
      <c r="E416" s="15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21" customHeight="1">
      <c r="A417" s="27"/>
      <c r="B417" s="30" t="s">
        <v>6792</v>
      </c>
      <c r="C417" s="31" t="str">
        <f>sample_wld_srm_recovery_vcenter_password</f>
        <v>VMw@re1!</v>
      </c>
      <c r="D417" s="13" t="str">
        <f>wld_srm_recovery_vcenter_password</f>
        <v>Value Missing</v>
      </c>
      <c r="E417" s="15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45" customHeight="1">
      <c r="A418" s="27"/>
      <c r="B418" s="30" t="s">
        <v>8384</v>
      </c>
      <c r="C418" s="31" t="e">
        <f>sample_wld_srm_recovery_vcenter_fqdn</f>
        <v>#REF!</v>
      </c>
      <c r="D418" s="13" t="str">
        <f>wld_srm_recovery_vcenter_fqdn</f>
        <v>Value Missing</v>
      </c>
      <c r="E418" s="15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26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507" spans="2:5" ht="26" customHeight="1">
      <c r="B507" s="202" t="e">
        <f>IF(OR(cluster_secondary_storage_chosen="Secondary NFS Storage Network",wld_secondary_storage_chosen="Secondary NFS Storage Network"),"NFS Storage Network","vSAN Storage Client")</f>
        <v>#REF!</v>
      </c>
      <c r="C507" s="183"/>
      <c r="D507" s="183"/>
      <c r="E507" s="181"/>
    </row>
    <row r="508" spans="2:5" ht="26" customHeight="1">
      <c r="B508" s="30" t="s">
        <v>7175</v>
      </c>
      <c r="C508" s="34" t="e">
        <f>IF(cluster_wld_domain_chosen&lt;&gt;"MGMT Workload Domain",CONCATENATE(prefix_wld_az1_rack_vlan,"26"),CONCATENATE(prefix_mgmt_az1_vlan,"26"))</f>
        <v>#REF!</v>
      </c>
      <c r="D508" s="13"/>
      <c r="E508" s="15"/>
    </row>
    <row r="509" spans="2:5" ht="26" customHeight="1">
      <c r="B509" s="30" t="s">
        <v>7196</v>
      </c>
      <c r="C509" s="34">
        <v>9000</v>
      </c>
      <c r="D509" s="13"/>
      <c r="E509" s="118"/>
    </row>
    <row r="510" spans="2:5" ht="26" customHeight="1">
      <c r="B510" s="30" t="s">
        <v>7188</v>
      </c>
      <c r="C510" s="34" t="e">
        <f>IF(cluster_wld_domain_chosen&lt;&gt;"MGMT Workload Domain",CONCATENATE(prefix_wld_az1_rack_cidr,"26.0"),CONCATENATE(prefix_mgmt_az1_cidr,"26.0"))</f>
        <v>#REF!</v>
      </c>
      <c r="D510" s="13"/>
      <c r="E510" s="15"/>
    </row>
    <row r="511" spans="2:5" ht="26" customHeight="1">
      <c r="B511" s="30" t="s">
        <v>7223</v>
      </c>
      <c r="C511" s="34" t="s">
        <v>6420</v>
      </c>
      <c r="D511" s="13"/>
      <c r="E511" s="15"/>
    </row>
    <row r="512" spans="2:5" ht="26" customHeight="1">
      <c r="B512" s="30" t="s">
        <v>7180</v>
      </c>
      <c r="C512" s="34" t="e">
        <f>IF(cluster_wld_domain_chosen&lt;&gt;"MGMT Workload Domain",CONCATENATE(prefix_wld_az1_rack_cidr,"26.1"),CONCATENATE(prefix_mgmt_az1_cidr,"26.1"))</f>
        <v>#REF!</v>
      </c>
      <c r="D512" s="13"/>
      <c r="E512" s="15" t="e">
        <f>IF(AND(mgmt_stretched_cluster_result="Included",mgmt_dpg_reuse_result="Excluded"),"Stretched L2","")</f>
        <v>#REF!</v>
      </c>
    </row>
    <row r="513" spans="2:5" ht="26" customHeight="1">
      <c r="B513" s="39" t="s">
        <v>7248</v>
      </c>
      <c r="C513" s="34" t="e">
        <f>IF(cluster_wld_domain_chosen&lt;&gt;"MGMT Workload Domain",CONCATENATE(prefix_wld_az1_rack_cidr,"26.101"),CONCATENATE(prefix_mgmt_az1_cidr,"26.101"))</f>
        <v>#REF!</v>
      </c>
      <c r="D513" s="90"/>
      <c r="E513" s="90" t="e">
        <f>IF(OR(cluster_secondary_storage_chosen="Secondary NFS Storage Network",wld_secondary_storage_chosen="Secondary NFS Storage Network"),"Start IP of the Secondary Storage NFS Pool Range","Start IP of the vSAN Storage Client Pool Range")</f>
        <v>#REF!</v>
      </c>
    </row>
    <row r="514" spans="2:5" ht="26" customHeight="1">
      <c r="B514" s="39" t="s">
        <v>7254</v>
      </c>
      <c r="C514" s="34" t="e">
        <f>IF(cluster_wld_domain_chosen&lt;&gt;"MGMT Workload Domain",CONCATENATE(prefix_wld_az1_rack_cidr,"26.116"),CONCATENATE(prefix_mgmt_az1_cidr,"26.116"))</f>
        <v>#REF!</v>
      </c>
      <c r="D514" s="90"/>
      <c r="E514" s="90" t="e">
        <f>IF(OR(cluster_secondary_storage_chosen="Secondary NFS Storage Network",wld_secondary_storage_chosen="Secondary NFS Storage Network"),"Start IP of the Secondary Storage NFS Pool Range","End IP of the vSAN Storage Client Pool Range")</f>
        <v>#REF!</v>
      </c>
    </row>
    <row r="515" spans="2:5" ht="26" customHeight="1">
      <c r="B515" s="202" t="e">
        <f>IF(OR(cluster_secondary_storage_chosen="Secondary NFS Storage Network",wld_secondary_storage_chosen="Secondary NFS Storage Network"),"NFS Storage Network","vSAN Storage Client")</f>
        <v>#REF!</v>
      </c>
      <c r="C515" s="183"/>
      <c r="D515" s="183"/>
      <c r="E515" s="181"/>
    </row>
    <row r="516" spans="2:5" ht="26" customHeight="1">
      <c r="B516" s="30" t="s">
        <v>7175</v>
      </c>
      <c r="C516" s="33" t="e">
        <f>IF(cluster_wld_domain_chosen&lt;&gt;"MGMT Workload Domain",CONCATENATE(prefix_wld_az1_rack_vlan,"37"),CONCATENATE(prefix_mgmt_az1_vlan,"37"))</f>
        <v>#REF!</v>
      </c>
      <c r="D516" s="13"/>
      <c r="E516" s="15"/>
    </row>
    <row r="517" spans="2:5" ht="26" customHeight="1">
      <c r="B517" s="30" t="s">
        <v>7196</v>
      </c>
      <c r="C517" s="33">
        <v>9000</v>
      </c>
      <c r="D517" s="13"/>
      <c r="E517" s="118"/>
    </row>
    <row r="518" spans="2:5" ht="26" customHeight="1">
      <c r="B518" s="30" t="s">
        <v>7188</v>
      </c>
      <c r="C518" s="33" t="e">
        <f>IF(cluster_wld_domain_chosen&lt;&gt;"MGMT Workload Domain",CONCATENATE(prefix_wld_az1_rack_cidr,"37.0"),CONCATENATE(prefix_mgmt_az1_cidr,"37.0"))</f>
        <v>#REF!</v>
      </c>
      <c r="D518" s="13"/>
      <c r="E518" s="15"/>
    </row>
    <row r="519" spans="2:5" ht="26" customHeight="1">
      <c r="B519" s="30" t="s">
        <v>7223</v>
      </c>
      <c r="C519" s="33" t="s">
        <v>6420</v>
      </c>
      <c r="D519" s="13"/>
      <c r="E519" s="15"/>
    </row>
    <row r="520" spans="2:5" ht="26" customHeight="1">
      <c r="B520" s="30" t="s">
        <v>7180</v>
      </c>
      <c r="C520" s="33" t="e">
        <f>IF(cluster_wld_domain_chosen&lt;&gt;"MGMT Workload Domain",CONCATENATE(prefix_wld_az1_rack_cidr,"37.1"),CONCATENATE(prefix_mgmt_az1_cidr,"37.1"))</f>
        <v>#REF!</v>
      </c>
      <c r="D520" s="13"/>
      <c r="E520" s="15" t="e">
        <f>IF(AND(mgmt_stretched_cluster_result="Included",mgmt_dpg_reuse_result="Excluded"),"Stretched L2","")</f>
        <v>#REF!</v>
      </c>
    </row>
    <row r="521" spans="2:5" ht="26" customHeight="1">
      <c r="B521" s="39" t="s">
        <v>7248</v>
      </c>
      <c r="C521" s="33" t="e">
        <f>IF(cluster_wld_domain_chosen&lt;&gt;"MGMT Workload Domain",CONCATENATE(prefix_wld_az1_rack_cidr,"37.101"),CONCATENATE(prefix_mgmt_az1_cidr,"37.101"))</f>
        <v>#REF!</v>
      </c>
      <c r="D521" s="13"/>
      <c r="E521" s="90" t="e">
        <f>IF(OR(cluster_secondary_storage_chosen="Secondary NFS Storage Network",wld_secondary_storage_chosen="Secondary NFS Storage Network"),"Start IP of the Secondary Storage NFS Pool Range","Start IP of the vSAN Storage Client Pool Range")</f>
        <v>#REF!</v>
      </c>
    </row>
    <row r="522" spans="2:5" ht="26" customHeight="1">
      <c r="B522" s="39" t="s">
        <v>7254</v>
      </c>
      <c r="C522" s="33" t="e">
        <f>IF(cluster_wld_domain_chosen&lt;&gt;"MGMT Workload Domain",CONCATENATE(prefix_wld_az1_rack_cidr,"37.116"),CONCATENATE(prefix_mgmt_az1_cidr,"37.116"))</f>
        <v>#REF!</v>
      </c>
      <c r="D522" s="13"/>
      <c r="E522" s="90" t="e">
        <f>IF(OR(cluster_secondary_storage_chosen="Secondary NFS Storage Network",wld_secondary_storage_chosen="Secondary NFS Storage Network"),"Start IP of the Secondary Storage NFS Pool Range","End IP of the vSAN Storage Client Pool Range")</f>
        <v>#REF!</v>
      </c>
    </row>
    <row r="523" spans="2:5" ht="26" customHeight="1">
      <c r="B523" s="202" t="e">
        <f>IF(OR(cluster_secondary_storage_chosen="Secondary NFS Storage Network",wld_secondary_storage_chosen="Secondary NFS Storage Network"),"NFS Storage Network","vSAN Storage Client")</f>
        <v>#REF!</v>
      </c>
      <c r="C523" s="183"/>
      <c r="D523" s="183"/>
      <c r="E523" s="181"/>
    </row>
    <row r="524" spans="2:5" ht="26" customHeight="1">
      <c r="B524" s="30" t="s">
        <v>7175</v>
      </c>
      <c r="C524" s="31" t="e">
        <f>IF(cluster_wld_domain_chosen&lt;&gt;"MGMT Workload Domain",CONCATENATE(prefix_wld_az1_rack_vlan,"48"),CONCATENATE(prefix_mgmt_az1_vlan,"48"))</f>
        <v>#REF!</v>
      </c>
      <c r="D524" s="13"/>
      <c r="E524" s="15"/>
    </row>
    <row r="525" spans="2:5" ht="26" customHeight="1">
      <c r="B525" s="30" t="s">
        <v>7196</v>
      </c>
      <c r="C525" s="31">
        <v>9000</v>
      </c>
      <c r="D525" s="13"/>
      <c r="E525" s="118"/>
    </row>
    <row r="526" spans="2:5" ht="26" customHeight="1">
      <c r="B526" s="30" t="s">
        <v>7188</v>
      </c>
      <c r="C526" s="38" t="e">
        <f>IF(cluster_wld_domain_chosen&lt;&gt;"MGMT Workload Domain",CONCATENATE(prefix_wld_az1_rack_cidr,"48.0"),CONCATENATE(prefix_mgmt_az1_cidr,"48.0"))</f>
        <v>#REF!</v>
      </c>
      <c r="D526" s="13"/>
      <c r="E526" s="15"/>
    </row>
    <row r="527" spans="2:5" ht="26" customHeight="1">
      <c r="B527" s="30" t="s">
        <v>7223</v>
      </c>
      <c r="C527" s="38" t="s">
        <v>6420</v>
      </c>
      <c r="D527" s="13"/>
      <c r="E527" s="15"/>
    </row>
    <row r="528" spans="2:5" ht="26" customHeight="1">
      <c r="B528" s="30" t="s">
        <v>7180</v>
      </c>
      <c r="C528" s="31" t="e">
        <f>IF(cluster_wld_domain_chosen&lt;&gt;"MGMT Workload Domain",CONCATENATE(prefix_wld_az1_rack_cidr,"48.1"),CONCATENATE(prefix_mgmt_az1_cidr,"48.1"))</f>
        <v>#REF!</v>
      </c>
      <c r="D528" s="13"/>
      <c r="E528" s="15" t="e">
        <f>IF(AND(mgmt_stretched_cluster_result="Included",mgmt_dpg_reuse_result="Excluded"),"Stretched L2","")</f>
        <v>#REF!</v>
      </c>
    </row>
    <row r="529" spans="2:5" ht="26" customHeight="1">
      <c r="B529" s="39" t="s">
        <v>7248</v>
      </c>
      <c r="C529" s="31" t="e">
        <f>IF(cluster_wld_domain_chosen&lt;&gt;"MGMT Workload Domain",CONCATENATE(prefix_wld_az1_rack_cidr,"48.101"),CONCATENATE(prefix_mgmt_az1_cidr,"48.101"))</f>
        <v>#REF!</v>
      </c>
      <c r="D529" s="13"/>
      <c r="E529" s="90" t="e">
        <f>IF(OR(cluster_secondary_storage_chosen="Secondary NFS Storage Network",wld_secondary_storage_chosen="Secondary NFS Storage Network"),"Start IP of the Secondary Storage NFS Pool Range","Start IP of the vSAN Storage Client Pool Range")</f>
        <v>#REF!</v>
      </c>
    </row>
    <row r="530" spans="2:5" ht="26" customHeight="1">
      <c r="B530" s="39" t="s">
        <v>7254</v>
      </c>
      <c r="C530" s="31" t="e">
        <f>IF(cluster_wld_domain_chosen&lt;&gt;"MGMT Workload Domain",CONCATENATE(prefix_wld_az1_rack_cidr,"48.116"),CONCATENATE(prefix_mgmt_az1_cidr,"48.116"))</f>
        <v>#REF!</v>
      </c>
      <c r="D530" s="13"/>
      <c r="E530" s="90" t="e">
        <f>IF(OR(cluster_secondary_storage_chosen="Secondary NFS Storage Network",wld_secondary_storage_chosen="Secondary NFS Storage Network"),"Start IP of the Secondary Storage NFS Pool Range","End IP of the vSAN Storage Client Pool Range")</f>
        <v>#REF!</v>
      </c>
    </row>
    <row r="531" spans="2:5" ht="26" customHeight="1">
      <c r="B531" s="202" t="e">
        <f>IF(OR(cluster_secondary_storage_chosen="Secondary NFS Storage Network",wld_secondary_storage_chosen="Secondary NFS Storage Network"),"NFS Storage Network","vSAN Storage Client")</f>
        <v>#REF!</v>
      </c>
      <c r="C531" s="183"/>
      <c r="D531" s="183"/>
      <c r="E531" s="181"/>
    </row>
    <row r="532" spans="2:5" ht="26" customHeight="1">
      <c r="B532" s="30" t="s">
        <v>7175</v>
      </c>
      <c r="C532" s="31" t="e">
        <f>IF(cluster_wld_domain_chosen&lt;&gt;"MGMT Workload Domain",CONCATENATE(prefix_wld_az1_rack_vlan,"59"),CONCATENATE(prefix_mgmt_az1_vlan,"59"))</f>
        <v>#REF!</v>
      </c>
      <c r="D532" s="13"/>
      <c r="E532" s="15"/>
    </row>
    <row r="533" spans="2:5" ht="26" customHeight="1">
      <c r="B533" s="30" t="s">
        <v>7196</v>
      </c>
      <c r="C533" s="31">
        <v>9000</v>
      </c>
      <c r="D533" s="13"/>
      <c r="E533" s="118"/>
    </row>
    <row r="534" spans="2:5" ht="26" customHeight="1">
      <c r="B534" s="30" t="s">
        <v>7188</v>
      </c>
      <c r="C534" s="38" t="e">
        <f>IF(cluster_wld_domain_chosen&lt;&gt;"MGMT Workload Domain",CONCATENATE(prefix_wld_az1_rack_cidr,"59.0"),CONCATENATE(prefix_mgmt_az1_cidr,"59.0"))</f>
        <v>#REF!</v>
      </c>
      <c r="D534" s="13"/>
      <c r="E534" s="15"/>
    </row>
    <row r="535" spans="2:5" ht="26" customHeight="1">
      <c r="B535" s="30" t="s">
        <v>7223</v>
      </c>
      <c r="C535" s="38" t="s">
        <v>6420</v>
      </c>
      <c r="D535" s="13"/>
      <c r="E535" s="15"/>
    </row>
    <row r="536" spans="2:5" ht="26" customHeight="1">
      <c r="B536" s="30" t="s">
        <v>7180</v>
      </c>
      <c r="C536" s="31" t="e">
        <f>IF(cluster_wld_domain_chosen&lt;&gt;"MGMT Workload Domain",CONCATENATE(prefix_wld_az1_rack_cidr,"59.1"),CONCATENATE(prefix_mgmt_az1_cidr,"59.1"))</f>
        <v>#REF!</v>
      </c>
      <c r="D536" s="13"/>
      <c r="E536" s="15" t="e">
        <f>IF(AND(mgmt_stretched_cluster_result="Included",mgmt_dpg_reuse_result="Excluded"),"Stretched L2","")</f>
        <v>#REF!</v>
      </c>
    </row>
    <row r="537" spans="2:5" ht="26" customHeight="1">
      <c r="B537" s="39" t="s">
        <v>7248</v>
      </c>
      <c r="C537" s="31" t="e">
        <f>IF(cluster_wld_domain_chosen&lt;&gt;"MGMT Workload Domain",CONCATENATE(prefix_wld_az1_rack_cidr,"59.101"),CONCATENATE(prefix_mgmt_az1_cidr,"59.101"))</f>
        <v>#REF!</v>
      </c>
      <c r="D537" s="13"/>
      <c r="E537" s="90" t="e">
        <f>IF(OR(cluster_secondary_storage_chosen="Secondary NFS Storage Network",wld_secondary_storage_chosen="Secondary NFS Storage Network"),"Start IP of the Secondary Storage NFS Pool Range","Start IP of the vSAN Storage Client Pool Range")</f>
        <v>#REF!</v>
      </c>
    </row>
    <row r="538" spans="2:5" ht="26" customHeight="1">
      <c r="B538" s="39" t="s">
        <v>7254</v>
      </c>
      <c r="C538" s="31" t="e">
        <f>IF(cluster_wld_domain_chosen&lt;&gt;"MGMT Workload Domain",CONCATENATE(prefix_wld_az1_rack_cidr,"59.116"),CONCATENATE(prefix_mgmt_az1_cidr,"59.116"))</f>
        <v>#REF!</v>
      </c>
      <c r="D538" s="13"/>
      <c r="E538" s="90" t="e">
        <f>IF(OR(cluster_secondary_storage_chosen="Secondary NFS Storage Network",wld_secondary_storage_chosen="Secondary NFS Storage Network"),"Start IP of the Secondary Storage NFS Pool Range","End IP of the vSAN Storage Client Pool Range")</f>
        <v>#REF!</v>
      </c>
    </row>
    <row r="539" spans="2:5" ht="26" customHeight="1">
      <c r="B539" s="202" t="e">
        <f>IF(OR(cluster_secondary_storage_chosen="Secondary NFS Storage Network",wld_secondary_storage_chosen="Secondary NFS Storage Network"),"NFS Storage Network","vSAN Storage Client")</f>
        <v>#REF!</v>
      </c>
      <c r="C539" s="183"/>
      <c r="D539" s="183"/>
      <c r="E539" s="181"/>
    </row>
    <row r="540" spans="2:5" ht="26" customHeight="1">
      <c r="B540" s="30" t="s">
        <v>7175</v>
      </c>
      <c r="C540" s="31" t="e">
        <f>IF(cluster_wld_domain_chosen&lt;&gt;"MGMT Workload Domain",CONCATENATE(prefix_wld_az1_rack_vlan,"70"),CONCATENATE(prefix_mgmt_az1_vlan,"70"))</f>
        <v>#REF!</v>
      </c>
      <c r="D540" s="13"/>
      <c r="E540" s="15"/>
    </row>
    <row r="541" spans="2:5" ht="26" customHeight="1">
      <c r="B541" s="30" t="s">
        <v>7196</v>
      </c>
      <c r="C541" s="31">
        <v>9000</v>
      </c>
      <c r="D541" s="13"/>
      <c r="E541" s="118"/>
    </row>
    <row r="542" spans="2:5" ht="26" customHeight="1">
      <c r="B542" s="30" t="s">
        <v>7188</v>
      </c>
      <c r="C542" s="38" t="e">
        <f>IF(cluster_wld_domain_chosen&lt;&gt;"MGMT Workload Domain",CONCATENATE(prefix_wld_az1_rack_cidr,"70.0"),CONCATENATE(prefix_mgmt_az1_cidr,"70.0"))</f>
        <v>#REF!</v>
      </c>
      <c r="D542" s="13"/>
      <c r="E542" s="15"/>
    </row>
    <row r="543" spans="2:5" ht="26" customHeight="1">
      <c r="B543" s="30" t="s">
        <v>7223</v>
      </c>
      <c r="C543" s="38" t="s">
        <v>6420</v>
      </c>
      <c r="D543" s="13"/>
      <c r="E543" s="15"/>
    </row>
    <row r="544" spans="2:5" ht="26" customHeight="1">
      <c r="B544" s="30" t="s">
        <v>7180</v>
      </c>
      <c r="C544" s="31" t="e">
        <f>IF(cluster_wld_domain_chosen&lt;&gt;"MGMT Workload Domain",CONCATENATE(prefix_wld_az1_rack_cidr,"70.1"),CONCATENATE(prefix_mgmt_az1_cidr,"70.1"))</f>
        <v>#REF!</v>
      </c>
      <c r="D544" s="13"/>
      <c r="E544" s="15" t="e">
        <f>IF(AND(mgmt_stretched_cluster_result="Included",mgmt_dpg_reuse_result="Excluded"),"Stretched L2","")</f>
        <v>#REF!</v>
      </c>
    </row>
    <row r="545" spans="2:5" ht="26" customHeight="1">
      <c r="B545" s="39" t="s">
        <v>7248</v>
      </c>
      <c r="C545" s="31" t="e">
        <f>IF(cluster_wld_domain_chosen&lt;&gt;"MGMT Workload Domain",CONCATENATE(prefix_wld_az1_rack_cidr,"70.101"),CONCATENATE(prefix_mgmt_az1_cidr,"70.101"))</f>
        <v>#REF!</v>
      </c>
      <c r="D545" s="13"/>
      <c r="E545" s="90" t="e">
        <f>IF(OR(cluster_secondary_storage_chosen="Secondary NFS Storage Network",wld_secondary_storage_chosen="Secondary NFS Storage Network"),"Start IP of the Secondary Storage NFS Pool Range","Start IP of the vSAN Storage Client Pool Range")</f>
        <v>#REF!</v>
      </c>
    </row>
    <row r="546" spans="2:5" ht="26" customHeight="1">
      <c r="B546" s="39" t="s">
        <v>7254</v>
      </c>
      <c r="C546" s="31" t="e">
        <f>IF(cluster_wld_domain_chosen&lt;&gt;"MGMT Workload Domain",CONCATENATE(prefix_wld_az1_rack_cidr,"70.116"),CONCATENATE(prefix_mgmt_az1_cidr,"70.116"))</f>
        <v>#REF!</v>
      </c>
      <c r="D546" s="13"/>
      <c r="E546" s="90" t="e">
        <f>IF(OR(cluster_secondary_storage_chosen="Secondary NFS Storage Network",wld_secondary_storage_chosen="Secondary NFS Storage Network"),"Start IP of the Secondary Storage NFS Pool Range","End IP of the vSAN Storage Client Pool Range")</f>
        <v>#REF!</v>
      </c>
    </row>
    <row r="547" spans="2:5" ht="26" customHeight="1">
      <c r="B547" s="202" t="e">
        <f>IF(OR(cluster_secondary_storage_chosen="Secondary NFS Storage Network",wld_secondary_storage_chosen="Secondary NFS Storage Network"),"NFS Storage Network","vSAN Storage Client")</f>
        <v>#REF!</v>
      </c>
      <c r="C547" s="183"/>
      <c r="D547" s="183"/>
      <c r="E547" s="181"/>
    </row>
    <row r="548" spans="2:5" ht="26" customHeight="1">
      <c r="B548" s="30" t="s">
        <v>7175</v>
      </c>
      <c r="C548" s="31" t="e">
        <f>IF(cluster_wld_domain_chosen&lt;&gt;"MGMT Workload Domain",CONCATENATE(prefix_wld_az1_rack_vlan,"81"),CONCATENATE(prefix_mgmt_az1_vlan,"81"))</f>
        <v>#REF!</v>
      </c>
      <c r="D548" s="13"/>
      <c r="E548" s="15"/>
    </row>
    <row r="549" spans="2:5" ht="26" customHeight="1">
      <c r="B549" s="30" t="s">
        <v>7196</v>
      </c>
      <c r="C549" s="31">
        <v>9000</v>
      </c>
      <c r="D549" s="13"/>
      <c r="E549" s="118"/>
    </row>
    <row r="550" spans="2:5" ht="26" customHeight="1">
      <c r="B550" s="30" t="s">
        <v>7188</v>
      </c>
      <c r="C550" s="38" t="e">
        <f>IF(cluster_wld_domain_chosen&lt;&gt;"MGMT Workload Domain",CONCATENATE(prefix_wld_az1_rack_cidr,"81.0"),CONCATENATE(prefix_mgmt_az1_cidr,"81.0"))</f>
        <v>#REF!</v>
      </c>
      <c r="D550" s="13"/>
      <c r="E550" s="15"/>
    </row>
    <row r="551" spans="2:5" ht="26" customHeight="1">
      <c r="B551" s="30" t="s">
        <v>7223</v>
      </c>
      <c r="C551" s="38" t="s">
        <v>6420</v>
      </c>
      <c r="D551" s="13"/>
      <c r="E551" s="15"/>
    </row>
    <row r="552" spans="2:5" ht="26" customHeight="1">
      <c r="B552" s="30" t="s">
        <v>7180</v>
      </c>
      <c r="C552" s="31" t="e">
        <f>IF(cluster_wld_domain_chosen&lt;&gt;"MGMT Workload Domain",CONCATENATE(prefix_wld_az1_rack_cidr,"81.1"),CONCATENATE(prefix_mgmt_az1_cidr,"81.1"))</f>
        <v>#REF!</v>
      </c>
      <c r="D552" s="13"/>
      <c r="E552" s="15" t="e">
        <f>IF(AND(mgmt_stretched_cluster_result="Included",mgmt_dpg_reuse_result="Excluded"),"Stretched L2","")</f>
        <v>#REF!</v>
      </c>
    </row>
    <row r="553" spans="2:5" ht="26" customHeight="1">
      <c r="B553" s="39" t="s">
        <v>7248</v>
      </c>
      <c r="C553" s="31" t="e">
        <f>IF(cluster_wld_domain_chosen&lt;&gt;"MGMT Workload Domain",CONCATENATE(prefix_wld_az1_rack_cidr,"81.101"),CONCATENATE(prefix_mgmt_az1_cidr,"81.101"))</f>
        <v>#REF!</v>
      </c>
      <c r="D553" s="13"/>
      <c r="E553" s="90" t="e">
        <f>IF(OR(cluster_secondary_storage_chosen="Secondary NFS Storage Network",wld_secondary_storage_chosen="Secondary NFS Storage Network"),"Start IP of the Secondary Storage NFS Pool Range","Start IP of the vSAN Storage Client Pool Range")</f>
        <v>#REF!</v>
      </c>
    </row>
    <row r="554" spans="2:5" ht="26" customHeight="1">
      <c r="B554" s="39" t="s">
        <v>7254</v>
      </c>
      <c r="C554" s="31" t="e">
        <f>IF(cluster_wld_domain_chosen&lt;&gt;"MGMT Workload Domain",CONCATENATE(prefix_wld_az1_rack_cidr,"81.116"),CONCATENATE(prefix_mgmt_az1_cidr,"81.116"))</f>
        <v>#REF!</v>
      </c>
      <c r="D554" s="13"/>
      <c r="E554" s="90" t="e">
        <f>IF(OR(cluster_secondary_storage_chosen="Secondary NFS Storage Network",wld_secondary_storage_chosen="Secondary NFS Storage Network"),"Start IP of the Secondary Storage NFS Pool Range","End IP of the vSAN Storage Client Pool Range")</f>
        <v>#REF!</v>
      </c>
    </row>
    <row r="555" spans="2:5" ht="26" customHeight="1">
      <c r="B555" s="202" t="e">
        <f>IF(OR(cluster_secondary_storage_chosen="Secondary NFS Storage Network",wld_secondary_storage_chosen="Secondary NFS Storage Network"),"NFS Storage Network","vSAN Storage Client")</f>
        <v>#REF!</v>
      </c>
      <c r="C555" s="183"/>
      <c r="D555" s="183"/>
      <c r="E555" s="181"/>
    </row>
    <row r="556" spans="2:5" ht="26" customHeight="1">
      <c r="B556" s="30" t="s">
        <v>7175</v>
      </c>
      <c r="C556" s="31" t="e">
        <f>IF(cluster_wld_domain_chosen&lt;&gt;"MGMT Workload Domain",CONCATENATE(prefix_wld_az1_rack_vlan,"92"),CONCATENATE(prefix_mgmt_az1_vlan,"92"))</f>
        <v>#REF!</v>
      </c>
      <c r="D556" s="13"/>
      <c r="E556" s="15"/>
    </row>
    <row r="557" spans="2:5" ht="26" customHeight="1">
      <c r="B557" s="30" t="s">
        <v>7196</v>
      </c>
      <c r="C557" s="31">
        <v>9200</v>
      </c>
      <c r="D557" s="13"/>
      <c r="E557" s="118"/>
    </row>
    <row r="558" spans="2:5" ht="26" customHeight="1">
      <c r="B558" s="30" t="s">
        <v>7188</v>
      </c>
      <c r="C558" s="38" t="e">
        <f>IF(cluster_wld_domain_chosen&lt;&gt;"MGMT Workload Domain",CONCATENATE(prefix_wld_az1_rack_cidr,"92.0"),CONCATENATE(prefix_mgmt_az1_cidr,"92.0"))</f>
        <v>#REF!</v>
      </c>
      <c r="D558" s="13"/>
      <c r="E558" s="15"/>
    </row>
    <row r="559" spans="2:5" ht="26" customHeight="1">
      <c r="B559" s="30" t="s">
        <v>7223</v>
      </c>
      <c r="C559" s="38" t="s">
        <v>6420</v>
      </c>
      <c r="D559" s="13"/>
      <c r="E559" s="15"/>
    </row>
    <row r="560" spans="2:5" ht="26" customHeight="1">
      <c r="B560" s="30" t="s">
        <v>7180</v>
      </c>
      <c r="C560" s="31" t="e">
        <f>IF(cluster_wld_domain_chosen&lt;&gt;"MGMT Workload Domain",CONCATENATE(prefix_wld_az1_rack_cidr,"92.1"),CONCATENATE(prefix_mgmt_az1_cidr,"92.1"))</f>
        <v>#REF!</v>
      </c>
      <c r="D560" s="13"/>
      <c r="E560" s="15" t="e">
        <f>IF(AND(mgmt_stretched_cluster_result="Included",mgmt_dpg_reuse_result="Excluded"),"Stretched L2","")</f>
        <v>#REF!</v>
      </c>
    </row>
    <row r="561" spans="2:5" ht="26" customHeight="1">
      <c r="B561" s="39" t="s">
        <v>7248</v>
      </c>
      <c r="C561" s="31" t="e">
        <f>IF(cluster_wld_domain_chosen&lt;&gt;"MGMT Workload Domain",CONCATENATE(prefix_wld_az1_rack_cidr,"92.101"),CONCATENATE(prefix_mgmt_az1_cidr,"92.101"))</f>
        <v>#REF!</v>
      </c>
      <c r="D561" s="13"/>
      <c r="E561" s="90" t="e">
        <f>IF(OR(cluster_secondary_storage_chosen="Secondary NFS Storage Network",wld_secondary_storage_chosen="Secondary NFS Storage Network"),"Start IP of the Secondary Storage NFS Pool Range","Start IP of the vSAN Storage Client Pool Range")</f>
        <v>#REF!</v>
      </c>
    </row>
    <row r="562" spans="2:5" ht="26" customHeight="1">
      <c r="B562" s="39" t="s">
        <v>7254</v>
      </c>
      <c r="C562" s="31" t="e">
        <f>IF(cluster_wld_domain_chosen&lt;&gt;"MGMT Workload Domain",CONCATENATE(prefix_wld_az1_rack_cidr,"92.116"),CONCATENATE(prefix_mgmt_az1_cidr,"92.116"))</f>
        <v>#REF!</v>
      </c>
      <c r="D562" s="13"/>
      <c r="E562" s="90" t="e">
        <f>IF(OR(cluster_secondary_storage_chosen="Secondary NFS Storage Network",wld_secondary_storage_chosen="Secondary NFS Storage Network"),"Start IP of the Secondary Storage NFS Pool Range","End IP of the vSAN Storage Client Pool Range")</f>
        <v>#REF!</v>
      </c>
    </row>
  </sheetData>
  <mergeCells count="66">
    <mergeCell ref="B246:E246"/>
    <mergeCell ref="B251:E251"/>
    <mergeCell ref="B400:E400"/>
    <mergeCell ref="B408:E408"/>
    <mergeCell ref="B410:E410"/>
    <mergeCell ref="B309:E309"/>
    <mergeCell ref="B327:E327"/>
    <mergeCell ref="B262:E262"/>
    <mergeCell ref="B266:E266"/>
    <mergeCell ref="B273:E273"/>
    <mergeCell ref="B287:E287"/>
    <mergeCell ref="B292:E292"/>
    <mergeCell ref="B201:E201"/>
    <mergeCell ref="B217:E217"/>
    <mergeCell ref="B219:E219"/>
    <mergeCell ref="B221:E221"/>
    <mergeCell ref="B226:E226"/>
    <mergeCell ref="B152:E152"/>
    <mergeCell ref="B160:E160"/>
    <mergeCell ref="B175:E175"/>
    <mergeCell ref="B181:E181"/>
    <mergeCell ref="B194:E194"/>
    <mergeCell ref="B109:E109"/>
    <mergeCell ref="B121:E121"/>
    <mergeCell ref="B127:E127"/>
    <mergeCell ref="B133:E133"/>
    <mergeCell ref="B139:E139"/>
    <mergeCell ref="B76:E76"/>
    <mergeCell ref="B84:E84"/>
    <mergeCell ref="B93:E93"/>
    <mergeCell ref="B95:E95"/>
    <mergeCell ref="B101:E101"/>
    <mergeCell ref="B35:E35"/>
    <mergeCell ref="B52:E52"/>
    <mergeCell ref="B54:E54"/>
    <mergeCell ref="B66:E66"/>
    <mergeCell ref="B68:E68"/>
    <mergeCell ref="H12:J12"/>
    <mergeCell ref="B14:E14"/>
    <mergeCell ref="B16:E16"/>
    <mergeCell ref="B25:E25"/>
    <mergeCell ref="B27:E27"/>
    <mergeCell ref="H7:J7"/>
    <mergeCell ref="B8:J8"/>
    <mergeCell ref="H9:J9"/>
    <mergeCell ref="H10:J10"/>
    <mergeCell ref="H11:J11"/>
    <mergeCell ref="B1:J1"/>
    <mergeCell ref="B2:J2"/>
    <mergeCell ref="H3:J3"/>
    <mergeCell ref="H5:J5"/>
    <mergeCell ref="H6:J6"/>
    <mergeCell ref="B531:E531"/>
    <mergeCell ref="B539:E539"/>
    <mergeCell ref="B547:E547"/>
    <mergeCell ref="B555:E555"/>
    <mergeCell ref="B329:E329"/>
    <mergeCell ref="B342:E342"/>
    <mergeCell ref="B356:E356"/>
    <mergeCell ref="B358:E358"/>
    <mergeCell ref="B363:E363"/>
    <mergeCell ref="B384:E384"/>
    <mergeCell ref="B389:E389"/>
    <mergeCell ref="B507:E507"/>
    <mergeCell ref="B515:E515"/>
    <mergeCell ref="B523:E523"/>
  </mergeCells>
  <conditionalFormatting sqref="D508:D514">
    <cfRule type="notContainsBlanks" dxfId="160" priority="1">
      <formula>LEN(TRIM(D508))&gt;0</formula>
    </cfRule>
    <cfRule type="containsBlanks" dxfId="159" priority="2">
      <formula>LEN(TRIM(D508))=0</formula>
    </cfRule>
  </conditionalFormatting>
  <conditionalFormatting sqref="D516:D522">
    <cfRule type="notContainsBlanks" dxfId="158" priority="3">
      <formula>LEN(TRIM(D516))&gt;0</formula>
    </cfRule>
    <cfRule type="containsBlanks" dxfId="157" priority="4">
      <formula>LEN(TRIM(D516))=0</formula>
    </cfRule>
  </conditionalFormatting>
  <conditionalFormatting sqref="D524:D530">
    <cfRule type="notContainsBlanks" dxfId="156" priority="5">
      <formula>LEN(TRIM(D524))&gt;0</formula>
    </cfRule>
    <cfRule type="containsBlanks" dxfId="155" priority="6">
      <formula>LEN(TRIM(D524))=0</formula>
    </cfRule>
  </conditionalFormatting>
  <conditionalFormatting sqref="D532:D538">
    <cfRule type="notContainsBlanks" dxfId="154" priority="7">
      <formula>LEN(TRIM(D532))&gt;0</formula>
    </cfRule>
    <cfRule type="containsBlanks" dxfId="153" priority="8">
      <formula>LEN(TRIM(D532))=0</formula>
    </cfRule>
  </conditionalFormatting>
  <conditionalFormatting sqref="D540:D546">
    <cfRule type="notContainsBlanks" dxfId="152" priority="9">
      <formula>LEN(TRIM(D540))&gt;0</formula>
    </cfRule>
    <cfRule type="containsBlanks" dxfId="151" priority="10">
      <formula>LEN(TRIM(D540))=0</formula>
    </cfRule>
  </conditionalFormatting>
  <conditionalFormatting sqref="D548:D554">
    <cfRule type="notContainsBlanks" dxfId="150" priority="11">
      <formula>LEN(TRIM(D548))&gt;0</formula>
    </cfRule>
    <cfRule type="containsBlanks" dxfId="149" priority="12">
      <formula>LEN(TRIM(D548))=0</formula>
    </cfRule>
  </conditionalFormatting>
  <conditionalFormatting sqref="D556:D562">
    <cfRule type="notContainsBlanks" dxfId="148" priority="13">
      <formula>LEN(TRIM(D556))&gt;0</formula>
    </cfRule>
    <cfRule type="containsBlanks" dxfId="147" priority="14">
      <formula>LEN(TRIM(D556))=0</formula>
    </cfRule>
  </conditionalFormatting>
  <conditionalFormatting sqref="S7">
    <cfRule type="notContainsBlanks" dxfId="146" priority="15">
      <formula>LEN(TRIM(S7))&gt;0</formula>
    </cfRule>
    <cfRule type="containsBlanks" dxfId="145" priority="16">
      <formula>LEN(TRIM(S7))=0</formula>
    </cfRule>
  </conditionalFormatting>
  <dataValidations count="3">
    <dataValidation type="list" allowBlank="1" showErrorMessage="1" sqref="C53:D53" xr:uid="{00000000-0002-0000-0B00-000000000000}">
      <formula1>"User Interface,PowerShell"</formula1>
    </dataValidation>
    <dataValidation type="list" allowBlank="1" showErrorMessage="1" sqref="C15:D15 C26" xr:uid="{00000000-0002-0000-0B00-000001000000}">
      <formula1>"Standard,Consolidated"</formula1>
    </dataValidation>
    <dataValidation type="list" allowBlank="1" showErrorMessage="1" sqref="C64:D64 C89:D89" xr:uid="{00000000-0002-0000-0B00-000002000000}">
      <formula1>"Same SSO Domain,Different SSO Domain"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CC2E5"/>
  </sheetPr>
  <dimension ref="A1:Z1000"/>
  <sheetViews>
    <sheetView showGridLines="0" workbookViewId="0"/>
  </sheetViews>
  <sheetFormatPr baseColWidth="10" defaultColWidth="12.6640625" defaultRowHeight="13"/>
  <cols>
    <col min="1" max="1" width="3.1640625" customWidth="1"/>
    <col min="2" max="2" width="89.6640625" customWidth="1"/>
    <col min="3" max="4" width="79.6640625" customWidth="1"/>
    <col min="5" max="5" width="94.1640625" customWidth="1"/>
    <col min="6" max="6" width="27" customWidth="1"/>
    <col min="7" max="7" width="12.1640625" customWidth="1"/>
    <col min="8" max="26" width="12.33203125" customWidth="1"/>
  </cols>
  <sheetData>
    <row r="1" spans="1:26" ht="15.75" customHeight="1">
      <c r="A1" s="99"/>
      <c r="B1" s="7"/>
      <c r="C1" s="7"/>
      <c r="D1" s="7"/>
      <c r="E1" s="7"/>
      <c r="F1" s="27"/>
      <c r="G1" s="27"/>
      <c r="H1" s="27"/>
      <c r="I1" s="27"/>
      <c r="J1" s="2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54" customHeight="1">
      <c r="A2" s="7"/>
      <c r="B2" s="224" t="s">
        <v>8385</v>
      </c>
      <c r="C2" s="183"/>
      <c r="D2" s="183"/>
      <c r="E2" s="181"/>
      <c r="F2" s="27"/>
      <c r="G2" s="27"/>
      <c r="H2" s="27"/>
      <c r="I2" s="27"/>
      <c r="J2" s="2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9.5" customHeight="1">
      <c r="A3" s="7"/>
      <c r="B3" s="225" t="s">
        <v>8386</v>
      </c>
      <c r="C3" s="183"/>
      <c r="D3" s="183"/>
      <c r="E3" s="181"/>
      <c r="F3" s="27"/>
      <c r="G3" s="27"/>
      <c r="H3" s="27"/>
      <c r="I3" s="27"/>
      <c r="J3" s="2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">
      <c r="A4" s="27"/>
      <c r="B4" s="7"/>
      <c r="C4" s="27"/>
      <c r="D4" s="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33.75" customHeight="1">
      <c r="A5" s="27"/>
      <c r="B5" s="100" t="s">
        <v>8174</v>
      </c>
      <c r="C5" s="100" t="s">
        <v>8387</v>
      </c>
      <c r="D5" s="101"/>
      <c r="E5" s="101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6">
      <c r="A6" s="7"/>
      <c r="B6" s="7"/>
      <c r="C6" s="7"/>
      <c r="D6" s="8"/>
      <c r="E6" s="9"/>
      <c r="F6" s="9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27"/>
      <c r="B7" s="7"/>
      <c r="C7" s="27"/>
      <c r="D7" s="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33.75" customHeight="1">
      <c r="A8" s="27"/>
      <c r="B8" s="218" t="s">
        <v>8174</v>
      </c>
      <c r="C8" s="183"/>
      <c r="D8" s="183"/>
      <c r="E8" s="181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6">
      <c r="A9" s="27"/>
      <c r="B9" s="7"/>
      <c r="C9" s="27"/>
      <c r="D9" s="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30" customHeight="1">
      <c r="A10" s="27"/>
      <c r="B10" s="205" t="s">
        <v>8388</v>
      </c>
      <c r="C10" s="183"/>
      <c r="D10" s="183"/>
      <c r="E10" s="181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9.5" customHeight="1">
      <c r="A11" s="27"/>
      <c r="B11" s="202"/>
      <c r="C11" s="183"/>
      <c r="D11" s="183"/>
      <c r="E11" s="181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9.5" customHeight="1">
      <c r="A12" s="27"/>
      <c r="B12" s="102" t="s">
        <v>8389</v>
      </c>
      <c r="C12" s="103" t="s">
        <v>8390</v>
      </c>
      <c r="D12" s="103" t="s">
        <v>6943</v>
      </c>
      <c r="E12" s="103" t="s">
        <v>8181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9.5" customHeight="1">
      <c r="A13" s="27"/>
      <c r="B13" s="30" t="s">
        <v>8391</v>
      </c>
      <c r="C13" s="104" t="str">
        <f>CONCATENATE(prefix_portable_component,"-fm01.",sample_vvs_dr_parent_dns_zone)</f>
        <v>flt-fm01.rainpole.io</v>
      </c>
      <c r="D13" s="13"/>
      <c r="E13" s="15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9.5" customHeight="1">
      <c r="A14" s="27"/>
      <c r="B14" s="213" t="s">
        <v>8392</v>
      </c>
      <c r="C14" s="183"/>
      <c r="D14" s="183"/>
      <c r="E14" s="181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9.5" customHeight="1">
      <c r="A15" s="27"/>
      <c r="B15" s="30" t="s">
        <v>6833</v>
      </c>
      <c r="C15" s="31" t="e">
        <f>CONCATENATE("DNS=",sample_vvs_dr_dns1_ip)</f>
        <v>#REF!</v>
      </c>
      <c r="D15" s="13"/>
      <c r="E15" s="15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9.5" customHeight="1">
      <c r="A16" s="27"/>
      <c r="B16" s="213" t="s">
        <v>8393</v>
      </c>
      <c r="C16" s="183"/>
      <c r="D16" s="183"/>
      <c r="E16" s="181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9.5" customHeight="1">
      <c r="A17" s="27"/>
      <c r="B17" s="80" t="s">
        <v>8394</v>
      </c>
      <c r="C17" s="31" t="s">
        <v>7153</v>
      </c>
      <c r="D17" s="13"/>
      <c r="E17" s="15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5.75" customHeight="1">
      <c r="A18" s="27"/>
      <c r="B18" s="7"/>
      <c r="C18" s="27"/>
      <c r="D18" s="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30" customHeight="1">
      <c r="A19" s="27"/>
      <c r="B19" s="205" t="s">
        <v>8395</v>
      </c>
      <c r="C19" s="183"/>
      <c r="D19" s="183"/>
      <c r="E19" s="181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9.5" customHeight="1">
      <c r="A20" s="27"/>
      <c r="B20" s="102" t="s">
        <v>8389</v>
      </c>
      <c r="C20" s="103" t="s">
        <v>8390</v>
      </c>
      <c r="D20" s="103" t="s">
        <v>6943</v>
      </c>
      <c r="E20" s="103" t="s">
        <v>8181</v>
      </c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9.5" customHeight="1">
      <c r="A21" s="27"/>
      <c r="B21" s="30" t="s">
        <v>8396</v>
      </c>
      <c r="C21" s="104" t="str">
        <f>CONCATENATE(prefix_portable_component,"-ops01a.",sample_vvs_dr_parent_dns_zone)</f>
        <v>flt-ops01a.rainpole.io</v>
      </c>
      <c r="D21" s="13"/>
      <c r="E21" s="15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9.5" customHeight="1">
      <c r="A22" s="27"/>
      <c r="B22" s="30" t="s">
        <v>6780</v>
      </c>
      <c r="C22" s="31" t="s">
        <v>8397</v>
      </c>
      <c r="D22" s="13"/>
      <c r="E22" s="15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9.5" customHeight="1">
      <c r="A23" s="27"/>
      <c r="B23" s="30" t="s">
        <v>8398</v>
      </c>
      <c r="C23" s="31" t="e">
        <f>CONCATENATE("ntp0",".",other_instance,".",sample_vvs_dr_parent_dns_zone)</f>
        <v>#REF!</v>
      </c>
      <c r="D23" s="13"/>
      <c r="E23" s="15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.75" customHeight="1">
      <c r="A24" s="27"/>
      <c r="B24" s="7"/>
      <c r="C24" s="27"/>
      <c r="D24" s="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30" customHeight="1">
      <c r="A25" s="27"/>
      <c r="B25" s="205" t="s">
        <v>8399</v>
      </c>
      <c r="C25" s="183"/>
      <c r="D25" s="183"/>
      <c r="E25" s="181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9.5" customHeight="1">
      <c r="A26" s="27"/>
      <c r="B26" s="202"/>
      <c r="C26" s="183"/>
      <c r="D26" s="183"/>
      <c r="E26" s="181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9.5" customHeight="1">
      <c r="A27" s="27"/>
      <c r="B27" s="102" t="s">
        <v>8389</v>
      </c>
      <c r="C27" s="103" t="s">
        <v>8390</v>
      </c>
      <c r="D27" s="103" t="s">
        <v>6943</v>
      </c>
      <c r="E27" s="103" t="s">
        <v>8181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9.5" customHeight="1">
      <c r="A28" s="27"/>
      <c r="B28" s="30" t="s">
        <v>8396</v>
      </c>
      <c r="C28" s="104" t="str">
        <f>sample_vvs_dr_flt_ops_nodea_fqdn</f>
        <v>flt-ops01a.rainpole.io</v>
      </c>
      <c r="D28" s="13" t="str">
        <f>vvs_dr_flt_ops_nodea_fqdn</f>
        <v>Value Missing</v>
      </c>
      <c r="E28" s="15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9.5" customHeight="1">
      <c r="A29" s="27"/>
      <c r="B29" s="213" t="s">
        <v>8392</v>
      </c>
      <c r="C29" s="183"/>
      <c r="D29" s="183"/>
      <c r="E29" s="181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9.5" customHeight="1">
      <c r="A30" s="27"/>
      <c r="B30" s="30" t="s">
        <v>6833</v>
      </c>
      <c r="C30" s="31" t="e">
        <f>CONCATENATE("DNS=",sample_vvs_dr_dns1_ip)</f>
        <v>#REF!</v>
      </c>
      <c r="D30" s="13" t="str">
        <f>IF(ISBLANK(D15),"Value Missing",D15)</f>
        <v>Value Missing</v>
      </c>
      <c r="E30" s="15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9.5" customHeight="1">
      <c r="A31" s="27"/>
      <c r="B31" s="213" t="s">
        <v>8393</v>
      </c>
      <c r="C31" s="183"/>
      <c r="D31" s="183"/>
      <c r="E31" s="181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9.5" customHeight="1">
      <c r="A32" s="27"/>
      <c r="B32" s="80" t="s">
        <v>8394</v>
      </c>
      <c r="C32" s="104" t="str">
        <f>sample_vvs_dr_parent_dns_zone</f>
        <v>rainpole.io</v>
      </c>
      <c r="D32" s="13" t="str">
        <f t="array" ref="D32">vvs_dr_parent_dns_zone</f>
        <v>Value Missing</v>
      </c>
      <c r="E32" s="15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9.5" customHeight="1">
      <c r="A33" s="27"/>
      <c r="B33" s="30" t="s">
        <v>7589</v>
      </c>
      <c r="C33" s="104" t="str">
        <f>CONCATENATE(prefix_portable_component,"-ops01b.",sample_vvs_dr_parent_dns_zone)</f>
        <v>flt-ops01b.rainpole.io</v>
      </c>
      <c r="D33" s="13"/>
      <c r="E33" s="15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9.5" customHeight="1">
      <c r="A34" s="27"/>
      <c r="B34" s="30" t="s">
        <v>7593</v>
      </c>
      <c r="C34" s="104" t="str">
        <f>CONCATENATE(prefix_portable_component,"-ops01c.",sample_vvs_dr_parent_dns_zone)</f>
        <v>flt-ops01c.rainpole.io</v>
      </c>
      <c r="D34" s="13"/>
      <c r="E34" s="15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9.5" customHeight="1">
      <c r="A35" s="27"/>
      <c r="B35" s="30" t="s">
        <v>7598</v>
      </c>
      <c r="C35" s="104" t="str">
        <f>CONCATENATE(prefix_portable_component,"-logs01a",".",sample_vvs_dr_parent_dns_zone)</f>
        <v>flt-logs01a.rainpole.io</v>
      </c>
      <c r="D35" s="13"/>
      <c r="E35" s="15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9.5" customHeight="1">
      <c r="A36" s="27"/>
      <c r="B36" s="30" t="s">
        <v>7603</v>
      </c>
      <c r="C36" s="104" t="str">
        <f>CONCATENATE(prefix_portable_component,"-logs01b",".",sample_vvs_dr_parent_dns_zone)</f>
        <v>flt-logs01b.rainpole.io</v>
      </c>
      <c r="D36" s="13"/>
      <c r="E36" s="15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9.5" customHeight="1">
      <c r="A37" s="27"/>
      <c r="B37" s="30" t="s">
        <v>7608</v>
      </c>
      <c r="C37" s="104" t="str">
        <f>CONCATENATE(prefix_portable_component,"-logs01c",".",sample_vvs_dr_parent_dns_zone)</f>
        <v>flt-logs01c.rainpole.io</v>
      </c>
      <c r="D37" s="13"/>
      <c r="E37" s="15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9.5" customHeight="1">
      <c r="A38" s="27"/>
      <c r="B38" s="30" t="s">
        <v>7613</v>
      </c>
      <c r="C38" s="104" t="str">
        <f>CONCATENATE(prefix_portable_component,"-net01a",".",sample_vvs_dr_parent_dns_zone)</f>
        <v>flt-net01a.rainpole.io</v>
      </c>
      <c r="D38" s="13"/>
      <c r="E38" s="15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9.5" customHeight="1">
      <c r="A39" s="27"/>
      <c r="B39" s="30" t="s">
        <v>7616</v>
      </c>
      <c r="C39" s="104" t="str">
        <f>CONCATENATE(prefix_portable_component,"-net01b",".",sample_vvs_dr_parent_dns_zone)</f>
        <v>flt-net01b.rainpole.io</v>
      </c>
      <c r="D39" s="13"/>
      <c r="E39" s="15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9.5" customHeight="1">
      <c r="A40" s="27"/>
      <c r="B40" s="30" t="s">
        <v>7620</v>
      </c>
      <c r="C40" s="104" t="str">
        <f>CONCATENATE(prefix_portable_component,"-net01c",".",sample_vvs_dr_parent_dns_zone)</f>
        <v>flt-net01c.rainpole.io</v>
      </c>
      <c r="D40" s="13"/>
      <c r="E40" s="15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5.75" customHeight="1">
      <c r="A41" s="27"/>
      <c r="B41" s="7"/>
      <c r="C41" s="27"/>
      <c r="D41" s="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30" customHeight="1">
      <c r="A42" s="27"/>
      <c r="B42" s="205" t="s">
        <v>8400</v>
      </c>
      <c r="C42" s="183"/>
      <c r="D42" s="183"/>
      <c r="E42" s="181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9.5" customHeight="1">
      <c r="A43" s="27"/>
      <c r="B43" s="202"/>
      <c r="C43" s="183"/>
      <c r="D43" s="183"/>
      <c r="E43" s="181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9.5" customHeight="1">
      <c r="A44" s="27"/>
      <c r="B44" s="102" t="s">
        <v>8389</v>
      </c>
      <c r="C44" s="103" t="s">
        <v>8390</v>
      </c>
      <c r="D44" s="103" t="s">
        <v>6943</v>
      </c>
      <c r="E44" s="103" t="s">
        <v>8181</v>
      </c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9.5" customHeight="1">
      <c r="A45" s="27"/>
      <c r="B45" s="30" t="s">
        <v>8396</v>
      </c>
      <c r="C45" s="104" t="str">
        <f>sample_vvs_dr_flt_ops_nodea_fqdn</f>
        <v>flt-ops01a.rainpole.io</v>
      </c>
      <c r="D45" s="13" t="str">
        <f>vvs_dr_flt_ops_nodea_fqdn</f>
        <v>Value Missing</v>
      </c>
      <c r="E45" s="15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9.5" customHeight="1">
      <c r="A46" s="27"/>
      <c r="B46" s="30" t="s">
        <v>8401</v>
      </c>
      <c r="C46" s="31" t="e">
        <f>sample_vvs_dr_ntp1_server</f>
        <v>#REF!</v>
      </c>
      <c r="D46" s="13" t="str">
        <f>vvs_dr_ntp1_server</f>
        <v>Value Missing</v>
      </c>
      <c r="E46" s="15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5.75" customHeight="1">
      <c r="A47" s="27"/>
      <c r="B47" s="7"/>
      <c r="C47" s="27"/>
      <c r="D47" s="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30" customHeight="1">
      <c r="A48" s="27"/>
      <c r="B48" s="205" t="s">
        <v>8402</v>
      </c>
      <c r="C48" s="183"/>
      <c r="D48" s="183"/>
      <c r="E48" s="181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9.5" customHeight="1">
      <c r="A49" s="27"/>
      <c r="B49" s="202"/>
      <c r="C49" s="183"/>
      <c r="D49" s="183"/>
      <c r="E49" s="181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9.5" customHeight="1">
      <c r="A50" s="27"/>
      <c r="B50" s="102" t="s">
        <v>8389</v>
      </c>
      <c r="C50" s="103" t="s">
        <v>8390</v>
      </c>
      <c r="D50" s="103" t="s">
        <v>6943</v>
      </c>
      <c r="E50" s="103" t="s">
        <v>8181</v>
      </c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9.5" customHeight="1">
      <c r="A51" s="27"/>
      <c r="B51" s="30" t="s">
        <v>7598</v>
      </c>
      <c r="C51" s="104" t="str">
        <f>sample_vvs_dr_flt_logs_nodea_fqdn</f>
        <v>flt-logs01a.rainpole.io</v>
      </c>
      <c r="D51" s="13" t="str">
        <f>vvs_dr_flt_logs_nodea_fqdn</f>
        <v>Value Missing</v>
      </c>
      <c r="E51" s="15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9.5" customHeight="1">
      <c r="A52" s="27"/>
      <c r="B52" s="30" t="s">
        <v>8401</v>
      </c>
      <c r="C52" s="31" t="e">
        <f>sample_vvs_dr_ntp1_server</f>
        <v>#REF!</v>
      </c>
      <c r="D52" s="13" t="str">
        <f>vvs_dr_ntp1_server</f>
        <v>Value Missing</v>
      </c>
      <c r="E52" s="15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9.5" customHeight="1">
      <c r="A53" s="27"/>
      <c r="B53" s="30" t="s">
        <v>7603</v>
      </c>
      <c r="C53" s="104" t="str">
        <f>sample_vvs_dr_flt_logs_nodeb_fqdn</f>
        <v>flt-logs01b.rainpole.io</v>
      </c>
      <c r="D53" s="13" t="str">
        <f>vvs_dr_flt_logs_nodeb_fqdn</f>
        <v>Value Missing</v>
      </c>
      <c r="E53" s="15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9.5" customHeight="1">
      <c r="A54" s="27"/>
      <c r="B54" s="30" t="s">
        <v>7608</v>
      </c>
      <c r="C54" s="104" t="str">
        <f>sample_vvs_dr_flt_logs_nodec_fqdn</f>
        <v>flt-logs01c.rainpole.io</v>
      </c>
      <c r="D54" s="13" t="str">
        <f>vvs_dr_flt_logs_nodec_fqdn</f>
        <v>Value Missing</v>
      </c>
      <c r="E54" s="15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>
      <c r="A55" s="27"/>
      <c r="B55" s="7"/>
      <c r="C55" s="27"/>
      <c r="D55" s="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30" customHeight="1">
      <c r="A56" s="27"/>
      <c r="B56" s="205" t="s">
        <v>8403</v>
      </c>
      <c r="C56" s="183"/>
      <c r="D56" s="183"/>
      <c r="E56" s="181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9.5" customHeight="1">
      <c r="A57" s="27"/>
      <c r="B57" s="202"/>
      <c r="C57" s="183"/>
      <c r="D57" s="183"/>
      <c r="E57" s="181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9.5" customHeight="1">
      <c r="A58" s="27"/>
      <c r="B58" s="102" t="s">
        <v>8389</v>
      </c>
      <c r="C58" s="103" t="s">
        <v>8390</v>
      </c>
      <c r="D58" s="103" t="s">
        <v>6943</v>
      </c>
      <c r="E58" s="103" t="s">
        <v>8181</v>
      </c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9.5" customHeight="1">
      <c r="A59" s="27"/>
      <c r="B59" s="30" t="s">
        <v>7613</v>
      </c>
      <c r="C59" s="104" t="str">
        <f>sample_vvs_dr_flt_net_nodea_fqdn</f>
        <v>flt-net01a.rainpole.io</v>
      </c>
      <c r="D59" s="13" t="str">
        <f>vvs_dr_flt_net_nodea_fqdn</f>
        <v>Value Missing</v>
      </c>
      <c r="E59" s="15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9.5" customHeight="1">
      <c r="A60" s="27"/>
      <c r="B60" s="30" t="s">
        <v>8401</v>
      </c>
      <c r="C60" s="31" t="e">
        <f>sample_vvs_dr_ntp1_server</f>
        <v>#REF!</v>
      </c>
      <c r="D60" s="13" t="str">
        <f>vvs_dr_ntp1_server</f>
        <v>Value Missing</v>
      </c>
      <c r="E60" s="15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9.5" customHeight="1">
      <c r="A61" s="27"/>
      <c r="B61" s="30" t="s">
        <v>7616</v>
      </c>
      <c r="C61" s="104" t="str">
        <f>sample_vvs_dr_flt_net_nodeb_fqdn</f>
        <v>flt-net01b.rainpole.io</v>
      </c>
      <c r="D61" s="13" t="str">
        <f>vvs_dr_flt_net_nodeb_fqdn</f>
        <v>Value Missing</v>
      </c>
      <c r="E61" s="15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9.5" customHeight="1">
      <c r="A62" s="27"/>
      <c r="B62" s="30" t="s">
        <v>7620</v>
      </c>
      <c r="C62" s="104" t="str">
        <f>sample_vvs_dr_flt_net_nodec_fqdn</f>
        <v>flt-net01c.rainpole.io</v>
      </c>
      <c r="D62" s="13" t="str">
        <f>vvs_dr_flt_net_nodec_fqdn</f>
        <v>Value Missing</v>
      </c>
      <c r="E62" s="15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>
      <c r="A63" s="27"/>
      <c r="B63" s="7"/>
      <c r="C63" s="27"/>
      <c r="D63" s="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30" customHeight="1">
      <c r="A64" s="27"/>
      <c r="B64" s="205" t="s">
        <v>8404</v>
      </c>
      <c r="C64" s="183"/>
      <c r="D64" s="183"/>
      <c r="E64" s="181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9.5" customHeight="1">
      <c r="A65" s="27"/>
      <c r="B65" s="202"/>
      <c r="C65" s="183"/>
      <c r="D65" s="183"/>
      <c r="E65" s="181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9.5" customHeight="1">
      <c r="A66" s="27"/>
      <c r="B66" s="102" t="s">
        <v>8389</v>
      </c>
      <c r="C66" s="103" t="s">
        <v>8390</v>
      </c>
      <c r="D66" s="103" t="s">
        <v>6943</v>
      </c>
      <c r="E66" s="103" t="s">
        <v>8181</v>
      </c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9.5" customHeight="1">
      <c r="A67" s="27"/>
      <c r="B67" s="30" t="s">
        <v>8405</v>
      </c>
      <c r="C67" s="104" t="str">
        <f>CONCATENATE(prefix_portable_component,"-auto01",".",sample_vvs_dr_parent_dns_zone)</f>
        <v>flt-auto01.rainpole.io</v>
      </c>
      <c r="D67" s="13"/>
      <c r="E67" s="15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9.5" customHeight="1">
      <c r="A68" s="27"/>
      <c r="B68" s="30" t="s">
        <v>8406</v>
      </c>
      <c r="C68" s="31" t="s">
        <v>8407</v>
      </c>
      <c r="D68" s="13" t="str">
        <f>C68</f>
        <v>automation</v>
      </c>
      <c r="E68" s="15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9.5" customHeight="1">
      <c r="A69" s="27"/>
      <c r="B69" s="30" t="s">
        <v>8408</v>
      </c>
      <c r="C69" s="31" t="e">
        <f>CONCATENATE(prefix_other_region_az1_cidr,"10.4")</f>
        <v>#REF!</v>
      </c>
      <c r="D69" s="13"/>
      <c r="E69" s="15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9.5" customHeight="1">
      <c r="A70" s="27"/>
      <c r="B70" s="30" t="s">
        <v>8408</v>
      </c>
      <c r="C70" s="31" t="e">
        <f>CONCATENATE(prefix_other_region_az1_cidr,"10.5")</f>
        <v>#REF!</v>
      </c>
      <c r="D70" s="13"/>
      <c r="E70" s="15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>
      <c r="A71" s="27"/>
      <c r="B71" s="7"/>
      <c r="C71" s="27"/>
      <c r="D71" s="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33.75" customHeight="1">
      <c r="A72" s="27"/>
      <c r="B72" s="205" t="s">
        <v>8409</v>
      </c>
      <c r="C72" s="183"/>
      <c r="D72" s="183"/>
      <c r="E72" s="181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9.5" customHeight="1">
      <c r="A73" s="27"/>
      <c r="B73" s="202"/>
      <c r="C73" s="183"/>
      <c r="D73" s="183"/>
      <c r="E73" s="181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9.5" customHeight="1">
      <c r="A74" s="27"/>
      <c r="B74" s="102" t="s">
        <v>8389</v>
      </c>
      <c r="C74" s="103" t="s">
        <v>8390</v>
      </c>
      <c r="D74" s="103" t="s">
        <v>6943</v>
      </c>
      <c r="E74" s="103" t="s">
        <v>8181</v>
      </c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9.5" customHeight="1">
      <c r="A75" s="27"/>
      <c r="B75" s="30" t="s">
        <v>8410</v>
      </c>
      <c r="C75" s="31" t="e">
        <f>sample_xreg_vra_virtual_fqdn</f>
        <v>#REF!</v>
      </c>
      <c r="D75" s="13" t="str">
        <f>vvs_dr_flt_auto_fqdn</f>
        <v>Value Missing</v>
      </c>
      <c r="E75" s="15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9.5" customHeight="1">
      <c r="A76" s="27"/>
      <c r="B76" s="30" t="s">
        <v>8406</v>
      </c>
      <c r="C76" s="31" t="s">
        <v>8407</v>
      </c>
      <c r="D76" s="13" t="str">
        <f>C76</f>
        <v>automation</v>
      </c>
      <c r="E76" s="15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9.5" customHeight="1">
      <c r="A77" s="27"/>
      <c r="B77" s="30" t="s">
        <v>8411</v>
      </c>
      <c r="C77" s="31" t="e">
        <f>sample_vvs_dr_ntp1_server</f>
        <v>#REF!</v>
      </c>
      <c r="D77" s="13" t="str">
        <f>vvs_dr_ntp1_server</f>
        <v>Value Missing</v>
      </c>
      <c r="E77" s="15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customHeight="1">
      <c r="A78" s="27"/>
      <c r="B78" s="7"/>
      <c r="C78" s="27"/>
      <c r="D78" s="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30" customHeight="1">
      <c r="A79" s="27"/>
      <c r="B79" s="205" t="s">
        <v>8412</v>
      </c>
      <c r="C79" s="183"/>
      <c r="D79" s="183"/>
      <c r="E79" s="181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9.5" customHeight="1">
      <c r="A80" s="27"/>
      <c r="B80" s="202"/>
      <c r="C80" s="183"/>
      <c r="D80" s="183"/>
      <c r="E80" s="181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9.5" customHeight="1">
      <c r="A81" s="27"/>
      <c r="B81" s="102" t="s">
        <v>8389</v>
      </c>
      <c r="C81" s="103" t="s">
        <v>8390</v>
      </c>
      <c r="D81" s="103" t="s">
        <v>6943</v>
      </c>
      <c r="E81" s="103" t="s">
        <v>8181</v>
      </c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9.5" customHeight="1">
      <c r="A82" s="27"/>
      <c r="B82" s="30" t="s">
        <v>8405</v>
      </c>
      <c r="C82" s="104" t="str">
        <f>sample_vvs_dr_flt_ops_nodea_fqdn</f>
        <v>flt-ops01a.rainpole.io</v>
      </c>
      <c r="D82" s="13" t="str">
        <f>vvs_dr_flt_ops_nodea_fqdn</f>
        <v>Value Missing</v>
      </c>
      <c r="E82" s="15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9.5" customHeight="1">
      <c r="A83" s="27"/>
      <c r="B83" s="30" t="s">
        <v>8406</v>
      </c>
      <c r="C83" s="31" t="s">
        <v>8413</v>
      </c>
      <c r="D83" s="13" t="s">
        <v>8413</v>
      </c>
      <c r="E83" s="15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9.5" customHeight="1">
      <c r="A84" s="27"/>
      <c r="B84" s="30" t="s">
        <v>8408</v>
      </c>
      <c r="C84" s="31" t="e">
        <f>CONCATENATE(prefix_other_region_az1_cidr,"10.4")</f>
        <v>#REF!</v>
      </c>
      <c r="D84" s="13" t="str">
        <f>vvs_dr_dns1_ip</f>
        <v>Value Missing</v>
      </c>
      <c r="E84" s="15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9.5" customHeight="1">
      <c r="A85" s="27"/>
      <c r="B85" s="30" t="s">
        <v>8408</v>
      </c>
      <c r="C85" s="31" t="e">
        <f>sample_vvs_dr_dns2_ip</f>
        <v>#REF!</v>
      </c>
      <c r="D85" s="13" t="str">
        <f t="array" ref="D85">vvs_dr_dns2_ip</f>
        <v>Value Missing</v>
      </c>
      <c r="E85" s="15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>
      <c r="A86" s="27"/>
      <c r="B86" s="7"/>
      <c r="C86" s="27"/>
      <c r="D86" s="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33.75" customHeight="1">
      <c r="A87" s="27"/>
      <c r="B87" s="205" t="s">
        <v>8414</v>
      </c>
      <c r="C87" s="183"/>
      <c r="D87" s="183"/>
      <c r="E87" s="181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9.5" customHeight="1">
      <c r="A88" s="27"/>
      <c r="B88" s="202"/>
      <c r="C88" s="183"/>
      <c r="D88" s="183"/>
      <c r="E88" s="181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9.5" customHeight="1">
      <c r="A89" s="27"/>
      <c r="B89" s="102" t="s">
        <v>8389</v>
      </c>
      <c r="C89" s="103" t="s">
        <v>8390</v>
      </c>
      <c r="D89" s="103" t="s">
        <v>6943</v>
      </c>
      <c r="E89" s="103" t="s">
        <v>8181</v>
      </c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9.5" customHeight="1">
      <c r="A90" s="27"/>
      <c r="B90" s="30" t="s">
        <v>8405</v>
      </c>
      <c r="C90" s="104" t="str">
        <f>sample_vvs_dr_flt_ops_nodea_fqdn</f>
        <v>flt-ops01a.rainpole.io</v>
      </c>
      <c r="D90" s="13" t="str">
        <f>vvs_dr_flt_ops_nodea_fqdn</f>
        <v>Value Missing</v>
      </c>
      <c r="E90" s="15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9.5" customHeight="1">
      <c r="A91" s="27"/>
      <c r="B91" s="30" t="s">
        <v>8406</v>
      </c>
      <c r="C91" s="31" t="s">
        <v>8413</v>
      </c>
      <c r="D91" s="13" t="s">
        <v>8413</v>
      </c>
      <c r="E91" s="15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9.5" customHeight="1">
      <c r="A92" s="27"/>
      <c r="B92" s="30" t="s">
        <v>8411</v>
      </c>
      <c r="C92" s="31" t="e">
        <f>sample_vvs_dr_ntp1_server</f>
        <v>#REF!</v>
      </c>
      <c r="D92" s="13" t="str">
        <f>vvs_dr_ntp1_server</f>
        <v>Value Missing</v>
      </c>
      <c r="E92" s="15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>
      <c r="A93" s="27"/>
      <c r="B93" s="7"/>
      <c r="C93" s="27"/>
      <c r="D93" s="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33.75" customHeight="1">
      <c r="A94" s="27"/>
      <c r="B94" s="218" t="s">
        <v>8415</v>
      </c>
      <c r="C94" s="183"/>
      <c r="D94" s="183"/>
      <c r="E94" s="181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>
      <c r="A95" s="27"/>
      <c r="B95" s="7"/>
      <c r="C95" s="27"/>
      <c r="D95" s="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33.75" customHeight="1">
      <c r="A96" s="27"/>
      <c r="B96" s="205" t="s">
        <v>8416</v>
      </c>
      <c r="C96" s="183"/>
      <c r="D96" s="183"/>
      <c r="E96" s="181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9.5" customHeight="1">
      <c r="A97" s="27"/>
      <c r="B97" s="202"/>
      <c r="C97" s="183"/>
      <c r="D97" s="183"/>
      <c r="E97" s="181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9.5" customHeight="1">
      <c r="A98" s="27"/>
      <c r="B98" s="102" t="s">
        <v>8389</v>
      </c>
      <c r="C98" s="103" t="s">
        <v>8390</v>
      </c>
      <c r="D98" s="103" t="s">
        <v>6943</v>
      </c>
      <c r="E98" s="103" t="s">
        <v>8181</v>
      </c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9.5" customHeight="1">
      <c r="A99" s="27"/>
      <c r="B99" s="30" t="s">
        <v>8301</v>
      </c>
      <c r="C99" s="31" t="e">
        <f>CONCATENATE(this_instance,"-m01-vc01.",sample_child_dns_zone)</f>
        <v>#REF!</v>
      </c>
      <c r="D99" s="13"/>
      <c r="E99" s="15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9.5" customHeight="1">
      <c r="A100" s="27"/>
      <c r="B100" s="80" t="s">
        <v>6317</v>
      </c>
      <c r="C100" s="31" t="e">
        <f>CONCATENATE(this_instance,"-m01-cl01")</f>
        <v>#REF!</v>
      </c>
      <c r="D100" s="13"/>
      <c r="E100" s="15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9.5" customHeight="1">
      <c r="A101" s="27"/>
      <c r="B101" s="80" t="s">
        <v>8303</v>
      </c>
      <c r="C101" s="33" t="e">
        <f>CONCATENATE(this_instance,"-m01-vlr01")</f>
        <v>#REF!</v>
      </c>
      <c r="D101" s="13"/>
      <c r="E101" s="15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9.5" customHeight="1">
      <c r="A102" s="27"/>
      <c r="B102" s="80" t="s">
        <v>8305</v>
      </c>
      <c r="C102" s="31" t="e">
        <f>sample_vvs_dr_mgmt_cl01_cluster</f>
        <v>#REF!</v>
      </c>
      <c r="D102" s="13" t="str">
        <f>vvs_dr_mgmt_cl01_cluster</f>
        <v>Value Missing</v>
      </c>
      <c r="E102" s="15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9.5" customHeight="1">
      <c r="A103" s="27"/>
      <c r="B103" s="80" t="s">
        <v>7847</v>
      </c>
      <c r="C103" s="31" t="e">
        <f>CONCATENATE(this_instance,"-m01-cl01-ds-vsan01")</f>
        <v>#REF!</v>
      </c>
      <c r="D103" s="13"/>
      <c r="E103" s="15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9.5" customHeight="1">
      <c r="A104" s="27"/>
      <c r="B104" s="30" t="s">
        <v>8306</v>
      </c>
      <c r="C104" s="31" t="e">
        <f>CONCATENATE(this_instance,"-m01-cl01-vds01-pg-vm-mgmt")</f>
        <v>#REF!</v>
      </c>
      <c r="D104" s="13"/>
      <c r="E104" s="15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9.5" customHeight="1">
      <c r="A105" s="27"/>
      <c r="B105" s="30" t="s">
        <v>6786</v>
      </c>
      <c r="C105" s="31" t="e">
        <f>CONCATENATE(sample_vvs_mgmt_dr_vlr_hostname,".",sample_child_dns_zone)</f>
        <v>#REF!</v>
      </c>
      <c r="D105" s="13"/>
      <c r="E105" s="15"/>
      <c r="F105" s="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9.5" customHeight="1">
      <c r="A106" s="27"/>
      <c r="B106" s="30" t="s">
        <v>8307</v>
      </c>
      <c r="C106" s="31" t="str">
        <f>sample_mgmt_vrms_root_password</f>
        <v>VMw@re1!</v>
      </c>
      <c r="D106" s="13"/>
      <c r="E106" s="15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9.5" customHeight="1">
      <c r="A107" s="27"/>
      <c r="B107" s="80" t="s">
        <v>8308</v>
      </c>
      <c r="C107" s="31" t="str">
        <f>sample_mgmt_vrms_admin_password</f>
        <v>VMw@re1!</v>
      </c>
      <c r="D107" s="13"/>
      <c r="E107" s="15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9.5" customHeight="1">
      <c r="A108" s="27"/>
      <c r="B108" s="80" t="s">
        <v>6697</v>
      </c>
      <c r="C108" s="31" t="e">
        <f>CONCATENATE("ntp0.",this_instance,".rainpole.io")</f>
        <v>#REF!</v>
      </c>
      <c r="D108" s="13"/>
      <c r="E108" s="15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9.5" customHeight="1">
      <c r="A109" s="27"/>
      <c r="B109" s="30" t="s">
        <v>7989</v>
      </c>
      <c r="C109" s="31" t="e">
        <f>IF(mgmt_dpg_reuse_result="Included",CONCATENATE(prefix_mgmt_az1_cidr,"10.1"),CONCATENATE(prefix_mgmt_az1_cidr,"11.1"))</f>
        <v>#REF!</v>
      </c>
      <c r="D109" s="13"/>
      <c r="E109" s="15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9.5" customHeight="1">
      <c r="A110" s="27"/>
      <c r="B110" s="80" t="s">
        <v>6692</v>
      </c>
      <c r="C110" s="31" t="e">
        <f>CONCATENATE(this_instance,".rainpole.io")</f>
        <v>#REF!</v>
      </c>
      <c r="D110" s="13"/>
      <c r="E110" s="15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9.5" customHeight="1">
      <c r="A111" s="27"/>
      <c r="B111" s="80" t="s">
        <v>8309</v>
      </c>
      <c r="C111" s="31" t="e">
        <f>CONCATENATE(this_instance,".rainpole.io")</f>
        <v>#REF!</v>
      </c>
      <c r="D111" s="13"/>
      <c r="E111" s="15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9.5" customHeight="1">
      <c r="A112" s="27"/>
      <c r="B112" s="80" t="s">
        <v>8310</v>
      </c>
      <c r="C112" s="31" t="e">
        <f>CONCATENATE(sample_region_dns1_ip,",",sample_region_dns2_ip)</f>
        <v>#REF!</v>
      </c>
      <c r="D112" s="13"/>
      <c r="E112" s="15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9.5" customHeight="1">
      <c r="A113" s="27"/>
      <c r="B113" s="80" t="s">
        <v>8311</v>
      </c>
      <c r="C113" s="33" t="e">
        <f>IF(mgmt_dpg_reuse_result="Included",CONCATENATE(prefix_mgmt_az1_cidr,"10.125"),CONCATENATE(prefix_mgmt_az1_cidr,"11.125"))</f>
        <v>#REF!</v>
      </c>
      <c r="D113" s="13"/>
      <c r="E113" s="108" t="s">
        <v>8417</v>
      </c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9.5" customHeight="1">
      <c r="A114" s="27"/>
      <c r="B114" s="80" t="s">
        <v>8312</v>
      </c>
      <c r="C114" s="31">
        <v>24</v>
      </c>
      <c r="D114" s="13"/>
      <c r="E114" s="15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>
      <c r="A115" s="27"/>
      <c r="B115" s="7"/>
      <c r="C115" s="27"/>
      <c r="D115" s="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33.75" customHeight="1">
      <c r="A116" s="27"/>
      <c r="B116" s="205" t="s">
        <v>8418</v>
      </c>
      <c r="C116" s="183"/>
      <c r="D116" s="183"/>
      <c r="E116" s="181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9.5" customHeight="1">
      <c r="A117" s="27"/>
      <c r="B117" s="202"/>
      <c r="C117" s="183"/>
      <c r="D117" s="183"/>
      <c r="E117" s="181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9.5" customHeight="1">
      <c r="A118" s="27"/>
      <c r="B118" s="102" t="s">
        <v>8389</v>
      </c>
      <c r="C118" s="103" t="s">
        <v>8390</v>
      </c>
      <c r="D118" s="103" t="s">
        <v>6943</v>
      </c>
      <c r="E118" s="103" t="s">
        <v>8181</v>
      </c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9.5" customHeight="1">
      <c r="A119" s="27"/>
      <c r="B119" s="30" t="s">
        <v>8314</v>
      </c>
      <c r="C119" s="31" t="e">
        <f>CONCATENATE(sample_vvs_mgmt_dr_vlr_fqdn,":5480")</f>
        <v>#REF!</v>
      </c>
      <c r="D119" s="13" t="str">
        <f>CONCATENATE(vvs_mgmt_dr_vlr_fqdn,":5480")</f>
        <v>Value Missing:5480</v>
      </c>
      <c r="E119" s="15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9.5" customHeight="1">
      <c r="A120" s="27"/>
      <c r="B120" s="30" t="s">
        <v>7359</v>
      </c>
      <c r="C120" s="110" t="e">
        <f>sample_ca_organization_unit</f>
        <v>#REF!</v>
      </c>
      <c r="D120" s="13"/>
      <c r="E120" s="15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9.5" customHeight="1">
      <c r="A121" s="27"/>
      <c r="B121" s="30" t="s">
        <v>8419</v>
      </c>
      <c r="C121" s="110" t="e">
        <f>sample_ca_organization</f>
        <v>#REF!</v>
      </c>
      <c r="D121" s="13"/>
      <c r="E121" s="15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9.5" customHeight="1">
      <c r="A122" s="27"/>
      <c r="B122" s="30" t="s">
        <v>7353</v>
      </c>
      <c r="C122" s="110" t="e">
        <f>sample_ca_locality</f>
        <v>#REF!</v>
      </c>
      <c r="D122" s="13"/>
      <c r="E122" s="15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9.5" customHeight="1">
      <c r="A123" s="27"/>
      <c r="B123" s="30" t="s">
        <v>7368</v>
      </c>
      <c r="C123" s="110" t="e">
        <f>sample_ca_state</f>
        <v>#REF!</v>
      </c>
      <c r="D123" s="13"/>
      <c r="E123" s="15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9.5" customHeight="1">
      <c r="A124" s="27"/>
      <c r="B124" s="30" t="s">
        <v>7334</v>
      </c>
      <c r="C124" s="110" t="e">
        <f>sample_ca_country</f>
        <v>#REF!</v>
      </c>
      <c r="D124" s="13"/>
      <c r="E124" s="15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9.5" customHeight="1">
      <c r="A125" s="27"/>
      <c r="B125" s="30" t="s">
        <v>6716</v>
      </c>
      <c r="C125" s="110" t="e">
        <f>sample_vvs_mgmt_dr_vlr_fqdn</f>
        <v>#REF!</v>
      </c>
      <c r="D125" s="13" t="str">
        <f>vvs_mgmt_dr_vlr_fqdn</f>
        <v>Value Missing</v>
      </c>
      <c r="E125" s="15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9.5" customHeight="1">
      <c r="A126" s="27"/>
      <c r="B126" s="30" t="s">
        <v>8420</v>
      </c>
      <c r="C126" s="110" t="e">
        <f>sample_mgmt_vrms_mgmt_ip</f>
        <v>#REF!</v>
      </c>
      <c r="D126" s="13" t="str">
        <f>mgmt_vrms_mgmt_ip</f>
        <v>Value Missing</v>
      </c>
      <c r="E126" s="15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9.5" customHeight="1">
      <c r="A127" s="27"/>
      <c r="B127" s="30" t="s">
        <v>8421</v>
      </c>
      <c r="C127" s="31" t="s">
        <v>8422</v>
      </c>
      <c r="D127" s="13"/>
      <c r="E127" s="15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>
      <c r="A128" s="27"/>
      <c r="B128" s="7"/>
      <c r="C128" s="27"/>
      <c r="D128" s="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33.75" customHeight="1">
      <c r="A129" s="27"/>
      <c r="B129" s="205" t="s">
        <v>8423</v>
      </c>
      <c r="C129" s="183"/>
      <c r="D129" s="183"/>
      <c r="E129" s="181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9.5" customHeight="1">
      <c r="A130" s="27"/>
      <c r="B130" s="202"/>
      <c r="C130" s="183"/>
      <c r="D130" s="183"/>
      <c r="E130" s="181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9.5" customHeight="1">
      <c r="A131" s="27"/>
      <c r="B131" s="102" t="s">
        <v>8389</v>
      </c>
      <c r="C131" s="103" t="s">
        <v>8390</v>
      </c>
      <c r="D131" s="103" t="s">
        <v>6943</v>
      </c>
      <c r="E131" s="103" t="s">
        <v>8181</v>
      </c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9.5" customHeight="1">
      <c r="A132" s="27"/>
      <c r="B132" s="80" t="s">
        <v>8424</v>
      </c>
      <c r="C132" s="31" t="e">
        <f>sample_vvs_dr_mgmt_vc_fqdn</f>
        <v>#REF!</v>
      </c>
      <c r="D132" s="13" t="str">
        <f>vvs_dr_mgmt_vc_fqdn</f>
        <v>Value Missing</v>
      </c>
      <c r="E132" s="15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9.5" customHeight="1">
      <c r="A133" s="27"/>
      <c r="B133" s="80" t="s">
        <v>8176</v>
      </c>
      <c r="C133" s="31" t="s">
        <v>8425</v>
      </c>
      <c r="D133" s="13"/>
      <c r="E133" s="15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9.5" customHeight="1">
      <c r="A134" s="27"/>
      <c r="B134" s="80" t="s">
        <v>8426</v>
      </c>
      <c r="C134" s="31" t="e">
        <f>IF(mgmt_domain_chosen="First Instance","svc_sfo-m01-vlr01_sfo-m01-vc01","svc_lax-m01-vlr01_lax-m01-vc01")</f>
        <v>#REF!</v>
      </c>
      <c r="D134" s="13"/>
      <c r="E134" s="15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9.5" customHeight="1">
      <c r="A135" s="27"/>
      <c r="B135" s="80" t="s">
        <v>8427</v>
      </c>
      <c r="C135" s="31" t="s">
        <v>6763</v>
      </c>
      <c r="D135" s="13"/>
      <c r="E135" s="15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>
      <c r="A136" s="27"/>
      <c r="B136" s="7"/>
      <c r="C136" s="27"/>
      <c r="D136" s="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33.75" customHeight="1">
      <c r="A137" s="27"/>
      <c r="B137" s="205" t="s">
        <v>8428</v>
      </c>
      <c r="C137" s="183"/>
      <c r="D137" s="183"/>
      <c r="E137" s="181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9.5" customHeight="1">
      <c r="A138" s="27"/>
      <c r="B138" s="202"/>
      <c r="C138" s="183"/>
      <c r="D138" s="183"/>
      <c r="E138" s="181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9.5" customHeight="1">
      <c r="A139" s="27"/>
      <c r="B139" s="102" t="s">
        <v>8389</v>
      </c>
      <c r="C139" s="103" t="s">
        <v>8390</v>
      </c>
      <c r="D139" s="103" t="s">
        <v>6943</v>
      </c>
      <c r="E139" s="103" t="s">
        <v>8181</v>
      </c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9.5" customHeight="1">
      <c r="A140" s="27"/>
      <c r="B140" s="80" t="s">
        <v>8424</v>
      </c>
      <c r="C140" s="31" t="e">
        <f>sample_vvs_dr_mgmt_vc_fqdn</f>
        <v>#REF!</v>
      </c>
      <c r="D140" s="13" t="str">
        <f>vvs_dr_mgmt_vc_fqdn</f>
        <v>Value Missing</v>
      </c>
      <c r="E140" s="15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9.5" customHeight="1">
      <c r="A141" s="27"/>
      <c r="B141" s="80" t="s">
        <v>8176</v>
      </c>
      <c r="C141" s="31" t="str">
        <f>sample_vvs_dr_sso_domain</f>
        <v>vsphere.local</v>
      </c>
      <c r="D141" s="13" t="str">
        <f>vvs_dr_sso_domain</f>
        <v>Value Missing</v>
      </c>
      <c r="E141" s="15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9.5" customHeight="1">
      <c r="A142" s="27"/>
      <c r="B142" s="80" t="s">
        <v>8429</v>
      </c>
      <c r="C142" s="31" t="e">
        <f>IF(mgmt_domain_chosen="First Instance","svc_sfo-m01-vlr01_sfo-m01-vc01","svc_lax-m01-vlr01_lax-m01-vc01")</f>
        <v>#REF!</v>
      </c>
      <c r="D142" s="13" t="str">
        <f>vvs_dr_vr_username</f>
        <v>Value Missing</v>
      </c>
      <c r="E142" s="15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>
      <c r="A143" s="27"/>
      <c r="B143" s="93"/>
      <c r="C143" s="112"/>
      <c r="D143" s="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33.75" customHeight="1">
      <c r="A144" s="27"/>
      <c r="B144" s="205" t="s">
        <v>8430</v>
      </c>
      <c r="C144" s="183"/>
      <c r="D144" s="183"/>
      <c r="E144" s="181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9.5" customHeight="1">
      <c r="A145" s="27"/>
      <c r="B145" s="202"/>
      <c r="C145" s="183"/>
      <c r="D145" s="183"/>
      <c r="E145" s="181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9.5" customHeight="1">
      <c r="A146" s="27"/>
      <c r="B146" s="102" t="s">
        <v>8389</v>
      </c>
      <c r="C146" s="103" t="s">
        <v>8390</v>
      </c>
      <c r="D146" s="103" t="s">
        <v>6943</v>
      </c>
      <c r="E146" s="103" t="s">
        <v>8181</v>
      </c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9.5" customHeight="1">
      <c r="A147" s="27"/>
      <c r="B147" s="113" t="s">
        <v>8431</v>
      </c>
      <c r="C147" s="31" t="e">
        <f>sample_vvs_mgmt_dr_vlr_fqdn</f>
        <v>#REF!</v>
      </c>
      <c r="D147" s="13" t="str">
        <f>CONCATENATE(vvs_mgmt_dr_vlr_fqdn,":5480")</f>
        <v>Value Missing:5480</v>
      </c>
      <c r="E147" s="15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9.5" customHeight="1">
      <c r="A148" s="27"/>
      <c r="B148" s="113" t="s">
        <v>8317</v>
      </c>
      <c r="C148" s="31" t="e">
        <f>sample_mgmt_vc_fqdn</f>
        <v>#REF!</v>
      </c>
      <c r="D148" s="13" t="str">
        <f>vvs_dr_mgmt_vc_fqdn</f>
        <v>Value Missing</v>
      </c>
      <c r="E148" s="15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9.5" customHeight="1">
      <c r="A149" s="27"/>
      <c r="B149" s="113" t="s">
        <v>8318</v>
      </c>
      <c r="C149" s="31" t="e">
        <f>IF(mgmt_domain_chosen="First Instance","svc_sfo-m01-vlr01_sfo-m01-vc01@vsphere.local","svc_lax-m01-vlr01_lax-m01-vc01@vsphere.local")</f>
        <v>#REF!</v>
      </c>
      <c r="D149" s="13" t="str">
        <f>CONCATENATE(vvs_dr_vr_username,"@",vvs_dr_sso_domain)</f>
        <v>Value Missing@Value Missing</v>
      </c>
      <c r="E149" s="15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9.5" customHeight="1">
      <c r="A150" s="27"/>
      <c r="B150" s="113" t="s">
        <v>6792</v>
      </c>
      <c r="C150" s="31" t="s">
        <v>6763</v>
      </c>
      <c r="D150" s="13" t="str">
        <f>vvs_dr_vr_password</f>
        <v>Value Missing</v>
      </c>
      <c r="E150" s="15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9.5" customHeight="1">
      <c r="A151" s="27"/>
      <c r="B151" s="113" t="s">
        <v>7187</v>
      </c>
      <c r="C151" s="31" t="e">
        <f>sample_mgmt_vc_fqdn</f>
        <v>#REF!</v>
      </c>
      <c r="D151" s="13" t="str">
        <f>vvs_dr_mgmt_vc_fqdn</f>
        <v>Value Missing</v>
      </c>
      <c r="E151" s="15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9.5" customHeight="1">
      <c r="A152" s="27"/>
      <c r="B152" s="113" t="s">
        <v>8198</v>
      </c>
      <c r="C152" s="31" t="e">
        <f>UPPER(sample_mgmt_sddc_domain)</f>
        <v>#REF!</v>
      </c>
      <c r="D152" s="13"/>
      <c r="E152" s="15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9.5" customHeight="1">
      <c r="A153" s="27"/>
      <c r="B153" s="113" t="s">
        <v>8319</v>
      </c>
      <c r="C153" s="31" t="e">
        <f>CONCATENATE("vlr-administrator@",sample_parent_dns_zone)</f>
        <v>#REF!</v>
      </c>
      <c r="D153" s="13"/>
      <c r="E153" s="15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9.5" customHeight="1">
      <c r="A154" s="27"/>
      <c r="B154" s="113" t="s">
        <v>8320</v>
      </c>
      <c r="C154" s="114" t="e">
        <f>sample_vvs_mgmt_dr_vlr_fqdn</f>
        <v>#REF!</v>
      </c>
      <c r="D154" s="115" t="str">
        <f>vvs_mgmt_dr_vlr_fqdn</f>
        <v>Value Missing</v>
      </c>
      <c r="E154" s="15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>
      <c r="A155" s="27"/>
      <c r="B155" s="93"/>
      <c r="C155" s="112"/>
      <c r="D155" s="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33.75" customHeight="1">
      <c r="A156" s="27"/>
      <c r="B156" s="205" t="s">
        <v>8432</v>
      </c>
      <c r="C156" s="183"/>
      <c r="D156" s="183"/>
      <c r="E156" s="181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9.5" customHeight="1">
      <c r="A157" s="27"/>
      <c r="B157" s="202"/>
      <c r="C157" s="183"/>
      <c r="D157" s="183"/>
      <c r="E157" s="181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9.5" customHeight="1">
      <c r="A158" s="27"/>
      <c r="B158" s="102" t="s">
        <v>8389</v>
      </c>
      <c r="C158" s="103" t="s">
        <v>8390</v>
      </c>
      <c r="D158" s="103" t="s">
        <v>6943</v>
      </c>
      <c r="E158" s="103" t="s">
        <v>8181</v>
      </c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9.5" customHeight="1">
      <c r="A159" s="27"/>
      <c r="B159" s="80" t="s">
        <v>8301</v>
      </c>
      <c r="C159" s="31" t="e">
        <f>sample_vvs_dr_mgmt_vc_fqdn</f>
        <v>#REF!</v>
      </c>
      <c r="D159" s="13" t="str">
        <f>vvs_dr_mgmt_vc_fqdn</f>
        <v>Value Missing</v>
      </c>
      <c r="E159" s="15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9.5" customHeight="1">
      <c r="A160" s="27"/>
      <c r="B160" s="80" t="s">
        <v>8322</v>
      </c>
      <c r="C160" s="31" t="e">
        <f>sample_mgmt_cl01_vds01_name</f>
        <v>#REF!</v>
      </c>
      <c r="D160" s="13"/>
      <c r="E160" s="15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9.5" customHeight="1">
      <c r="A161" s="27"/>
      <c r="B161" s="223" t="s">
        <v>8323</v>
      </c>
      <c r="C161" s="183"/>
      <c r="D161" s="183"/>
      <c r="E161" s="181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9.5" customHeight="1">
      <c r="A162" s="27"/>
      <c r="B162" s="80" t="s">
        <v>6780</v>
      </c>
      <c r="C162" s="34" t="e">
        <f>CONCATENATE(this_instance,"01-m01-cl01-vds01-pg-vrms")</f>
        <v>#REF!</v>
      </c>
      <c r="D162" s="13"/>
      <c r="E162" s="15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9.5" customHeight="1">
      <c r="A163" s="27"/>
      <c r="B163" s="42" t="s">
        <v>7175</v>
      </c>
      <c r="C163" s="34" t="e">
        <f>CONCATENATE(prefix_mgmt_az1_vlan,"09")</f>
        <v>#REF!</v>
      </c>
      <c r="D163" s="13"/>
      <c r="E163" s="10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>
      <c r="A164" s="27"/>
      <c r="B164" s="7"/>
      <c r="C164" s="27"/>
      <c r="D164" s="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33.75" customHeight="1">
      <c r="A165" s="27"/>
      <c r="B165" s="205" t="s">
        <v>8433</v>
      </c>
      <c r="C165" s="183"/>
      <c r="D165" s="183"/>
      <c r="E165" s="181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9.5" customHeight="1">
      <c r="A166" s="27"/>
      <c r="B166" s="202"/>
      <c r="C166" s="183"/>
      <c r="D166" s="183"/>
      <c r="E166" s="181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9.5" customHeight="1">
      <c r="A167" s="27"/>
      <c r="B167" s="102" t="s">
        <v>8389</v>
      </c>
      <c r="C167" s="103" t="s">
        <v>8390</v>
      </c>
      <c r="D167" s="103" t="s">
        <v>6943</v>
      </c>
      <c r="E167" s="103" t="s">
        <v>8181</v>
      </c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9.5" customHeight="1">
      <c r="A168" s="27"/>
      <c r="B168" s="80" t="s">
        <v>8301</v>
      </c>
      <c r="C168" s="31" t="e">
        <f>sample_vvs_dr_mgmt_vc_fqdn</f>
        <v>#REF!</v>
      </c>
      <c r="D168" s="13" t="str">
        <f>vvs_dr_mgmt_vc_fqdn</f>
        <v>Value Missing</v>
      </c>
      <c r="E168" s="15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9.5" customHeight="1">
      <c r="A169" s="27"/>
      <c r="B169" s="80" t="s">
        <v>6317</v>
      </c>
      <c r="C169" s="31" t="e">
        <f>CONCATENATE(this_instance,"-m01-cl01")</f>
        <v>#REF!</v>
      </c>
      <c r="D169" s="13"/>
      <c r="E169" s="15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9.5" customHeight="1">
      <c r="A170" s="27"/>
      <c r="B170" s="30" t="s">
        <v>6690</v>
      </c>
      <c r="C170" s="31" t="e">
        <f>sample_mgmt_vrms_pg</f>
        <v>#REF!</v>
      </c>
      <c r="D170" s="13" t="str">
        <f>mgmt_vrms_pg</f>
        <v>Value Missing</v>
      </c>
      <c r="E170" s="15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9.5" customHeight="1">
      <c r="A171" s="27"/>
      <c r="B171" s="30" t="s">
        <v>7188</v>
      </c>
      <c r="C171" s="34" t="e">
        <f>CONCATENATE(prefix_mgmt_az1_cidr,"9.0/24")</f>
        <v>#REF!</v>
      </c>
      <c r="D171" s="13"/>
      <c r="E171" s="11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9.5" customHeight="1">
      <c r="A172" s="27"/>
      <c r="B172" s="117" t="s">
        <v>7985</v>
      </c>
      <c r="C172" s="34" t="s">
        <v>6420</v>
      </c>
      <c r="D172" s="13"/>
      <c r="E172" s="11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9.5" customHeight="1">
      <c r="A173" s="27"/>
      <c r="B173" s="30" t="s">
        <v>7180</v>
      </c>
      <c r="C173" s="34" t="e">
        <f>CONCATENATE(prefix_mgmt_az1_cidr,"9.1")</f>
        <v>#REF!</v>
      </c>
      <c r="D173" s="13"/>
      <c r="E173" s="11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9.5" customHeight="1">
      <c r="A174" s="27"/>
      <c r="B174" s="42" t="s">
        <v>7196</v>
      </c>
      <c r="C174" s="34">
        <v>9000</v>
      </c>
      <c r="D174" s="13"/>
      <c r="E174" s="11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9.5" customHeight="1">
      <c r="A175" s="27"/>
      <c r="B175" s="213" t="s">
        <v>8335</v>
      </c>
      <c r="C175" s="183"/>
      <c r="D175" s="183"/>
      <c r="E175" s="181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9.5" customHeight="1">
      <c r="A176" s="27"/>
      <c r="B176" s="80" t="e" cm="1">
        <f t="array" ref="B176:B191">mgmt_az1_host_fqdns</f>
        <v>#REF!</v>
      </c>
      <c r="C176" s="33" t="e">
        <f>CONCATENATE(prefix_mgmt_az1_cidr,"9.101")</f>
        <v>#REF!</v>
      </c>
      <c r="D176" s="13"/>
      <c r="E176" s="108" t="s">
        <v>8434</v>
      </c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9.5" customHeight="1">
      <c r="A177" s="27"/>
      <c r="B177" s="80" t="e">
        <v>#REF!</v>
      </c>
      <c r="C177" s="33" t="e">
        <f>CONCATENATE(prefix_mgmt_az1_cidr,"9.102")</f>
        <v>#REF!</v>
      </c>
      <c r="D177" s="13"/>
      <c r="E177" s="108" t="s">
        <v>8435</v>
      </c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9.5" customHeight="1">
      <c r="A178" s="27"/>
      <c r="B178" s="80" t="e">
        <v>#REF!</v>
      </c>
      <c r="C178" s="33" t="e">
        <f>CONCATENATE(prefix_mgmt_az1_cidr,"9.103")</f>
        <v>#REF!</v>
      </c>
      <c r="D178" s="13"/>
      <c r="E178" s="108" t="s">
        <v>8436</v>
      </c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9.5" customHeight="1">
      <c r="A179" s="27"/>
      <c r="B179" s="80" t="e">
        <v>#REF!</v>
      </c>
      <c r="C179" s="33" t="e">
        <f>CONCATENATE(prefix_mgmt_az1_cidr,"9.104")</f>
        <v>#REF!</v>
      </c>
      <c r="D179" s="13"/>
      <c r="E179" s="108" t="s">
        <v>8437</v>
      </c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9.5" customHeight="1">
      <c r="A180" s="27"/>
      <c r="B180" s="80" t="e">
        <v>#REF!</v>
      </c>
      <c r="C180" s="33" t="e">
        <f>CONCATENATE(prefix_mgmt_az1_cidr,"9.105")</f>
        <v>#REF!</v>
      </c>
      <c r="D180" s="13"/>
      <c r="E180" s="108" t="s">
        <v>8438</v>
      </c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9.5" customHeight="1">
      <c r="A181" s="27"/>
      <c r="B181" s="80" t="e">
        <v>#REF!</v>
      </c>
      <c r="C181" s="33" t="e">
        <f>CONCATENATE(prefix_mgmt_az1_cidr,"9.106")</f>
        <v>#REF!</v>
      </c>
      <c r="D181" s="13"/>
      <c r="E181" s="108" t="s">
        <v>8439</v>
      </c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9.5" customHeight="1">
      <c r="A182" s="27"/>
      <c r="B182" s="30" t="e">
        <v>#REF!</v>
      </c>
      <c r="C182" s="33" t="e">
        <f>CONCATENATE(prefix_mgmt_az1_cidr,"9.107")</f>
        <v>#REF!</v>
      </c>
      <c r="D182" s="13"/>
      <c r="E182" s="108" t="s">
        <v>8440</v>
      </c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9.5" customHeight="1">
      <c r="A183" s="27"/>
      <c r="B183" s="30" t="e">
        <v>#REF!</v>
      </c>
      <c r="C183" s="33" t="e">
        <f>CONCATENATE(prefix_mgmt_az1_cidr,"9.108")</f>
        <v>#REF!</v>
      </c>
      <c r="D183" s="13"/>
      <c r="E183" s="108" t="s">
        <v>8441</v>
      </c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9.5" customHeight="1">
      <c r="A184" s="27"/>
      <c r="B184" s="30" t="e">
        <v>#REF!</v>
      </c>
      <c r="C184" s="33" t="e">
        <f>CONCATENATE(prefix_mgmt_az1_cidr,"9.109")</f>
        <v>#REF!</v>
      </c>
      <c r="D184" s="13"/>
      <c r="E184" s="108" t="s">
        <v>8442</v>
      </c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9.5" customHeight="1">
      <c r="A185" s="27"/>
      <c r="B185" s="80" t="e">
        <v>#REF!</v>
      </c>
      <c r="C185" s="33" t="e">
        <f>CONCATENATE(prefix_mgmt_az1_cidr,"9.110")</f>
        <v>#REF!</v>
      </c>
      <c r="D185" s="13"/>
      <c r="E185" s="108" t="s">
        <v>8443</v>
      </c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9.5" customHeight="1">
      <c r="A186" s="27"/>
      <c r="B186" s="80" t="e">
        <v>#REF!</v>
      </c>
      <c r="C186" s="33" t="e">
        <f>CONCATENATE(prefix_mgmt_az1_cidr,"9.111")</f>
        <v>#REF!</v>
      </c>
      <c r="D186" s="13"/>
      <c r="E186" s="108" t="s">
        <v>8444</v>
      </c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9.5" customHeight="1">
      <c r="A187" s="27"/>
      <c r="B187" s="80" t="e">
        <v>#REF!</v>
      </c>
      <c r="C187" s="33" t="e">
        <f>CONCATENATE(prefix_mgmt_az1_cidr,"9.112")</f>
        <v>#REF!</v>
      </c>
      <c r="D187" s="13"/>
      <c r="E187" s="108" t="s">
        <v>8445</v>
      </c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9.5" customHeight="1">
      <c r="A188" s="27"/>
      <c r="B188" s="92" t="e">
        <v>#REF!</v>
      </c>
      <c r="C188" s="33" t="e">
        <f>CONCATENATE(prefix_mgmt_az1_cidr,"9.113")</f>
        <v>#REF!</v>
      </c>
      <c r="D188" s="13"/>
      <c r="E188" s="108" t="s">
        <v>8446</v>
      </c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9.5" customHeight="1">
      <c r="A189" s="27"/>
      <c r="B189" s="92" t="e">
        <v>#REF!</v>
      </c>
      <c r="C189" s="33" t="e">
        <f>CONCATENATE(prefix_mgmt_az1_cidr,"9.114")</f>
        <v>#REF!</v>
      </c>
      <c r="D189" s="13"/>
      <c r="E189" s="108" t="s">
        <v>8447</v>
      </c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9.5" customHeight="1">
      <c r="A190" s="27"/>
      <c r="B190" s="92" t="e">
        <v>#REF!</v>
      </c>
      <c r="C190" s="33" t="e">
        <f>CONCATENATE(prefix_mgmt_az1_cidr,"9.115")</f>
        <v>#REF!</v>
      </c>
      <c r="D190" s="13"/>
      <c r="E190" s="108" t="s">
        <v>8448</v>
      </c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9.5" customHeight="1">
      <c r="A191" s="27"/>
      <c r="B191" s="92" t="e">
        <v>#REF!</v>
      </c>
      <c r="C191" s="33" t="e">
        <f>CONCATENATE(prefix_mgmt_az1_cidr,"9.116")</f>
        <v>#REF!</v>
      </c>
      <c r="D191" s="13"/>
      <c r="E191" s="108" t="s">
        <v>8449</v>
      </c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9.5" customHeight="1">
      <c r="A192" s="27"/>
      <c r="B192" s="213" t="s">
        <v>8352</v>
      </c>
      <c r="C192" s="183"/>
      <c r="D192" s="183"/>
      <c r="E192" s="181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9.5" customHeight="1">
      <c r="A193" s="27"/>
      <c r="B193" s="80" t="e" cm="1">
        <f t="array" ref="B193:B208">mgmt_az2_host_fqdns</f>
        <v>#REF!</v>
      </c>
      <c r="C193" s="33" t="e">
        <f>CONCATENATE(prefix_mgmt_az1_cidr,"9.201")</f>
        <v>#REF!</v>
      </c>
      <c r="D193" s="13"/>
      <c r="E193" s="108" t="s">
        <v>8434</v>
      </c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9.5" customHeight="1">
      <c r="A194" s="27"/>
      <c r="B194" s="80" t="e">
        <v>#REF!</v>
      </c>
      <c r="C194" s="33" t="e">
        <f>CONCATENATE(prefix_mgmt_az1_cidr,"9.202")</f>
        <v>#REF!</v>
      </c>
      <c r="D194" s="13"/>
      <c r="E194" s="108" t="s">
        <v>8435</v>
      </c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9.5" customHeight="1">
      <c r="A195" s="27"/>
      <c r="B195" s="80" t="e">
        <v>#REF!</v>
      </c>
      <c r="C195" s="33" t="e">
        <f>CONCATENATE(prefix_mgmt_az1_cidr,"9.203")</f>
        <v>#REF!</v>
      </c>
      <c r="D195" s="13"/>
      <c r="E195" s="108" t="s">
        <v>8436</v>
      </c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9.5" customHeight="1">
      <c r="A196" s="27"/>
      <c r="B196" s="80" t="e">
        <v>#REF!</v>
      </c>
      <c r="C196" s="33" t="e">
        <f>CONCATENATE(prefix_mgmt_az1_cidr,"9.204")</f>
        <v>#REF!</v>
      </c>
      <c r="D196" s="13"/>
      <c r="E196" s="108" t="s">
        <v>8437</v>
      </c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9.5" customHeight="1">
      <c r="A197" s="27"/>
      <c r="B197" s="80" t="e">
        <v>#REF!</v>
      </c>
      <c r="C197" s="33" t="e">
        <f>CONCATENATE(prefix_mgmt_az1_cidr,"9.205")</f>
        <v>#REF!</v>
      </c>
      <c r="D197" s="13"/>
      <c r="E197" s="108" t="s">
        <v>8438</v>
      </c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9.5" customHeight="1">
      <c r="A198" s="27"/>
      <c r="B198" s="80" t="e">
        <v>#REF!</v>
      </c>
      <c r="C198" s="33" t="e">
        <f>CONCATENATE(prefix_mgmt_az1_cidr,"9.206")</f>
        <v>#REF!</v>
      </c>
      <c r="D198" s="13"/>
      <c r="E198" s="108" t="s">
        <v>8439</v>
      </c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9.5" customHeight="1">
      <c r="A199" s="27"/>
      <c r="B199" s="30" t="e">
        <v>#REF!</v>
      </c>
      <c r="C199" s="33" t="e">
        <f>CONCATENATE(prefix_mgmt_az1_cidr,"9.207")</f>
        <v>#REF!</v>
      </c>
      <c r="D199" s="13"/>
      <c r="E199" s="108" t="s">
        <v>8440</v>
      </c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9.5" customHeight="1">
      <c r="A200" s="27"/>
      <c r="B200" s="30" t="e">
        <v>#REF!</v>
      </c>
      <c r="C200" s="33" t="e">
        <f>CONCATENATE(prefix_mgmt_az1_cidr,"9.208")</f>
        <v>#REF!</v>
      </c>
      <c r="D200" s="13"/>
      <c r="E200" s="108" t="s">
        <v>8441</v>
      </c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9.5" customHeight="1">
      <c r="A201" s="27"/>
      <c r="B201" s="30" t="e">
        <v>#REF!</v>
      </c>
      <c r="C201" s="33" t="e">
        <f>CONCATENATE(prefix_mgmt_az1_cidr,"9.209")</f>
        <v>#REF!</v>
      </c>
      <c r="D201" s="13"/>
      <c r="E201" s="108" t="s">
        <v>8442</v>
      </c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9.5" customHeight="1">
      <c r="A202" s="27"/>
      <c r="B202" s="80" t="e">
        <v>#REF!</v>
      </c>
      <c r="C202" s="33" t="e">
        <f>CONCATENATE(prefix_mgmt_az1_cidr,"9.210")</f>
        <v>#REF!</v>
      </c>
      <c r="D202" s="13"/>
      <c r="E202" s="108" t="s">
        <v>8443</v>
      </c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9.5" customHeight="1">
      <c r="A203" s="27"/>
      <c r="B203" s="80" t="e">
        <v>#REF!</v>
      </c>
      <c r="C203" s="33" t="e">
        <f>CONCATENATE(prefix_mgmt_az1_cidr,"9.211")</f>
        <v>#REF!</v>
      </c>
      <c r="D203" s="13"/>
      <c r="E203" s="108" t="s">
        <v>8444</v>
      </c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9.5" customHeight="1">
      <c r="A204" s="27"/>
      <c r="B204" s="80" t="e">
        <v>#REF!</v>
      </c>
      <c r="C204" s="33" t="e">
        <f>CONCATENATE(prefix_mgmt_az1_cidr,"9.212")</f>
        <v>#REF!</v>
      </c>
      <c r="D204" s="13"/>
      <c r="E204" s="108" t="s">
        <v>8445</v>
      </c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9.5" customHeight="1">
      <c r="A205" s="27"/>
      <c r="B205" s="80" t="e">
        <v>#REF!</v>
      </c>
      <c r="C205" s="33" t="e">
        <f>CONCATENATE(prefix_mgmt_az1_cidr,"9.213")</f>
        <v>#REF!</v>
      </c>
      <c r="D205" s="13"/>
      <c r="E205" s="108" t="s">
        <v>8446</v>
      </c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9.5" customHeight="1">
      <c r="A206" s="27"/>
      <c r="B206" s="80" t="e">
        <v>#REF!</v>
      </c>
      <c r="C206" s="33" t="e">
        <f>CONCATENATE(prefix_mgmt_az1_cidr,"9.214")</f>
        <v>#REF!</v>
      </c>
      <c r="D206" s="13"/>
      <c r="E206" s="108" t="s">
        <v>8447</v>
      </c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9.5" customHeight="1">
      <c r="A207" s="27"/>
      <c r="B207" s="80" t="e">
        <v>#REF!</v>
      </c>
      <c r="C207" s="33" t="e">
        <f>CONCATENATE(prefix_mgmt_az1_cidr,"9.215")</f>
        <v>#REF!</v>
      </c>
      <c r="D207" s="13"/>
      <c r="E207" s="108" t="s">
        <v>8448</v>
      </c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9.5" customHeight="1">
      <c r="A208" s="27"/>
      <c r="B208" s="80" t="e">
        <v>#REF!</v>
      </c>
      <c r="C208" s="33" t="e">
        <f>CONCATENATE(prefix_mgmt_az1_cidr,"9.216")</f>
        <v>#REF!</v>
      </c>
      <c r="D208" s="13"/>
      <c r="E208" s="108" t="s">
        <v>8449</v>
      </c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>
      <c r="A209" s="27"/>
      <c r="B209" s="7"/>
      <c r="C209" s="27"/>
      <c r="D209" s="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33.75" customHeight="1">
      <c r="A210" s="27"/>
      <c r="B210" s="218" t="s">
        <v>8450</v>
      </c>
      <c r="C210" s="183"/>
      <c r="D210" s="183"/>
      <c r="E210" s="181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>
      <c r="A211" s="27"/>
      <c r="B211" s="7"/>
      <c r="C211" s="27"/>
      <c r="D211" s="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33.75" customHeight="1">
      <c r="A212" s="27"/>
      <c r="B212" s="205" t="s">
        <v>8451</v>
      </c>
      <c r="C212" s="183"/>
      <c r="D212" s="183"/>
      <c r="E212" s="181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9.5" customHeight="1">
      <c r="A213" s="27"/>
      <c r="B213" s="202"/>
      <c r="C213" s="183"/>
      <c r="D213" s="183"/>
      <c r="E213" s="181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9.5" customHeight="1">
      <c r="A214" s="27"/>
      <c r="B214" s="102" t="s">
        <v>8389</v>
      </c>
      <c r="C214" s="103" t="s">
        <v>8390</v>
      </c>
      <c r="D214" s="103" t="s">
        <v>6943</v>
      </c>
      <c r="E214" s="103" t="s">
        <v>8181</v>
      </c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9.5" customHeight="1">
      <c r="A215" s="27"/>
      <c r="B215" s="113" t="s">
        <v>8452</v>
      </c>
      <c r="C215" s="31" t="e">
        <f>sample_vvs_dr_mgmt_vc_fqdn</f>
        <v>#REF!</v>
      </c>
      <c r="D215" s="13" t="str">
        <f>vvs_dr_mgmt_vc_fqdn</f>
        <v>Value Missing</v>
      </c>
      <c r="E215" s="15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9.5" customHeight="1">
      <c r="A216" s="27"/>
      <c r="B216" s="113" t="s">
        <v>8381</v>
      </c>
      <c r="C216" s="31" t="e">
        <f>sample_vvs_dr_mgmt_vc_fqdn</f>
        <v>#REF!</v>
      </c>
      <c r="D216" s="13" t="str">
        <f>vvs_dr_mgmt_vc_fqdn</f>
        <v>Value Missing</v>
      </c>
      <c r="E216" s="15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9.5" customHeight="1">
      <c r="A217" s="27"/>
      <c r="B217" s="113" t="s">
        <v>8317</v>
      </c>
      <c r="C217" s="31" t="e">
        <f>CONCATENATE(other_instance,"-m01-vc01.",other_instance,".",sample_parent_dns_zone)</f>
        <v>#REF!</v>
      </c>
      <c r="D217" s="13"/>
      <c r="E217" s="15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9.5" customHeight="1">
      <c r="A218" s="27"/>
      <c r="B218" s="113" t="s">
        <v>8318</v>
      </c>
      <c r="C218" s="31" t="e">
        <f>IF(mgmt_domain_chosen="First Instance","svc_lax-m01-vlr01_lax-m01-vc01@vsphere.local","svc_sfo-m01-vlr01_sfo-m01-vc01@vsphere.local")</f>
        <v>#REF!</v>
      </c>
      <c r="D218" s="13"/>
      <c r="E218" s="15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9.5" customHeight="1">
      <c r="A219" s="27"/>
      <c r="B219" s="113" t="s">
        <v>6792</v>
      </c>
      <c r="C219" s="31" t="s">
        <v>6763</v>
      </c>
      <c r="D219" s="13"/>
      <c r="E219" s="15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9.5" customHeight="1">
      <c r="A220" s="27"/>
      <c r="B220" s="113" t="s">
        <v>8384</v>
      </c>
      <c r="C220" s="31" t="e">
        <f>sample_mgmt_srm_recovery_vcenter_fqdn</f>
        <v>#REF!</v>
      </c>
      <c r="D220" s="13" t="str">
        <f>mgmt_srm_recovery_vcenter_fqdn</f>
        <v>Value Missing</v>
      </c>
      <c r="E220" s="15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>
      <c r="A221" s="27"/>
      <c r="B221" s="119"/>
      <c r="C221" s="112"/>
      <c r="D221" s="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33.75" customHeight="1">
      <c r="A222" s="27"/>
      <c r="B222" s="205" t="s">
        <v>8453</v>
      </c>
      <c r="C222" s="183"/>
      <c r="D222" s="183"/>
      <c r="E222" s="181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9.5" customHeight="1">
      <c r="A223" s="27"/>
      <c r="B223" s="202"/>
      <c r="C223" s="183"/>
      <c r="D223" s="183"/>
      <c r="E223" s="181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9.5" customHeight="1">
      <c r="A224" s="27"/>
      <c r="B224" s="102" t="s">
        <v>8389</v>
      </c>
      <c r="C224" s="103" t="s">
        <v>8390</v>
      </c>
      <c r="D224" s="103" t="s">
        <v>6943</v>
      </c>
      <c r="E224" s="103" t="s">
        <v>8181</v>
      </c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9.5" customHeight="1">
      <c r="A225" s="27"/>
      <c r="B225" s="113" t="s">
        <v>8452</v>
      </c>
      <c r="C225" s="31" t="e">
        <f>sample_vvs_dr_mgmt_vc_fqdn</f>
        <v>#REF!</v>
      </c>
      <c r="D225" s="13" t="str">
        <f>vvs_dr_mgmt_vc_fqdn</f>
        <v>Value Missing</v>
      </c>
      <c r="E225" s="15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9.5" customHeight="1">
      <c r="A226" s="27"/>
      <c r="B226" s="113" t="s">
        <v>7187</v>
      </c>
      <c r="C226" s="31" t="e">
        <f>sample_vvs_dr_mgmt_vc_fqdn</f>
        <v>#REF!</v>
      </c>
      <c r="D226" s="13" t="str">
        <f>vvs_dr_mgmt_vc_fqdn</f>
        <v>Value Missing</v>
      </c>
      <c r="E226" s="15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9.5" customHeight="1">
      <c r="A227" s="27"/>
      <c r="B227" s="113" t="s">
        <v>8454</v>
      </c>
      <c r="C227" s="31" t="e">
        <f>sample_vvs_mgmt_dr_vlr_fqdn</f>
        <v>#REF!</v>
      </c>
      <c r="D227" s="13" t="str">
        <f>vvs_mgmt_dr_vlr_fqdn</f>
        <v>Value Missing</v>
      </c>
      <c r="E227" s="15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9.5" customHeight="1">
      <c r="A228" s="27"/>
      <c r="B228" s="113" t="s">
        <v>8455</v>
      </c>
      <c r="C228" s="31" t="s">
        <v>8456</v>
      </c>
      <c r="D228" s="13"/>
      <c r="E228" s="15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9.5" customHeight="1">
      <c r="A229" s="27"/>
      <c r="B229" s="113" t="s">
        <v>8457</v>
      </c>
      <c r="C229" s="31" t="s">
        <v>8456</v>
      </c>
      <c r="D229" s="13"/>
      <c r="E229" s="15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>
      <c r="A230" s="27"/>
      <c r="B230" s="7"/>
      <c r="C230" s="27"/>
      <c r="D230" s="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33.75" customHeight="1">
      <c r="A231" s="27"/>
      <c r="B231" s="205" t="s">
        <v>8458</v>
      </c>
      <c r="C231" s="183"/>
      <c r="D231" s="183"/>
      <c r="E231" s="181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9.5" customHeight="1">
      <c r="A232" s="27"/>
      <c r="B232" s="202"/>
      <c r="C232" s="183"/>
      <c r="D232" s="183"/>
      <c r="E232" s="181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9.5" customHeight="1">
      <c r="A233" s="27"/>
      <c r="B233" s="102" t="s">
        <v>8389</v>
      </c>
      <c r="C233" s="103" t="s">
        <v>8390</v>
      </c>
      <c r="D233" s="103" t="s">
        <v>6943</v>
      </c>
      <c r="E233" s="103" t="s">
        <v>8181</v>
      </c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9.5" customHeight="1">
      <c r="A234" s="27"/>
      <c r="B234" s="113" t="s">
        <v>8452</v>
      </c>
      <c r="C234" s="31" t="e">
        <f>sample_vvs_dr_mgmt_vc_fqdn</f>
        <v>#REF!</v>
      </c>
      <c r="D234" s="13" t="str">
        <f>vvs_dr_mgmt_vc_fqdn</f>
        <v>Value Missing</v>
      </c>
      <c r="E234" s="15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9.5" customHeight="1">
      <c r="A235" s="27"/>
      <c r="B235" s="113" t="s">
        <v>8459</v>
      </c>
      <c r="C235" s="31" t="e">
        <f>CONCATENATE(sample_mgmt_vc_fqdn," &lt;--&gt; ",sample_mgmt_srm_recovery_vcenter_fqdn)</f>
        <v>#REF!</v>
      </c>
      <c r="D235" s="13" t="str">
        <f>CONCATENATE(vvs_dr_mgmt_vc_fqdn," &lt;--&gt; ",mgmt_srm_recovery_vcenter_fqdn)</f>
        <v>Value Missing &lt;--&gt; Value Missing</v>
      </c>
      <c r="E235" s="15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9.5" customHeight="1">
      <c r="A236" s="27"/>
      <c r="B236" s="30" t="s">
        <v>8460</v>
      </c>
      <c r="C236" s="31" t="e">
        <f>CONCATENATE(sample_mgmt_cl01_vds01_name," --&gt; ",sample_flt_custom_network_x_reg_pg)</f>
        <v>#REF!</v>
      </c>
      <c r="D236" s="13"/>
      <c r="E236" s="15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9.5" customHeight="1">
      <c r="A237" s="27"/>
      <c r="B237" s="30" t="s">
        <v>8461</v>
      </c>
      <c r="C237" s="31" t="e">
        <f>CONCATENATE(other_instance,"-m01-cl01-vds01"," --&gt; ",other_instance,"-m01-cl01-vds01-pg-vm-fleet")</f>
        <v>#REF!</v>
      </c>
      <c r="D237" s="13"/>
      <c r="E237" s="15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9.5" customHeight="1">
      <c r="A238" s="27"/>
      <c r="B238" s="30" t="s">
        <v>8462</v>
      </c>
      <c r="C238" s="31" t="e">
        <f>CONCATENATE(sample_mgmt_srm_recovery_vcenter_fqdn," --&gt; ",this_instance,"-m01-DC")</f>
        <v>#REF!</v>
      </c>
      <c r="D238" s="13"/>
      <c r="E238" s="15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9.5" customHeight="1">
      <c r="A239" s="27"/>
      <c r="B239" s="30" t="s">
        <v>8463</v>
      </c>
      <c r="C239" s="31" t="e">
        <f>CONCATENATE(sample_mgmt_srm_recovery_vcenter_fqdn," --&gt; ",other_instance,"-m01-DC")</f>
        <v>#REF!</v>
      </c>
      <c r="D239" s="13"/>
      <c r="E239" s="15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9.5" customHeight="1">
      <c r="A240" s="27"/>
      <c r="B240" s="30" t="s">
        <v>8464</v>
      </c>
      <c r="C240" s="31" t="e">
        <f>CONCATENATE(this_instance,"-m01-DC"," --&gt; ",this_instance,"-m01-cl01")</f>
        <v>#REF!</v>
      </c>
      <c r="D240" s="13"/>
      <c r="E240" s="15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9.5" customHeight="1">
      <c r="A241" s="27"/>
      <c r="B241" s="30" t="s">
        <v>8465</v>
      </c>
      <c r="C241" s="31" t="e">
        <f>CONCATENATE(other_instance,"-m01-DC"," --&gt; ",other_instance,"-m01-cl01")</f>
        <v>#REF!</v>
      </c>
      <c r="D241" s="13"/>
      <c r="E241" s="15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>
      <c r="A242" s="27"/>
      <c r="B242" s="7"/>
      <c r="C242" s="27"/>
      <c r="D242" s="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33.75" customHeight="1">
      <c r="A243" s="27"/>
      <c r="B243" s="205" t="s">
        <v>8466</v>
      </c>
      <c r="C243" s="183"/>
      <c r="D243" s="183"/>
      <c r="E243" s="181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9.5" customHeight="1">
      <c r="A244" s="27"/>
      <c r="B244" s="202"/>
      <c r="C244" s="183"/>
      <c r="D244" s="183"/>
      <c r="E244" s="181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9.5" customHeight="1">
      <c r="A245" s="27"/>
      <c r="B245" s="102" t="s">
        <v>8389</v>
      </c>
      <c r="C245" s="103" t="s">
        <v>8390</v>
      </c>
      <c r="D245" s="103" t="s">
        <v>6943</v>
      </c>
      <c r="E245" s="103" t="s">
        <v>8181</v>
      </c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9.5" customHeight="1">
      <c r="A246" s="27"/>
      <c r="B246" s="113" t="s">
        <v>8431</v>
      </c>
      <c r="C246" s="31" t="e">
        <f>sample_vvs_mgmt_dr_vlr_fqdn</f>
        <v>#REF!</v>
      </c>
      <c r="D246" s="13" t="str">
        <f>vvs_mgmt_dr_vlr_fqdn</f>
        <v>Value Missing</v>
      </c>
      <c r="E246" s="15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9.5" customHeight="1">
      <c r="A247" s="27"/>
      <c r="B247" s="30" t="s">
        <v>8459</v>
      </c>
      <c r="C247" s="31" t="e">
        <f>CONCATENATE(sample_mgmt_vc_fqdn," &lt;--&gt; ",sample_mgmt_srm_recovery_vcenter_fqdn)</f>
        <v>#REF!</v>
      </c>
      <c r="D247" s="13" t="str">
        <f>vs_dr_site_pair</f>
        <v>Value Missing &lt;--&gt; Value Missing</v>
      </c>
      <c r="E247" s="15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9.5" customHeight="1">
      <c r="A248" s="27"/>
      <c r="B248" s="80" t="s">
        <v>8467</v>
      </c>
      <c r="C248" s="31" t="str">
        <f>CONCATENATE(prefix_portable_component,"-fm01")</f>
        <v>flt-fm01</v>
      </c>
      <c r="D248" s="13" t="str">
        <f t="array" ref="D248">vvs_dr_flt_fleet_manager_hostname</f>
        <v>Value Missing</v>
      </c>
      <c r="E248" s="15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9.5" customHeight="1">
      <c r="A249" s="27"/>
      <c r="B249" s="80" t="s">
        <v>8467</v>
      </c>
      <c r="C249" s="31" t="str">
        <f>CONCATENATE(prefix_portable_component,"-ops01a")</f>
        <v>flt-ops01a</v>
      </c>
      <c r="D249" s="13" t="str">
        <f t="array" ref="D249">vvs_dr_flt_ops_nodea_hostname</f>
        <v>Value Missing</v>
      </c>
      <c r="E249" s="15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9.5" customHeight="1">
      <c r="A250" s="27"/>
      <c r="B250" s="80" t="s">
        <v>8467</v>
      </c>
      <c r="C250" s="31" t="str">
        <f>CONCATENATE(prefix_portable_component,"-ops01b")</f>
        <v>flt-ops01b</v>
      </c>
      <c r="D250" s="13" t="str">
        <f t="array" ref="D250">vvs_dr_flt_ops_nodeb_hostname</f>
        <v>Value Missing</v>
      </c>
      <c r="E250" s="15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9.5" customHeight="1">
      <c r="A251" s="27"/>
      <c r="B251" s="80" t="s">
        <v>8467</v>
      </c>
      <c r="C251" s="31" t="str">
        <f>CONCATENATE(prefix_portable_component,"-ops01c")</f>
        <v>flt-ops01c</v>
      </c>
      <c r="D251" s="13" t="str">
        <f t="array" ref="D251">vvs_dr_flt_ops_nodec_hostname</f>
        <v>Value Missing</v>
      </c>
      <c r="E251" s="15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9.5" customHeight="1">
      <c r="A252" s="27"/>
      <c r="B252" s="80" t="s">
        <v>8468</v>
      </c>
      <c r="C252" s="31" t="e">
        <f>CONCATENATE(other_instance,"-m01-cl01-ds-vsan01")</f>
        <v>#REF!</v>
      </c>
      <c r="D252" s="13"/>
      <c r="E252" s="15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9.5" customHeight="1">
      <c r="A253" s="27"/>
      <c r="B253" s="80" t="s">
        <v>8469</v>
      </c>
      <c r="C253" s="31">
        <v>15</v>
      </c>
      <c r="D253" s="13"/>
      <c r="E253" s="15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9.5" customHeight="1">
      <c r="A254" s="27"/>
      <c r="B254" s="80" t="s">
        <v>7511</v>
      </c>
      <c r="C254" s="31">
        <v>3</v>
      </c>
      <c r="D254" s="13"/>
      <c r="E254" s="15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9.5" customHeight="1">
      <c r="A255" s="27"/>
      <c r="B255" s="30" t="s">
        <v>7514</v>
      </c>
      <c r="C255" s="31">
        <v>1</v>
      </c>
      <c r="D255" s="13"/>
      <c r="E255" s="15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9.5" customHeight="1">
      <c r="A256" s="27"/>
      <c r="B256" s="30" t="s">
        <v>8470</v>
      </c>
      <c r="C256" s="31" t="s">
        <v>8471</v>
      </c>
      <c r="D256" s="13"/>
      <c r="E256" s="15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9.5" customHeight="1">
      <c r="A257" s="27"/>
      <c r="B257" s="80" t="s">
        <v>8472</v>
      </c>
      <c r="C257" s="31" t="s">
        <v>8473</v>
      </c>
      <c r="D257" s="13"/>
      <c r="E257" s="15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>
      <c r="A258" s="27"/>
      <c r="B258" s="7"/>
      <c r="C258" s="27"/>
      <c r="D258" s="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33.75" customHeight="1">
      <c r="A259" s="27"/>
      <c r="B259" s="205" t="s">
        <v>8474</v>
      </c>
      <c r="C259" s="183"/>
      <c r="D259" s="183"/>
      <c r="E259" s="181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9.5" customHeight="1">
      <c r="A260" s="27"/>
      <c r="B260" s="202"/>
      <c r="C260" s="183"/>
      <c r="D260" s="183"/>
      <c r="E260" s="181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9.5" customHeight="1">
      <c r="A261" s="27"/>
      <c r="B261" s="102" t="s">
        <v>8389</v>
      </c>
      <c r="C261" s="103" t="s">
        <v>8390</v>
      </c>
      <c r="D261" s="103" t="s">
        <v>6943</v>
      </c>
      <c r="E261" s="103" t="s">
        <v>8181</v>
      </c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9.5" customHeight="1">
      <c r="A262" s="27"/>
      <c r="B262" s="113" t="s">
        <v>8431</v>
      </c>
      <c r="C262" s="31" t="e">
        <f>CONCATENATE(sample_vvs_mgmt_dr_vlr_fqdn,"/dr")</f>
        <v>#REF!</v>
      </c>
      <c r="D262" s="13" t="str">
        <f>CONCATENATE(vvs_mgmt_dr_vlr_fqdn,"/dr")</f>
        <v>Value Missing/dr</v>
      </c>
      <c r="E262" s="15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9.5" customHeight="1">
      <c r="A263" s="27"/>
      <c r="B263" s="113" t="s">
        <v>8459</v>
      </c>
      <c r="C263" s="31" t="e">
        <f>CONCATENATE(sample_mgmt_vc_fqdn," &lt;--&gt; ",sample_mgmt_srm_recovery_vcenter_fqdn)</f>
        <v>#REF!</v>
      </c>
      <c r="D263" s="13" t="str">
        <f>vs_dr_site_pair</f>
        <v>Value Missing &lt;--&gt; Value Missing</v>
      </c>
      <c r="E263" s="15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9.5" customHeight="1">
      <c r="A264" s="27"/>
      <c r="B264" s="113" t="s">
        <v>8475</v>
      </c>
      <c r="C264" s="31" t="str">
        <f>sample_mgmt_srm_vrops_rp</f>
        <v>VCF-OPS-RP</v>
      </c>
      <c r="D264" s="13" t="str">
        <f>mgmt_srm_vrops_rp</f>
        <v>Value Missing</v>
      </c>
      <c r="E264" s="15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9.5" customHeight="1">
      <c r="A265" s="27"/>
      <c r="B265" s="113" t="s">
        <v>8476</v>
      </c>
      <c r="C265" s="31" t="str">
        <f>CONCATENATE(prefix_portable_component,"-fm01")</f>
        <v>flt-fm01</v>
      </c>
      <c r="D265" s="13" t="str">
        <f>vvs_dr_flt_fleet_manager_hostname</f>
        <v>Value Missing</v>
      </c>
      <c r="E265" s="15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9.5" customHeight="1">
      <c r="A266" s="27"/>
      <c r="B266" s="113" t="s">
        <v>8477</v>
      </c>
      <c r="C266" s="31" t="str">
        <f>CONCATENATE(prefix_portable_component,"-ops01a")</f>
        <v>flt-ops01a</v>
      </c>
      <c r="D266" s="13" t="str">
        <f t="array" ref="D266">vvs_dr_flt_ops_nodea_hostname</f>
        <v>Value Missing</v>
      </c>
      <c r="E266" s="15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9.5" customHeight="1">
      <c r="A267" s="27"/>
      <c r="B267" s="113" t="s">
        <v>8478</v>
      </c>
      <c r="C267" s="31" t="str">
        <f>CONCATENATE(prefix_portable_component,"-ops01b")</f>
        <v>flt-ops01b</v>
      </c>
      <c r="D267" s="13" t="str">
        <f t="array" ref="D267">vvs_dr_flt_ops_nodeb_hostname</f>
        <v>Value Missing</v>
      </c>
      <c r="E267" s="15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9.5" customHeight="1">
      <c r="A268" s="27"/>
      <c r="B268" s="113" t="s">
        <v>8479</v>
      </c>
      <c r="C268" s="31" t="str">
        <f>CONCATENATE(prefix_portable_component,"-ops01c")</f>
        <v>flt-ops01c</v>
      </c>
      <c r="D268" s="13" t="str">
        <f t="array" ref="D268">vvs_dr_flt_ops_nodec_hostname</f>
        <v>Value Missing</v>
      </c>
      <c r="E268" s="15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>
      <c r="A269" s="27"/>
      <c r="B269" s="7"/>
      <c r="C269" s="27"/>
      <c r="D269" s="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33.75" customHeight="1">
      <c r="A270" s="27"/>
      <c r="B270" s="205" t="s">
        <v>8480</v>
      </c>
      <c r="C270" s="183"/>
      <c r="D270" s="183"/>
      <c r="E270" s="181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9.5" customHeight="1">
      <c r="A271" s="27"/>
      <c r="B271" s="202"/>
      <c r="C271" s="183"/>
      <c r="D271" s="183"/>
      <c r="E271" s="181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9.5" customHeight="1">
      <c r="A272" s="27"/>
      <c r="B272" s="102" t="s">
        <v>8389</v>
      </c>
      <c r="C272" s="103" t="s">
        <v>8390</v>
      </c>
      <c r="D272" s="103" t="s">
        <v>6943</v>
      </c>
      <c r="E272" s="103" t="s">
        <v>8181</v>
      </c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9.5" customHeight="1">
      <c r="A273" s="27"/>
      <c r="B273" s="113" t="s">
        <v>8431</v>
      </c>
      <c r="C273" s="31" t="e">
        <f>CONCATENATE(sample_vvs_mgmt_dr_vlr_fqdn,"/dr")</f>
        <v>#REF!</v>
      </c>
      <c r="D273" s="13" t="str">
        <f>CONCATENATE(vvs_mgmt_dr_vlr_fqdn,"/dr")</f>
        <v>Value Missing/dr</v>
      </c>
      <c r="E273" s="15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9.5" customHeight="1">
      <c r="A274" s="27"/>
      <c r="B274" s="113" t="s">
        <v>8459</v>
      </c>
      <c r="C274" s="31" t="e">
        <f>CONCATENATE(sample_mgmt_vc_fqdn," &lt;--&gt; ",sample_mgmt_srm_recovery_vcenter_fqdn)</f>
        <v>#REF!</v>
      </c>
      <c r="D274" s="13" t="str">
        <f>vs_dr_site_pair</f>
        <v>Value Missing &lt;--&gt; Value Missing</v>
      </c>
      <c r="E274" s="15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9.5" customHeight="1">
      <c r="A275" s="27"/>
      <c r="B275" s="113" t="s">
        <v>8481</v>
      </c>
      <c r="C275" s="31" t="str">
        <f>CONCATENATE(prefix_portable_component,"-logs01a")</f>
        <v>flt-logs01a</v>
      </c>
      <c r="D275" s="13" t="str">
        <f>vvs_dr_flt_logs_nodea_hostname</f>
        <v>Value Missing</v>
      </c>
      <c r="E275" s="15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9.5" customHeight="1">
      <c r="A276" s="27"/>
      <c r="B276" s="113" t="s">
        <v>8482</v>
      </c>
      <c r="C276" s="31" t="str">
        <f>CONCATENATE(prefix_portable_component,"-logs01b")</f>
        <v>flt-logs01b</v>
      </c>
      <c r="D276" s="13" t="str">
        <f>vvs_dr_flt_logs_nodeb_hostname</f>
        <v>Value Missing</v>
      </c>
      <c r="E276" s="15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9.5" customHeight="1">
      <c r="A277" s="27"/>
      <c r="B277" s="113" t="s">
        <v>8483</v>
      </c>
      <c r="C277" s="31" t="str">
        <f>CONCATENATE(prefix_portable_component,"-logs01c")</f>
        <v>flt-logs01c</v>
      </c>
      <c r="D277" s="13" t="str">
        <f>vvs_dr_flt_logs_nodec_hostname</f>
        <v>Value Missing</v>
      </c>
      <c r="E277" s="15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9.5" customHeight="1">
      <c r="A278" s="27"/>
      <c r="B278" s="113" t="s">
        <v>8468</v>
      </c>
      <c r="C278" s="31" t="e">
        <f>sample_mgmt_srm_recovery_datastore</f>
        <v>#REF!</v>
      </c>
      <c r="D278" s="13" t="str">
        <f>mgmt_srm_recovery_datastore</f>
        <v>Value Missing</v>
      </c>
      <c r="E278" s="15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9.5" customHeight="1">
      <c r="A279" s="27"/>
      <c r="B279" s="113" t="s">
        <v>8469</v>
      </c>
      <c r="C279" s="31">
        <f>sample_mgmt_srm_rpo</f>
        <v>15</v>
      </c>
      <c r="D279" s="13" t="str">
        <f>mgmt_srm_rpo</f>
        <v>Value Missing</v>
      </c>
      <c r="E279" s="15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9.5" customHeight="1">
      <c r="A280" s="27"/>
      <c r="B280" s="113" t="s">
        <v>7511</v>
      </c>
      <c r="C280" s="31">
        <f>sample_mgmt_srm_instances_per_day</f>
        <v>3</v>
      </c>
      <c r="D280" s="13" t="str">
        <f>mgmt_srm_instances_per_day</f>
        <v>Value Missing</v>
      </c>
      <c r="E280" s="15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9.5" customHeight="1">
      <c r="A281" s="27"/>
      <c r="B281" s="113" t="s">
        <v>7514</v>
      </c>
      <c r="C281" s="31">
        <f>sample_mgmt_srm_days</f>
        <v>1</v>
      </c>
      <c r="D281" s="13" t="str">
        <f>mgmt_srm_days</f>
        <v>Value Missing</v>
      </c>
      <c r="E281" s="15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9.5" customHeight="1">
      <c r="A282" s="27"/>
      <c r="B282" s="113" t="s">
        <v>8470</v>
      </c>
      <c r="C282" s="31" t="s">
        <v>8484</v>
      </c>
      <c r="D282" s="13"/>
      <c r="E282" s="15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9.5" customHeight="1">
      <c r="A283" s="27"/>
      <c r="B283" s="113" t="s">
        <v>8472</v>
      </c>
      <c r="C283" s="31" t="s">
        <v>8485</v>
      </c>
      <c r="D283" s="13"/>
      <c r="E283" s="15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>
      <c r="A284" s="27"/>
      <c r="B284" s="119"/>
      <c r="C284" s="112"/>
      <c r="D284" s="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33.75" customHeight="1">
      <c r="A285" s="27"/>
      <c r="B285" s="205" t="s">
        <v>8486</v>
      </c>
      <c r="C285" s="183"/>
      <c r="D285" s="183"/>
      <c r="E285" s="181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9.5" customHeight="1">
      <c r="A286" s="27"/>
      <c r="B286" s="202"/>
      <c r="C286" s="183"/>
      <c r="D286" s="183"/>
      <c r="E286" s="181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9.5" customHeight="1">
      <c r="A287" s="27"/>
      <c r="B287" s="88" t="s">
        <v>6780</v>
      </c>
      <c r="C287" s="88" t="s">
        <v>8191</v>
      </c>
      <c r="D287" s="88" t="s">
        <v>6943</v>
      </c>
      <c r="E287" s="88" t="s">
        <v>8181</v>
      </c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9.5" customHeight="1">
      <c r="A288" s="27"/>
      <c r="B288" s="113" t="s">
        <v>8431</v>
      </c>
      <c r="C288" s="31" t="e">
        <f>CONCATENATE(sample_vvs_mgmt_dr_vlr_fqdn,"/dr")</f>
        <v>#REF!</v>
      </c>
      <c r="D288" s="13" t="str">
        <f>CONCATENATE(vvs_mgmt_dr_vlr_fqdn,"/dr")</f>
        <v>Value Missing/dr</v>
      </c>
      <c r="E288" s="15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9.5" customHeight="1">
      <c r="A289" s="27"/>
      <c r="B289" s="113" t="s">
        <v>8459</v>
      </c>
      <c r="C289" s="31" t="e">
        <f>CONCATENATE(sample_mgmt_vc_fqdn," &lt;--&gt; ",sample_mgmt_srm_recovery_vcenter_fqdn)</f>
        <v>#REF!</v>
      </c>
      <c r="D289" s="13" t="str">
        <f>vs_dr_site_pair</f>
        <v>Value Missing &lt;--&gt; Value Missing</v>
      </c>
      <c r="E289" s="15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9.5" customHeight="1">
      <c r="A290" s="27"/>
      <c r="B290" s="113" t="s">
        <v>8475</v>
      </c>
      <c r="C290" s="31" t="str">
        <f>sample_mgmt_srm_logs_rp</f>
        <v>VCF-OPS-LOGS-RP</v>
      </c>
      <c r="D290" s="13" t="str">
        <f t="array" ref="D290">mgmt_srm_logs_rp</f>
        <v>Value Missing</v>
      </c>
      <c r="E290" s="15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9.5" customHeight="1">
      <c r="A291" s="27"/>
      <c r="B291" s="113" t="s">
        <v>8481</v>
      </c>
      <c r="C291" s="31" t="str">
        <f>CONCATENATE(prefix_portable_component,"-logs01a")</f>
        <v>flt-logs01a</v>
      </c>
      <c r="D291" s="13" t="str">
        <f>vvs_dr_flt_logs_nodea_hostname</f>
        <v>Value Missing</v>
      </c>
      <c r="E291" s="15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9.5" customHeight="1">
      <c r="A292" s="27"/>
      <c r="B292" s="113" t="s">
        <v>8482</v>
      </c>
      <c r="C292" s="31" t="str">
        <f>CONCATENATE(prefix_portable_component,"-logs01b")</f>
        <v>flt-logs01b</v>
      </c>
      <c r="D292" s="13" t="str">
        <f>vvs_dr_flt_logs_nodeb_hostname</f>
        <v>Value Missing</v>
      </c>
      <c r="E292" s="15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9.5" customHeight="1">
      <c r="A293" s="27"/>
      <c r="B293" s="113" t="s">
        <v>8483</v>
      </c>
      <c r="C293" s="31" t="str">
        <f>CONCATENATE(prefix_portable_component,"-logs01c")</f>
        <v>flt-logs01c</v>
      </c>
      <c r="D293" s="13" t="str">
        <f>vvs_dr_flt_logs_nodec_hostname</f>
        <v>Value Missing</v>
      </c>
      <c r="E293" s="15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>
      <c r="A294" s="27"/>
      <c r="B294" s="119"/>
      <c r="C294" s="112"/>
      <c r="D294" s="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33.75" customHeight="1">
      <c r="A295" s="27"/>
      <c r="B295" s="205" t="s">
        <v>8487</v>
      </c>
      <c r="C295" s="183"/>
      <c r="D295" s="183"/>
      <c r="E295" s="181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9.5" customHeight="1">
      <c r="A296" s="27"/>
      <c r="B296" s="202"/>
      <c r="C296" s="183"/>
      <c r="D296" s="183"/>
      <c r="E296" s="181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9.5" customHeight="1">
      <c r="A297" s="27"/>
      <c r="B297" s="102" t="s">
        <v>8389</v>
      </c>
      <c r="C297" s="103" t="s">
        <v>8390</v>
      </c>
      <c r="D297" s="103" t="s">
        <v>6943</v>
      </c>
      <c r="E297" s="103" t="s">
        <v>8181</v>
      </c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9.5" customHeight="1">
      <c r="A298" s="27"/>
      <c r="B298" s="113" t="s">
        <v>8431</v>
      </c>
      <c r="C298" s="31" t="e">
        <f>CONCATENATE(sample_vvs_mgmt_dr_vlr_fqdn,"/dr")</f>
        <v>#REF!</v>
      </c>
      <c r="D298" s="13" t="str">
        <f>CONCATENATE(vvs_mgmt_dr_vlr_fqdn,"/dr")</f>
        <v>Value Missing/dr</v>
      </c>
      <c r="E298" s="15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9.5" customHeight="1">
      <c r="A299" s="27"/>
      <c r="B299" s="113" t="s">
        <v>8459</v>
      </c>
      <c r="C299" s="31" t="e">
        <f>CONCATENATE(sample_mgmt_vc_fqdn," &lt;--&gt; ",sample_mgmt_srm_recovery_vcenter_fqdn)</f>
        <v>#REF!</v>
      </c>
      <c r="D299" s="13" t="str">
        <f>vs_dr_site_pair</f>
        <v>Value Missing &lt;--&gt; Value Missing</v>
      </c>
      <c r="E299" s="15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9.5" customHeight="1">
      <c r="A300" s="27"/>
      <c r="B300" s="113" t="s">
        <v>8488</v>
      </c>
      <c r="C300" s="31" t="str">
        <f>CONCATENATE(prefix_portable_component,"-net01a")</f>
        <v>flt-net01a</v>
      </c>
      <c r="D300" s="13" t="str">
        <f>vvs_dr_flt_net_nodea_hostname</f>
        <v>Value Missing</v>
      </c>
      <c r="E300" s="15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9.5" customHeight="1">
      <c r="A301" s="27"/>
      <c r="B301" s="113" t="s">
        <v>8489</v>
      </c>
      <c r="C301" s="31" t="str">
        <f>CONCATENATE(prefix_portable_component,"-net01b")</f>
        <v>flt-net01b</v>
      </c>
      <c r="D301" s="13" t="str">
        <f>vvs_dr_flt_net_nodeb_hostname</f>
        <v>Value Missing</v>
      </c>
      <c r="E301" s="15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9.5" customHeight="1">
      <c r="A302" s="27"/>
      <c r="B302" s="113" t="s">
        <v>8490</v>
      </c>
      <c r="C302" s="31" t="str">
        <f>CONCATENATE(prefix_portable_component,"-net01c")</f>
        <v>flt-net01c</v>
      </c>
      <c r="D302" s="13" t="str">
        <f>vvs_dr_flt_net_nodec_hostname</f>
        <v>Value Missing</v>
      </c>
      <c r="E302" s="15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9.5" customHeight="1">
      <c r="A303" s="27"/>
      <c r="B303" s="113" t="s">
        <v>8468</v>
      </c>
      <c r="C303" s="31" t="e">
        <f>sample_mgmt_srm_recovery_datastore</f>
        <v>#REF!</v>
      </c>
      <c r="D303" s="13" t="str">
        <f>mgmt_srm_recovery_datastore</f>
        <v>Value Missing</v>
      </c>
      <c r="E303" s="15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9.5" customHeight="1">
      <c r="A304" s="27"/>
      <c r="B304" s="113" t="s">
        <v>8469</v>
      </c>
      <c r="C304" s="31">
        <f>sample_mgmt_srm_rpo</f>
        <v>15</v>
      </c>
      <c r="D304" s="13" t="str">
        <f>mgmt_srm_rpo</f>
        <v>Value Missing</v>
      </c>
      <c r="E304" s="15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9.5" customHeight="1">
      <c r="A305" s="27"/>
      <c r="B305" s="113" t="s">
        <v>7511</v>
      </c>
      <c r="C305" s="31">
        <f>sample_mgmt_srm_instances_per_day</f>
        <v>3</v>
      </c>
      <c r="D305" s="13" t="str">
        <f>mgmt_srm_instances_per_day</f>
        <v>Value Missing</v>
      </c>
      <c r="E305" s="15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9.5" customHeight="1">
      <c r="A306" s="27"/>
      <c r="B306" s="113" t="s">
        <v>7514</v>
      </c>
      <c r="C306" s="31">
        <f>sample_mgmt_srm_days</f>
        <v>1</v>
      </c>
      <c r="D306" s="13" t="str">
        <f>mgmt_srm_days</f>
        <v>Value Missing</v>
      </c>
      <c r="E306" s="15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9.5" customHeight="1">
      <c r="A307" s="27"/>
      <c r="B307" s="113" t="s">
        <v>8470</v>
      </c>
      <c r="C307" s="31" t="s">
        <v>8491</v>
      </c>
      <c r="D307" s="13"/>
      <c r="E307" s="15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9.5" customHeight="1">
      <c r="A308" s="27"/>
      <c r="B308" s="113" t="s">
        <v>8472</v>
      </c>
      <c r="C308" s="31" t="s">
        <v>8492</v>
      </c>
      <c r="D308" s="13"/>
      <c r="E308" s="15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>
      <c r="A309" s="27"/>
      <c r="B309" s="119"/>
      <c r="C309" s="27"/>
      <c r="D309" s="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33.75" customHeight="1">
      <c r="A310" s="27"/>
      <c r="B310" s="205" t="s">
        <v>8493</v>
      </c>
      <c r="C310" s="183"/>
      <c r="D310" s="183"/>
      <c r="E310" s="181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9.5" customHeight="1">
      <c r="A311" s="27"/>
      <c r="B311" s="202"/>
      <c r="C311" s="183"/>
      <c r="D311" s="183"/>
      <c r="E311" s="181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9.5" customHeight="1">
      <c r="A312" s="27"/>
      <c r="B312" s="102" t="s">
        <v>8389</v>
      </c>
      <c r="C312" s="103" t="s">
        <v>8390</v>
      </c>
      <c r="D312" s="103" t="s">
        <v>6943</v>
      </c>
      <c r="E312" s="103" t="s">
        <v>8181</v>
      </c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9.5" customHeight="1">
      <c r="A313" s="27"/>
      <c r="B313" s="113" t="s">
        <v>8431</v>
      </c>
      <c r="C313" s="31" t="e">
        <f>CONCATENATE(sample_vvs_mgmt_dr_vlr_fqdn,"/dr")</f>
        <v>#REF!</v>
      </c>
      <c r="D313" s="13" t="str">
        <f>CONCATENATE(vvs_mgmt_dr_vlr_fqdn,"/dr")</f>
        <v>Value Missing/dr</v>
      </c>
      <c r="E313" s="15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9.5" customHeight="1">
      <c r="A314" s="27"/>
      <c r="B314" s="113" t="s">
        <v>8459</v>
      </c>
      <c r="C314" s="31" t="e">
        <f>CONCATENATE(sample_mgmt_vc_fqdn," &lt;--&gt; ",sample_mgmt_srm_recovery_vcenter_fqdn)</f>
        <v>#REF!</v>
      </c>
      <c r="D314" s="13" t="str">
        <f>vs_dr_site_pair</f>
        <v>Value Missing &lt;--&gt; Value Missing</v>
      </c>
      <c r="E314" s="15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9.5" customHeight="1">
      <c r="A315" s="27"/>
      <c r="B315" s="113" t="s">
        <v>8475</v>
      </c>
      <c r="C315" s="31" t="str">
        <f>sample_mgmt_srm_net_rp</f>
        <v>VCF-OPS-NET-RP</v>
      </c>
      <c r="D315" s="13"/>
      <c r="E315" s="15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9.5" customHeight="1">
      <c r="A316" s="27"/>
      <c r="B316" s="113" t="s">
        <v>8488</v>
      </c>
      <c r="C316" s="31" t="str">
        <f>CONCATENATE(prefix_portable_component,"-net01a")</f>
        <v>flt-net01a</v>
      </c>
      <c r="D316" s="13" t="str">
        <f>vvs_dr_flt_net_nodea_hostname</f>
        <v>Value Missing</v>
      </c>
      <c r="E316" s="15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9.5" customHeight="1">
      <c r="A317" s="27"/>
      <c r="B317" s="113" t="s">
        <v>8489</v>
      </c>
      <c r="C317" s="31" t="str">
        <f>CONCATENATE(prefix_portable_component,"-net01b")</f>
        <v>flt-net01b</v>
      </c>
      <c r="D317" s="13" t="str">
        <f>vvs_dr_flt_net_nodeb_hostname</f>
        <v>Value Missing</v>
      </c>
      <c r="E317" s="15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9.5" customHeight="1">
      <c r="A318" s="27"/>
      <c r="B318" s="113" t="s">
        <v>8490</v>
      </c>
      <c r="C318" s="31" t="str">
        <f>CONCATENATE(prefix_portable_component,"-net01c")</f>
        <v>flt-net01c</v>
      </c>
      <c r="D318" s="13" t="str">
        <f>vvs_dr_flt_net_nodec_hostname</f>
        <v>Value Missing</v>
      </c>
      <c r="E318" s="15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>
      <c r="A319" s="27"/>
      <c r="B319" s="119"/>
      <c r="C319" s="127"/>
      <c r="D319" s="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33.75" customHeight="1">
      <c r="A320" s="27"/>
      <c r="B320" s="205" t="s">
        <v>8494</v>
      </c>
      <c r="C320" s="183"/>
      <c r="D320" s="183"/>
      <c r="E320" s="181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9.5" customHeight="1">
      <c r="A321" s="27"/>
      <c r="B321" s="202"/>
      <c r="C321" s="183"/>
      <c r="D321" s="183"/>
      <c r="E321" s="181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9.5" customHeight="1">
      <c r="A322" s="27"/>
      <c r="B322" s="102" t="s">
        <v>8389</v>
      </c>
      <c r="C322" s="103" t="s">
        <v>8390</v>
      </c>
      <c r="D322" s="103" t="s">
        <v>6943</v>
      </c>
      <c r="E322" s="103" t="s">
        <v>8181</v>
      </c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9.5" customHeight="1">
      <c r="A323" s="27"/>
      <c r="B323" s="113" t="s">
        <v>8223</v>
      </c>
      <c r="C323" s="31" t="e">
        <f>sample_mgmt_srm_recovery_vcenter_fqdn</f>
        <v>#REF!</v>
      </c>
      <c r="D323" s="13" t="str">
        <f>mgmt_srm_recovery_vcenter_fqdn</f>
        <v>Value Missing</v>
      </c>
      <c r="E323" s="15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9.5" customHeight="1">
      <c r="A324" s="27"/>
      <c r="B324" s="113" t="s">
        <v>6317</v>
      </c>
      <c r="C324" s="31" t="e">
        <f>CONCATENATE(other_instance,"-m01-cl01")</f>
        <v>#REF!</v>
      </c>
      <c r="D324" s="13"/>
      <c r="E324" s="15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9.5" customHeight="1">
      <c r="A325" s="27"/>
      <c r="B325" s="113" t="s">
        <v>8495</v>
      </c>
      <c r="C325" s="31" t="s">
        <v>8496</v>
      </c>
      <c r="D325" s="13"/>
      <c r="E325" s="15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9.5" customHeight="1">
      <c r="A326" s="27"/>
      <c r="B326" s="113" t="s">
        <v>8497</v>
      </c>
      <c r="C326" s="31" t="str">
        <f>CONCATENATE(prefix_portable_component,"-ops01a")</f>
        <v>flt-ops01a</v>
      </c>
      <c r="D326" s="13" t="str">
        <f t="array" ref="D326">vvs_dr_flt_ops_nodea_hostname</f>
        <v>Value Missing</v>
      </c>
      <c r="E326" s="15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9.5" customHeight="1">
      <c r="A327" s="27"/>
      <c r="B327" s="113" t="s">
        <v>8498</v>
      </c>
      <c r="C327" s="31" t="str">
        <f>CONCATENATE(prefix_portable_component,"-ops01b")</f>
        <v>flt-ops01b</v>
      </c>
      <c r="D327" s="13" t="str">
        <f t="array" ref="D327">vvs_dr_flt_ops_nodeb_hostname</f>
        <v>Value Missing</v>
      </c>
      <c r="E327" s="15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9.5" customHeight="1">
      <c r="A328" s="27"/>
      <c r="B328" s="113" t="s">
        <v>8499</v>
      </c>
      <c r="C328" s="31" t="str">
        <f>CONCATENATE(prefix_portable_component,"-ops01c")</f>
        <v>flt-ops01c</v>
      </c>
      <c r="D328" s="13" t="str">
        <f t="array" ref="D328">vvs_dr_flt_ops_nodec_hostname</f>
        <v>Value Missing</v>
      </c>
      <c r="E328" s="15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9.5" customHeight="1">
      <c r="A329" s="27"/>
      <c r="B329" s="113" t="s">
        <v>8500</v>
      </c>
      <c r="C329" s="31" t="s">
        <v>8501</v>
      </c>
      <c r="D329" s="13"/>
      <c r="E329" s="15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9.5" customHeight="1">
      <c r="A330" s="27"/>
      <c r="B330" s="113" t="s">
        <v>8502</v>
      </c>
      <c r="C330" s="31" t="str">
        <f>CONCATENATE(prefix_portable_component,"-logs01a")</f>
        <v>flt-logs01a</v>
      </c>
      <c r="D330" s="13" t="str">
        <f>vvs_dr_flt_logs_nodea_hostname</f>
        <v>Value Missing</v>
      </c>
      <c r="E330" s="15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9.5" customHeight="1">
      <c r="A331" s="27"/>
      <c r="B331" s="113" t="s">
        <v>8503</v>
      </c>
      <c r="C331" s="31" t="str">
        <f>CONCATENATE(prefix_portable_component,"-logs01b")</f>
        <v>flt-logs01b</v>
      </c>
      <c r="D331" s="13" t="str">
        <f>vvs_dr_flt_logs_nodeb_hostname</f>
        <v>Value Missing</v>
      </c>
      <c r="E331" s="15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9.5" customHeight="1">
      <c r="A332" s="27"/>
      <c r="B332" s="113" t="s">
        <v>8504</v>
      </c>
      <c r="C332" s="31" t="str">
        <f>CONCATENATE(prefix_portable_component,"-logs01c")</f>
        <v>flt-logs01c</v>
      </c>
      <c r="D332" s="13" t="str">
        <f>vvs_dr_flt_logs_nodec_hostname</f>
        <v>Value Missing</v>
      </c>
      <c r="E332" s="15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9.5" customHeight="1">
      <c r="A333" s="27"/>
      <c r="B333" s="113" t="s">
        <v>8505</v>
      </c>
      <c r="C333" s="31" t="s">
        <v>8506</v>
      </c>
      <c r="D333" s="13"/>
      <c r="E333" s="15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9.5" customHeight="1">
      <c r="A334" s="27"/>
      <c r="B334" s="113" t="s">
        <v>8507</v>
      </c>
      <c r="C334" s="31" t="str">
        <f>CONCATENATE(prefix_portable_component,"-net01a")</f>
        <v>flt-net01a</v>
      </c>
      <c r="D334" s="13" t="str">
        <f>vvs_dr_flt_net_nodea_hostname</f>
        <v>Value Missing</v>
      </c>
      <c r="E334" s="15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9.5" customHeight="1">
      <c r="A335" s="27"/>
      <c r="B335" s="113" t="s">
        <v>8508</v>
      </c>
      <c r="C335" s="31" t="str">
        <f>CONCATENATE(prefix_portable_component,"-net01b")</f>
        <v>flt-net01b</v>
      </c>
      <c r="D335" s="13" t="str">
        <f>vvs_dr_flt_net_nodeb_hostname</f>
        <v>Value Missing</v>
      </c>
      <c r="E335" s="15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9.5" customHeight="1">
      <c r="A336" s="27"/>
      <c r="B336" s="113" t="s">
        <v>8509</v>
      </c>
      <c r="C336" s="31" t="str">
        <f>CONCATENATE(prefix_portable_component,"-net01c")</f>
        <v>flt-net01c</v>
      </c>
      <c r="D336" s="13" t="str">
        <f>vvs_dr_flt_net_nodec_hostname</f>
        <v>Value Missing</v>
      </c>
      <c r="E336" s="15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>
      <c r="A337" s="27"/>
      <c r="B337" s="119"/>
      <c r="C337" s="112"/>
      <c r="D337" s="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33.75" customHeight="1">
      <c r="A338" s="27"/>
      <c r="B338" s="205" t="s">
        <v>8510</v>
      </c>
      <c r="C338" s="183"/>
      <c r="D338" s="183"/>
      <c r="E338" s="181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9.5" customHeight="1">
      <c r="A339" s="27"/>
      <c r="B339" s="202"/>
      <c r="C339" s="183"/>
      <c r="D339" s="183"/>
      <c r="E339" s="181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9.5" customHeight="1">
      <c r="A340" s="27"/>
      <c r="B340" s="102" t="s">
        <v>8389</v>
      </c>
      <c r="C340" s="103" t="s">
        <v>8390</v>
      </c>
      <c r="D340" s="103" t="s">
        <v>6943</v>
      </c>
      <c r="E340" s="103" t="s">
        <v>8181</v>
      </c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9.5" customHeight="1">
      <c r="A341" s="27"/>
      <c r="B341" s="30" t="s">
        <v>8223</v>
      </c>
      <c r="C341" s="31" t="e">
        <f>sample_mgmt_srm_recovery_vcenter_fqdn</f>
        <v>#REF!</v>
      </c>
      <c r="D341" s="13" t="str">
        <f>mgmt_srm_recovery_vcenter_fqdn</f>
        <v>Value Missing</v>
      </c>
      <c r="E341" s="15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9.5" customHeight="1">
      <c r="A342" s="27"/>
      <c r="B342" s="30" t="s">
        <v>6317</v>
      </c>
      <c r="C342" s="114" t="e">
        <f>sample_mgmt_srm_recovery_cluster</f>
        <v>#REF!</v>
      </c>
      <c r="D342" s="128" t="str">
        <f>mgmt_srm_recovery_cluster</f>
        <v>Value Missing</v>
      </c>
      <c r="E342" s="15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9.5" customHeight="1">
      <c r="A343" s="27"/>
      <c r="B343" s="213" t="s">
        <v>8511</v>
      </c>
      <c r="C343" s="183"/>
      <c r="D343" s="183"/>
      <c r="E343" s="181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9.5" customHeight="1">
      <c r="A344" s="27"/>
      <c r="B344" s="30" t="s">
        <v>8495</v>
      </c>
      <c r="C344" s="31" t="str">
        <f>CONCATENATE(prefix_portable_component,"-vm-group-","vcf-operations")</f>
        <v>flt-vm-group-vcf-operations</v>
      </c>
      <c r="D344" s="13"/>
      <c r="E344" s="15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9.5" customHeight="1">
      <c r="A345" s="27"/>
      <c r="B345" s="30" t="s">
        <v>8497</v>
      </c>
      <c r="C345" s="31" t="str">
        <f>CONCATENATE(prefix_portable_component,"-ops01a")</f>
        <v>flt-ops01a</v>
      </c>
      <c r="D345" s="13" t="str">
        <f t="array" ref="D345">vvs_dr_flt_ops_nodea_hostname</f>
        <v>Value Missing</v>
      </c>
      <c r="E345" s="15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9.5" customHeight="1">
      <c r="A346" s="27"/>
      <c r="B346" s="30" t="s">
        <v>8498</v>
      </c>
      <c r="C346" s="31" t="str">
        <f>CONCATENATE(prefix_portable_component,"-ops01b")</f>
        <v>flt-ops01b</v>
      </c>
      <c r="D346" s="13" t="str">
        <f t="array" ref="D346">vvs_dr_flt_ops_nodeb_hostname</f>
        <v>Value Missing</v>
      </c>
      <c r="E346" s="15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9.5" customHeight="1">
      <c r="A347" s="27"/>
      <c r="B347" s="30" t="s">
        <v>8499</v>
      </c>
      <c r="C347" s="31" t="str">
        <f>CONCATENATE(prefix_portable_component,"-ops01c")</f>
        <v>flt-ops01c</v>
      </c>
      <c r="D347" s="13" t="str">
        <f t="array" ref="D347">vvs_dr_flt_ops_nodec_hostname</f>
        <v>Value Missing</v>
      </c>
      <c r="E347" s="15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9.5" customHeight="1">
      <c r="A348" s="27"/>
      <c r="B348" s="30" t="s">
        <v>8476</v>
      </c>
      <c r="C348" s="31" t="str">
        <f>sample_vvs_dr_flt_fleet_manager_hostname</f>
        <v>flt-fm01</v>
      </c>
      <c r="D348" s="13" t="str">
        <f>vvs_dr_flt_fleet_manager_hostname</f>
        <v>Value Missing</v>
      </c>
      <c r="E348" s="15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9.5" customHeight="1">
      <c r="A349" s="27"/>
      <c r="B349" s="213" t="s">
        <v>8512</v>
      </c>
      <c r="C349" s="183"/>
      <c r="D349" s="183"/>
      <c r="E349" s="181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9.5" customHeight="1">
      <c r="A350" s="27"/>
      <c r="B350" s="113" t="s">
        <v>8513</v>
      </c>
      <c r="C350" s="31" t="str">
        <f>CONCATENATE(prefix_portable_component,"-vm-group-","vcf-logs")</f>
        <v>flt-vm-group-vcf-logs</v>
      </c>
      <c r="D350" s="13"/>
      <c r="E350" s="15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9.5" customHeight="1">
      <c r="A351" s="27"/>
      <c r="B351" s="113" t="s">
        <v>8514</v>
      </c>
      <c r="C351" s="31" t="str">
        <f>CONCATENATE(prefix_portable_component,"-logs01a")</f>
        <v>flt-logs01a</v>
      </c>
      <c r="D351" s="13" t="str">
        <f>vvs_dr_flt_logs_nodea_hostname</f>
        <v>Value Missing</v>
      </c>
      <c r="E351" s="15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9.5" customHeight="1">
      <c r="A352" s="27"/>
      <c r="B352" s="113" t="s">
        <v>8515</v>
      </c>
      <c r="C352" s="31" t="str">
        <f>CONCATENATE(prefix_portable_component,"-logs01b")</f>
        <v>flt-logs01b</v>
      </c>
      <c r="D352" s="13" t="str">
        <f>vvs_dr_flt_logs_nodeb_hostname</f>
        <v>Value Missing</v>
      </c>
      <c r="E352" s="15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9.5" customHeight="1">
      <c r="A353" s="27"/>
      <c r="B353" s="113" t="s">
        <v>8516</v>
      </c>
      <c r="C353" s="31" t="str">
        <f>CONCATENATE(prefix_portable_component,"-logs01c")</f>
        <v>flt-logs01c</v>
      </c>
      <c r="D353" s="13" t="str">
        <f>vvs_dr_flt_logs_nodec_hostname</f>
        <v>Value Missing</v>
      </c>
      <c r="E353" s="15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9.5" customHeight="1">
      <c r="A354" s="27"/>
      <c r="B354" s="213" t="s">
        <v>8512</v>
      </c>
      <c r="C354" s="183"/>
      <c r="D354" s="183"/>
      <c r="E354" s="181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9.5" customHeight="1">
      <c r="A355" s="27"/>
      <c r="B355" s="113" t="s">
        <v>8517</v>
      </c>
      <c r="C355" s="31" t="str">
        <f>CONCATENATE(prefix_portable_component,"-vm-group-","vcf-neworks")</f>
        <v>flt-vm-group-vcf-neworks</v>
      </c>
      <c r="D355" s="13"/>
      <c r="E355" s="15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9.5" customHeight="1">
      <c r="A356" s="27"/>
      <c r="B356" s="113" t="s">
        <v>8518</v>
      </c>
      <c r="C356" s="31" t="str">
        <f>CONCATENATE(prefix_portable_component,"-net01a")</f>
        <v>flt-net01a</v>
      </c>
      <c r="D356" s="13" t="str">
        <f>vvs_dr_flt_net_nodea_hostname</f>
        <v>Value Missing</v>
      </c>
      <c r="E356" s="15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9.5" customHeight="1">
      <c r="A357" s="27"/>
      <c r="B357" s="113" t="s">
        <v>8519</v>
      </c>
      <c r="C357" s="31" t="str">
        <f>CONCATENATE(prefix_portable_component,"-net01b")</f>
        <v>flt-net01b</v>
      </c>
      <c r="D357" s="13" t="str">
        <f>vvs_dr_flt_net_nodeb_hostname</f>
        <v>Value Missing</v>
      </c>
      <c r="E357" s="15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9.5" customHeight="1">
      <c r="A358" s="27"/>
      <c r="B358" s="113" t="s">
        <v>8520</v>
      </c>
      <c r="C358" s="31" t="str">
        <f>CONCATENATE(prefix_portable_component,"-net01c")</f>
        <v>flt-net01c</v>
      </c>
      <c r="D358" s="13" t="str">
        <f>vvs_dr_flt_net_nodec_hostname</f>
        <v>Value Missing</v>
      </c>
      <c r="E358" s="15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9.5" customHeight="1">
      <c r="A359" s="27"/>
      <c r="B359" s="213" t="s">
        <v>8512</v>
      </c>
      <c r="C359" s="183"/>
      <c r="D359" s="183"/>
      <c r="E359" s="181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9.5" customHeight="1">
      <c r="A360" s="27"/>
      <c r="B360" s="113" t="s">
        <v>8521</v>
      </c>
      <c r="C360" s="31" t="s">
        <v>8522</v>
      </c>
      <c r="D360" s="13"/>
      <c r="E360" s="13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9.5" customHeight="1">
      <c r="A361" s="27"/>
      <c r="B361" s="113" t="s">
        <v>8523</v>
      </c>
      <c r="C361" s="31" t="str">
        <f>C344</f>
        <v>flt-vm-group-vcf-operations</v>
      </c>
      <c r="D361" s="13"/>
      <c r="E361" s="13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9.5" customHeight="1">
      <c r="A362" s="27"/>
      <c r="B362" s="113" t="s">
        <v>8524</v>
      </c>
      <c r="C362" s="31" t="s">
        <v>8525</v>
      </c>
      <c r="D362" s="13"/>
      <c r="E362" s="13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9.5" customHeight="1">
      <c r="A363" s="27"/>
      <c r="B363" s="113" t="s">
        <v>8526</v>
      </c>
      <c r="C363" s="31" t="s">
        <v>8527</v>
      </c>
      <c r="D363" s="13"/>
      <c r="E363" s="13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9.5" customHeight="1">
      <c r="A364" s="27"/>
      <c r="B364" s="113" t="s">
        <v>8528</v>
      </c>
      <c r="C364" s="31" t="s">
        <v>8529</v>
      </c>
      <c r="D364" s="13"/>
      <c r="E364" s="13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9.5" customHeight="1">
      <c r="A365" s="27"/>
      <c r="B365" s="113" t="s">
        <v>8524</v>
      </c>
      <c r="C365" s="31" t="s">
        <v>8525</v>
      </c>
      <c r="D365" s="13"/>
      <c r="E365" s="15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>
      <c r="A366" s="27"/>
      <c r="B366" s="119"/>
      <c r="C366" s="112"/>
      <c r="D366" s="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33.75" customHeight="1">
      <c r="A367" s="27"/>
      <c r="B367" s="218" t="s">
        <v>8530</v>
      </c>
      <c r="C367" s="183"/>
      <c r="D367" s="183"/>
      <c r="E367" s="181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>
      <c r="A368" s="27"/>
      <c r="B368" s="119"/>
      <c r="C368" s="112"/>
      <c r="D368" s="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33.75" customHeight="1">
      <c r="A369" s="27"/>
      <c r="B369" s="205" t="s">
        <v>8531</v>
      </c>
      <c r="C369" s="183"/>
      <c r="D369" s="183"/>
      <c r="E369" s="181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9.5" customHeight="1">
      <c r="A370" s="27"/>
      <c r="B370" s="202"/>
      <c r="C370" s="183"/>
      <c r="D370" s="183"/>
      <c r="E370" s="181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9.5" customHeight="1">
      <c r="A371" s="27"/>
      <c r="B371" s="102" t="s">
        <v>8389</v>
      </c>
      <c r="C371" s="103" t="s">
        <v>8390</v>
      </c>
      <c r="D371" s="103" t="s">
        <v>6943</v>
      </c>
      <c r="E371" s="103" t="s">
        <v>8181</v>
      </c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9.5" customHeight="1">
      <c r="A372" s="27"/>
      <c r="B372" s="30" t="s">
        <v>8396</v>
      </c>
      <c r="C372" s="104" t="str">
        <f>sample_vvs_dr_flt_ops_nodea_fqdn</f>
        <v>flt-ops01a.rainpole.io</v>
      </c>
      <c r="D372" s="13" t="str">
        <f>vvs_dr_flt_ops_nodea_fqdn</f>
        <v>Value Missing</v>
      </c>
      <c r="E372" s="15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9.5" customHeight="1">
      <c r="A373" s="27"/>
      <c r="B373" s="213" t="s">
        <v>8532</v>
      </c>
      <c r="C373" s="183"/>
      <c r="D373" s="183"/>
      <c r="E373" s="181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9.5" customHeight="1">
      <c r="A374" s="27"/>
      <c r="B374" s="113" t="s">
        <v>6248</v>
      </c>
      <c r="C374" s="31" t="e">
        <f>sample_mgmt_srm_recovery_vcenter_fqdn</f>
        <v>#REF!</v>
      </c>
      <c r="D374" s="13" t="str">
        <f>mgmt_srm_recovery_vcenter_fqdn</f>
        <v>Value Missing</v>
      </c>
      <c r="E374" s="15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9.5" customHeight="1">
      <c r="A375" s="27"/>
      <c r="B375" s="113" t="s">
        <v>6317</v>
      </c>
      <c r="C375" s="31" t="e">
        <f>sample_mgmt_srm_recovery_cluster</f>
        <v>#REF!</v>
      </c>
      <c r="D375" s="13" t="str">
        <f>mgmt_srm_recovery_cluster</f>
        <v>Value Missing</v>
      </c>
      <c r="E375" s="15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9.5" customHeight="1">
      <c r="A376" s="27"/>
      <c r="B376" s="113" t="s">
        <v>334</v>
      </c>
      <c r="C376" s="31" t="e">
        <f>IF(OR(flt_custom_network_chosen="NSX Overlay segment",flt_custom_network_chosen="NSX VLAN segment"),CONCATENATE(prefix_portable_component,"-m01-seg01"),IF(flt_custom_network_chosen="Dedicated Management Network",CONCATENATE(other_instance,"-m01-cl01-vds01-pg-flt-mgmt"),CONCATENATE(other_instance,"-m01-cl01-vds01-pg-vm-mgmt")))</f>
        <v>#REF!</v>
      </c>
      <c r="D376" s="130"/>
      <c r="E376" s="15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9.5" customHeight="1">
      <c r="A377" s="27"/>
      <c r="B377" s="113" t="s">
        <v>7847</v>
      </c>
      <c r="C377" s="31" t="e">
        <f>sample_mgmt_srm_recovery_datastore</f>
        <v>#REF!</v>
      </c>
      <c r="D377" s="13" t="str">
        <f>mgmt_srm_recovery_datastore</f>
        <v>Value Missing</v>
      </c>
      <c r="E377" s="15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9.5" customHeight="1">
      <c r="A378" s="27"/>
      <c r="B378" s="213" t="s">
        <v>334</v>
      </c>
      <c r="C378" s="183"/>
      <c r="D378" s="183"/>
      <c r="E378" s="181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9.5" customHeight="1">
      <c r="A379" s="27"/>
      <c r="B379" s="113" t="s">
        <v>6692</v>
      </c>
      <c r="C379" s="31" t="e">
        <f t="shared" ref="C379:C380" si="0">sample_parent_dns_zone</f>
        <v>#REF!</v>
      </c>
      <c r="D379" s="13" t="str">
        <f>vvs_dr_parent_dns_zone</f>
        <v>Value Missing</v>
      </c>
      <c r="E379" s="15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9.5" customHeight="1">
      <c r="A380" s="27"/>
      <c r="B380" s="113" t="s">
        <v>6693</v>
      </c>
      <c r="C380" s="31" t="e">
        <f t="shared" si="0"/>
        <v>#REF!</v>
      </c>
      <c r="D380" s="13" t="str">
        <f>vvs_dr_parent_dns_zone</f>
        <v>Value Missing</v>
      </c>
      <c r="E380" s="15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9.5" customHeight="1">
      <c r="A381" s="27"/>
      <c r="B381" s="113" t="s">
        <v>6694</v>
      </c>
      <c r="C381" s="31" t="e">
        <f>CONCATENATE(sample_vvs_dr_dns1_ip,",",sample_vvs_dr_dns2_ip)</f>
        <v>#REF!</v>
      </c>
      <c r="D381" s="13" t="str">
        <f>CONCATENATE(vvs_dr_dns1_ip,",",vvs_dr_dns2_ip)</f>
        <v>Value Missing,Value Missing</v>
      </c>
      <c r="E381" s="15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9.5" customHeight="1">
      <c r="A382" s="27"/>
      <c r="B382" s="113" t="s">
        <v>6698</v>
      </c>
      <c r="C382" s="31" t="e">
        <f>IF(flt_custom_network_chosen="Shared Management Network",IF(mgmt_dpg_reuse_result="Included",CONCATENATE(prefix_mgmt_az1_cidr,"10.1"),CONCATENATE(prefix_mgmt_az1_cidr,"11.1")),IF(flt_custom_network_chosen="NSX Overlay Segment",CONCATENATE(prefix_xreg_cidr,".1"),CONCATENATE(prefix_flt_shared_cidr,".1")))</f>
        <v>#REF!</v>
      </c>
      <c r="D382" s="13"/>
      <c r="E382" s="15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9.5" customHeight="1">
      <c r="A383" s="27"/>
      <c r="B383" s="113" t="s">
        <v>6699</v>
      </c>
      <c r="C383" s="31" t="s">
        <v>6420</v>
      </c>
      <c r="D383" s="13"/>
      <c r="E383" s="15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9.5" customHeight="1">
      <c r="A384" s="27"/>
      <c r="B384" s="213" t="s">
        <v>8406</v>
      </c>
      <c r="C384" s="183"/>
      <c r="D384" s="183"/>
      <c r="E384" s="181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9.5" customHeight="1">
      <c r="A385" s="27"/>
      <c r="B385" s="113" t="s">
        <v>6716</v>
      </c>
      <c r="C385" s="44" t="e">
        <f>sample_flt_vidb_vip_fqdn</f>
        <v>#REF!</v>
      </c>
      <c r="D385" s="13"/>
      <c r="E385" s="15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9.5" customHeight="1">
      <c r="A386" s="27"/>
      <c r="B386" s="113" t="s">
        <v>8533</v>
      </c>
      <c r="C386" s="44" t="e">
        <f>sample_flt_vidb_cert_alias</f>
        <v>#NAME?</v>
      </c>
      <c r="D386" s="13"/>
      <c r="E386" s="15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9.5" customHeight="1">
      <c r="A387" s="27"/>
      <c r="B387" s="113" t="s">
        <v>8534</v>
      </c>
      <c r="C387" s="132" t="e">
        <f>sample_flt_vidb_password_alias</f>
        <v>#NAME?</v>
      </c>
      <c r="D387" s="13"/>
      <c r="E387" s="15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9.5" customHeight="1">
      <c r="A388" s="27"/>
      <c r="B388" s="113" t="s">
        <v>8535</v>
      </c>
      <c r="C388" s="44" t="e">
        <f>sample_flt_vidb_vip_fqdn</f>
        <v>#REF!</v>
      </c>
      <c r="D388" s="13"/>
      <c r="E388" s="15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9.5" customHeight="1">
      <c r="A389" s="27"/>
      <c r="B389" s="113" t="s">
        <v>6720</v>
      </c>
      <c r="C389" s="44" t="e">
        <f>sample_flt_vidb_node_prefix</f>
        <v>#NAME?</v>
      </c>
      <c r="D389" s="13"/>
      <c r="E389" s="15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9.5" customHeight="1">
      <c r="A390" s="27"/>
      <c r="B390" s="113" t="s">
        <v>6732</v>
      </c>
      <c r="C390" s="44" t="s">
        <v>8536</v>
      </c>
      <c r="D390" s="13"/>
      <c r="E390" s="15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9.5" customHeight="1">
      <c r="A391" s="27"/>
      <c r="B391" s="113" t="s">
        <v>6723</v>
      </c>
      <c r="C391" s="31" t="e">
        <f>IF(flt_custom_network_chosen="Shared Management Network",IF(mgmt_dpg_reuse_result="Included",CONCATENATE(prefix_mgmt_az1_cidr,"20.16"),CONCATENATE(prefix_mgmt_az1_cidr,"20.16")),IF(flt_custom_network_chosen="NSX Overlay Segment",CONCATENATE(prefix_xreg_cidr,".60"),CONCATENATE(prefix_flt_shared_cidr,".16")))</f>
        <v>#REF!</v>
      </c>
      <c r="D391" s="13"/>
      <c r="E391" s="15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9.5" customHeight="1">
      <c r="A392" s="27"/>
      <c r="B392" s="113" t="s">
        <v>8537</v>
      </c>
      <c r="C392" s="31" t="e">
        <f>CONCATENATE(IF(flt_custom_network_chosen="Shared Management Network",IF(mgmt_dpg_reuse_result="Included",CONCATENATE(prefix_mgmt_az1_cidr,"20.53"),CONCATENATE(prefix_mgmt_az1_cidr,"20.53")),IF(flt_custom_network_chosen="NSX Overlay Segment",CONCATENATE(prefix_xreg_cidr,".53"),CONCATENATE(prefix_flt_shared_cidr,".53"))),"-",IF(flt_custom_network_chosen="Shared Management Network",IF(mgmt_dpg_reuse_result="Included",CONCATENATE(prefix_mgmt_az1_cidr,"20.56"),CONCATENATE(prefix_mgmt_az1_cidr,"20.56")),IF(flt_custom_network_chosen="NSX Overlay Segment",CONCATENATE(prefix_xreg_cidr,".56"),CONCATENATE(prefix_flt_shared_cidr,".56"))))</f>
        <v>#REF!</v>
      </c>
      <c r="D392" s="13"/>
      <c r="E392" s="15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>
      <c r="A393" s="27"/>
      <c r="B393" s="119"/>
      <c r="C393" s="27"/>
      <c r="D393" s="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33.75" customHeight="1">
      <c r="A394" s="133"/>
      <c r="B394" s="226" t="s">
        <v>8538</v>
      </c>
      <c r="C394" s="183"/>
      <c r="D394" s="183"/>
      <c r="E394" s="181"/>
      <c r="F394" s="133"/>
      <c r="G394" s="133"/>
      <c r="H394" s="133"/>
      <c r="I394" s="133"/>
      <c r="J394" s="133"/>
      <c r="K394" s="133"/>
      <c r="L394" s="133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9.5" customHeight="1">
      <c r="A395" s="27"/>
      <c r="B395" s="202"/>
      <c r="C395" s="183"/>
      <c r="D395" s="183"/>
      <c r="E395" s="181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9.5" customHeight="1">
      <c r="A396" s="133"/>
      <c r="B396" s="102" t="s">
        <v>8389</v>
      </c>
      <c r="C396" s="103" t="s">
        <v>8390</v>
      </c>
      <c r="D396" s="103" t="s">
        <v>6943</v>
      </c>
      <c r="E396" s="103" t="s">
        <v>8181</v>
      </c>
      <c r="F396" s="133"/>
      <c r="G396" s="133"/>
      <c r="H396" s="133"/>
      <c r="I396" s="133"/>
      <c r="J396" s="133"/>
      <c r="K396" s="133"/>
      <c r="L396" s="133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9.5" customHeight="1">
      <c r="A397" s="133"/>
      <c r="B397" s="30" t="s">
        <v>8396</v>
      </c>
      <c r="C397" s="104" t="str">
        <f>sample_vvs_dr_flt_ops_nodea_fqdn</f>
        <v>flt-ops01a.rainpole.io</v>
      </c>
      <c r="D397" s="130" t="str">
        <f>vvs_dr_flt_ops_nodea_fqdn</f>
        <v>Value Missing</v>
      </c>
      <c r="E397" s="134"/>
      <c r="F397" s="133"/>
      <c r="G397" s="133"/>
      <c r="H397" s="133"/>
      <c r="I397" s="133"/>
      <c r="J397" s="133"/>
      <c r="K397" s="133"/>
      <c r="L397" s="133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9.5" customHeight="1">
      <c r="A398" s="133"/>
      <c r="B398" s="227" t="s">
        <v>8532</v>
      </c>
      <c r="C398" s="183"/>
      <c r="D398" s="183"/>
      <c r="E398" s="181"/>
      <c r="F398" s="133"/>
      <c r="G398" s="133"/>
      <c r="H398" s="133"/>
      <c r="I398" s="133"/>
      <c r="J398" s="133"/>
      <c r="K398" s="133"/>
      <c r="L398" s="133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9.5" customHeight="1">
      <c r="A399" s="133"/>
      <c r="B399" s="135" t="s">
        <v>6248</v>
      </c>
      <c r="C399" s="31" t="s">
        <v>8539</v>
      </c>
      <c r="D399" s="130" t="str">
        <f>mgmt_srm_recovery_vcenter_fqdn</f>
        <v>Value Missing</v>
      </c>
      <c r="E399" s="134"/>
      <c r="F399" s="133"/>
      <c r="G399" s="133"/>
      <c r="H399" s="133"/>
      <c r="I399" s="133"/>
      <c r="J399" s="133"/>
      <c r="K399" s="133"/>
      <c r="L399" s="133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9.5" customHeight="1">
      <c r="A400" s="133"/>
      <c r="B400" s="135" t="s">
        <v>6317</v>
      </c>
      <c r="C400" s="31" t="s">
        <v>8540</v>
      </c>
      <c r="D400" s="130" t="str">
        <f>mgmt_srm_recovery_cluster</f>
        <v>Value Missing</v>
      </c>
      <c r="E400" s="134"/>
      <c r="F400" s="133"/>
      <c r="G400" s="133"/>
      <c r="H400" s="133"/>
      <c r="I400" s="133"/>
      <c r="J400" s="133"/>
      <c r="K400" s="133"/>
      <c r="L400" s="133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9.5" customHeight="1">
      <c r="A401" s="133"/>
      <c r="B401" s="135" t="s">
        <v>334</v>
      </c>
      <c r="C401" s="31" t="e">
        <f>sample_mgmt_srm_recovery_pg</f>
        <v>#REF!</v>
      </c>
      <c r="D401" s="130" t="str">
        <f t="array" ref="D401">mgmt_srm_recovery_pg</f>
        <v>Value Missing</v>
      </c>
      <c r="E401" s="134"/>
      <c r="F401" s="133"/>
      <c r="G401" s="133"/>
      <c r="H401" s="133"/>
      <c r="I401" s="133"/>
      <c r="J401" s="133"/>
      <c r="K401" s="133"/>
      <c r="L401" s="133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9.5" customHeight="1">
      <c r="A402" s="133"/>
      <c r="B402" s="135" t="s">
        <v>7847</v>
      </c>
      <c r="C402" s="31" t="s">
        <v>8541</v>
      </c>
      <c r="D402" s="130" t="str">
        <f>mgmt_srm_recovery_datastore</f>
        <v>Value Missing</v>
      </c>
      <c r="E402" s="134"/>
      <c r="F402" s="133"/>
      <c r="G402" s="133"/>
      <c r="H402" s="133"/>
      <c r="I402" s="133"/>
      <c r="J402" s="133"/>
      <c r="K402" s="133"/>
      <c r="L402" s="133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9.5" customHeight="1">
      <c r="A403" s="133"/>
      <c r="B403" s="227" t="s">
        <v>334</v>
      </c>
      <c r="C403" s="183"/>
      <c r="D403" s="183"/>
      <c r="E403" s="181"/>
      <c r="F403" s="133"/>
      <c r="G403" s="133"/>
      <c r="H403" s="133"/>
      <c r="I403" s="133"/>
      <c r="J403" s="133"/>
      <c r="K403" s="133"/>
      <c r="L403" s="133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9.5" customHeight="1">
      <c r="A404" s="133"/>
      <c r="B404" s="135" t="s">
        <v>6692</v>
      </c>
      <c r="C404" s="31" t="s">
        <v>7153</v>
      </c>
      <c r="D404" s="13" t="str">
        <f>vvs_dr_parent_dns_zone</f>
        <v>Value Missing</v>
      </c>
      <c r="E404" s="134"/>
      <c r="F404" s="133"/>
      <c r="G404" s="133"/>
      <c r="H404" s="133"/>
      <c r="I404" s="133"/>
      <c r="J404" s="133"/>
      <c r="K404" s="133"/>
      <c r="L404" s="133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9.5" customHeight="1">
      <c r="A405" s="133"/>
      <c r="B405" s="135" t="s">
        <v>6693</v>
      </c>
      <c r="C405" s="31" t="s">
        <v>7153</v>
      </c>
      <c r="D405" s="13" t="str">
        <f>vvs_dr_parent_dns_zone</f>
        <v>Value Missing</v>
      </c>
      <c r="E405" s="134"/>
      <c r="F405" s="133"/>
      <c r="G405" s="133"/>
      <c r="H405" s="133"/>
      <c r="I405" s="133"/>
      <c r="J405" s="133"/>
      <c r="K405" s="133"/>
      <c r="L405" s="133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9.5" customHeight="1">
      <c r="A406" s="133"/>
      <c r="B406" s="135" t="s">
        <v>6694</v>
      </c>
      <c r="C406" s="31" t="e">
        <f>CONCATENATE(sample_vvs_dr_dns1_ip,",",sample_vvs_dr_dns2_ip)</f>
        <v>#REF!</v>
      </c>
      <c r="D406" s="13" t="str">
        <f>CONCATENATE(vvs_dr_dns1_ip,",",vvs_dr_dns2_ip)</f>
        <v>Value Missing,Value Missing</v>
      </c>
      <c r="E406" s="134"/>
      <c r="F406" s="133"/>
      <c r="G406" s="133"/>
      <c r="H406" s="133"/>
      <c r="I406" s="133"/>
      <c r="J406" s="133"/>
      <c r="K406" s="133"/>
      <c r="L406" s="133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9.5" customHeight="1">
      <c r="A407" s="133"/>
      <c r="B407" s="135" t="s">
        <v>6698</v>
      </c>
      <c r="C407" s="31" t="e">
        <f>IF(flt_custom_network_chosen="Shared Management Network",IF(mgmt_dpg_reuse_result="Included",CONCATENATE(prefix_mgmt_az1_cidr,"20.1"),CONCATENATE(prefix_mgmt_az1_cidr,"20.1")),IF(flt_custom_network_chosen="NSX Overlay Segment",CONCATENATE(prefix_xreg_cidr,".1"),CONCATENATE(prefix_flt_shared_cidr,".1")))</f>
        <v>#REF!</v>
      </c>
      <c r="D407" s="130"/>
      <c r="E407" s="134"/>
      <c r="F407" s="133"/>
      <c r="G407" s="133"/>
      <c r="H407" s="133"/>
      <c r="I407" s="133"/>
      <c r="J407" s="133"/>
      <c r="K407" s="133"/>
      <c r="L407" s="133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9.5" customHeight="1">
      <c r="A408" s="133"/>
      <c r="B408" s="135" t="s">
        <v>6699</v>
      </c>
      <c r="C408" s="31" t="str">
        <f>sample_mgmt_srm_recovery_mask</f>
        <v>255.255.255.0</v>
      </c>
      <c r="D408" s="130" t="str">
        <f>mgmt_srm_recovery_mask</f>
        <v>Value Missing</v>
      </c>
      <c r="E408" s="134"/>
      <c r="F408" s="133"/>
      <c r="G408" s="133"/>
      <c r="H408" s="133"/>
      <c r="I408" s="133"/>
      <c r="J408" s="133"/>
      <c r="K408" s="133"/>
      <c r="L408" s="133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9.5" customHeight="1">
      <c r="A409" s="133"/>
      <c r="B409" s="227" t="s">
        <v>8406</v>
      </c>
      <c r="C409" s="183"/>
      <c r="D409" s="183"/>
      <c r="E409" s="181"/>
      <c r="F409" s="133"/>
      <c r="G409" s="133"/>
      <c r="H409" s="133"/>
      <c r="I409" s="133"/>
      <c r="J409" s="133"/>
      <c r="K409" s="133"/>
      <c r="L409" s="133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9.5" customHeight="1">
      <c r="A410" s="133"/>
      <c r="B410" s="135" t="s">
        <v>6716</v>
      </c>
      <c r="C410" s="44" t="e">
        <f>sample_vcf_automation_vip_fqdn</f>
        <v>#REF!</v>
      </c>
      <c r="D410" s="130"/>
      <c r="E410" s="134"/>
      <c r="F410" s="133"/>
      <c r="G410" s="133"/>
      <c r="H410" s="133"/>
      <c r="I410" s="133"/>
      <c r="J410" s="133"/>
      <c r="K410" s="133"/>
      <c r="L410" s="133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9.5" customHeight="1">
      <c r="A411" s="133"/>
      <c r="B411" s="135" t="s">
        <v>8533</v>
      </c>
      <c r="C411" s="44" t="str">
        <f>sample_vcf_automation_cert_alias</f>
        <v>flt-auto01-cert</v>
      </c>
      <c r="D411" s="130"/>
      <c r="E411" s="134"/>
      <c r="F411" s="133"/>
      <c r="G411" s="133"/>
      <c r="H411" s="133"/>
      <c r="I411" s="133"/>
      <c r="J411" s="133"/>
      <c r="K411" s="133"/>
      <c r="L411" s="133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9.5" customHeight="1">
      <c r="A412" s="133"/>
      <c r="B412" s="135" t="s">
        <v>8534</v>
      </c>
      <c r="C412" s="132" t="str">
        <f>sample_vcf_automation_root_password_alias</f>
        <v>flt-auto01-password</v>
      </c>
      <c r="D412" s="130"/>
      <c r="E412" s="134"/>
      <c r="F412" s="133"/>
      <c r="G412" s="133"/>
      <c r="H412" s="133"/>
      <c r="I412" s="133"/>
      <c r="J412" s="133"/>
      <c r="K412" s="133"/>
      <c r="L412" s="133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9.5" customHeight="1">
      <c r="A413" s="133"/>
      <c r="B413" s="135" t="s">
        <v>8535</v>
      </c>
      <c r="C413" s="44" t="e">
        <f>sample_vcf_automation_vip_fqdn</f>
        <v>#REF!</v>
      </c>
      <c r="D413" s="130"/>
      <c r="E413" s="134"/>
      <c r="F413" s="133"/>
      <c r="G413" s="133"/>
      <c r="H413" s="133"/>
      <c r="I413" s="133"/>
      <c r="J413" s="133"/>
      <c r="K413" s="133"/>
      <c r="L413" s="133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9.5" customHeight="1">
      <c r="A414" s="133"/>
      <c r="B414" s="135" t="s">
        <v>6718</v>
      </c>
      <c r="C414" s="44" t="s">
        <v>6719</v>
      </c>
      <c r="D414" s="130"/>
      <c r="E414" s="134"/>
      <c r="F414" s="133"/>
      <c r="G414" s="133"/>
      <c r="H414" s="133"/>
      <c r="I414" s="133"/>
      <c r="J414" s="133"/>
      <c r="K414" s="133"/>
      <c r="L414" s="133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9.5" customHeight="1">
      <c r="A415" s="133"/>
      <c r="B415" s="135" t="s">
        <v>6720</v>
      </c>
      <c r="C415" s="44" t="str">
        <f>CONCATENATE(prefix_portable_component,"-auto")</f>
        <v>flt-auto</v>
      </c>
      <c r="D415" s="130"/>
      <c r="E415" s="134"/>
      <c r="F415" s="133"/>
      <c r="G415" s="133"/>
      <c r="H415" s="133"/>
      <c r="I415" s="133"/>
      <c r="J415" s="133"/>
      <c r="K415" s="133"/>
      <c r="L415" s="133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9.5" customHeight="1">
      <c r="A416" s="133"/>
      <c r="B416" s="135" t="s">
        <v>6723</v>
      </c>
      <c r="C416" s="31" t="e">
        <f>IF(flt_custom_network_chosen="Shared Management Network",IF(mgmt_dpg_reuse_result="Included",CONCATENATE(prefix_mgmt_az1_cidr,"20.17"),CONCATENATE(prefix_mgmt_az1_cidr,"20.17")),IF(flt_custom_network_chosen="NSX Overlay Segment",CONCATENATE(prefix_xreg_cidr,".17"),CONCATENATE(prefix_flt_shared_cidr,".17")))</f>
        <v>#REF!</v>
      </c>
      <c r="D416" s="130"/>
      <c r="E416" s="134"/>
      <c r="F416" s="133"/>
      <c r="G416" s="133"/>
      <c r="H416" s="133"/>
      <c r="I416" s="133"/>
      <c r="J416" s="133"/>
      <c r="K416" s="133"/>
      <c r="L416" s="133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9.5" customHeight="1">
      <c r="A417" s="133"/>
      <c r="B417" s="135" t="s">
        <v>6732</v>
      </c>
      <c r="C417" s="44" t="s">
        <v>8536</v>
      </c>
      <c r="D417" s="130"/>
      <c r="E417" s="134"/>
      <c r="F417" s="133"/>
      <c r="G417" s="133"/>
      <c r="H417" s="133"/>
      <c r="I417" s="133"/>
      <c r="J417" s="133"/>
      <c r="K417" s="133"/>
      <c r="L417" s="133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9.5" customHeight="1">
      <c r="A418" s="133"/>
      <c r="B418" s="135" t="s">
        <v>8537</v>
      </c>
      <c r="C418" s="31" t="e">
        <f>CONCATENATE(IF(flt_custom_network_chosen="Shared Management Network",IF(mgmt_dpg_reuse_result="Included",CONCATENATE(prefix_mgmt_az1_cidr,"20.40"),CONCATENATE(prefix_mgmt_az1_cidr,"20.40")),IF(flt_custom_network_chosen="NSX Overlay Segment",CONCATENATE(prefix_xreg_cidr,".40"),CONCATENATE(prefix_flt_shared_cidr,".40"))),"-",IF(flt_custom_network_chosen="Shared Management Network",IF(mgmt_dpg_reuse_result="Included",CONCATENATE(prefix_mgmt_az1_cidr,"20.45"),CONCATENATE(prefix_mgmt_az1_cidr,"20.45")),IF(flt_custom_network_chosen="NSX Overlay Segment",CONCATENATE(prefix_xreg_cidr,".45"),CONCATENATE(prefix_flt_shared_cidr,".45"))))</f>
        <v>#REF!</v>
      </c>
      <c r="D418" s="130"/>
      <c r="E418" s="134"/>
      <c r="F418" s="133"/>
      <c r="G418" s="133"/>
      <c r="H418" s="133"/>
      <c r="I418" s="133"/>
      <c r="J418" s="133"/>
      <c r="K418" s="133"/>
      <c r="L418" s="133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>
      <c r="A419" s="27"/>
      <c r="B419" s="119"/>
      <c r="C419" s="27"/>
      <c r="D419" s="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33.75" customHeight="1">
      <c r="A420" s="27"/>
      <c r="B420" s="205" t="s">
        <v>8542</v>
      </c>
      <c r="C420" s="183"/>
      <c r="D420" s="183"/>
      <c r="E420" s="181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9.5" customHeight="1">
      <c r="A421" s="27"/>
      <c r="B421" s="202"/>
      <c r="C421" s="183"/>
      <c r="D421" s="183"/>
      <c r="E421" s="181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9.5" customHeight="1">
      <c r="A422" s="27"/>
      <c r="B422" s="102" t="s">
        <v>8389</v>
      </c>
      <c r="C422" s="103" t="s">
        <v>8390</v>
      </c>
      <c r="D422" s="103" t="s">
        <v>6943</v>
      </c>
      <c r="E422" s="103" t="s">
        <v>8181</v>
      </c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9.5" customHeight="1">
      <c r="A423" s="27"/>
      <c r="B423" s="30" t="s">
        <v>8396</v>
      </c>
      <c r="C423" s="104" t="str">
        <f>sample_vvs_dr_flt_ops_nodea_fqdn</f>
        <v>flt-ops01a.rainpole.io</v>
      </c>
      <c r="D423" s="130" t="str">
        <f>vvs_dr_flt_ops_nodea_fqdn</f>
        <v>Value Missing</v>
      </c>
      <c r="E423" s="15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9.5" customHeight="1">
      <c r="A424" s="27"/>
      <c r="B424" s="213" t="s">
        <v>8532</v>
      </c>
      <c r="C424" s="183"/>
      <c r="D424" s="183"/>
      <c r="E424" s="181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9.5" customHeight="1">
      <c r="A425" s="27"/>
      <c r="B425" s="113" t="s">
        <v>6248</v>
      </c>
      <c r="C425" s="31" t="e">
        <f>sample_mgmt_srm_recovery_vcenter_fqdn</f>
        <v>#REF!</v>
      </c>
      <c r="D425" s="13" t="str">
        <f>mgmt_srm_recovery_vcenter_fqdn</f>
        <v>Value Missing</v>
      </c>
      <c r="E425" s="15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9.5" customHeight="1">
      <c r="A426" s="27"/>
      <c r="B426" s="113" t="s">
        <v>6317</v>
      </c>
      <c r="C426" s="31" t="e">
        <f>sample_mgmt_srm_recovery_cluster</f>
        <v>#REF!</v>
      </c>
      <c r="D426" s="13" t="str">
        <f>mgmt_srm_recovery_cluster</f>
        <v>Value Missing</v>
      </c>
      <c r="E426" s="15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9.5" customHeight="1">
      <c r="A427" s="27"/>
      <c r="B427" s="113" t="s">
        <v>334</v>
      </c>
      <c r="C427" s="31" t="e">
        <f>sample_mgmt_srm_recovery_pg</f>
        <v>#REF!</v>
      </c>
      <c r="D427" s="13" t="str">
        <f t="array" ref="D427">mgmt_srm_recovery_pg</f>
        <v>Value Missing</v>
      </c>
      <c r="E427" s="15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9.5" customHeight="1">
      <c r="A428" s="27"/>
      <c r="B428" s="113" t="s">
        <v>7847</v>
      </c>
      <c r="C428" s="31" t="e">
        <f>sample_mgmt_srm_recovery_datastore</f>
        <v>#REF!</v>
      </c>
      <c r="D428" s="13" t="str">
        <f>mgmt_srm_recovery_datastore</f>
        <v>Value Missing</v>
      </c>
      <c r="E428" s="15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9.5" customHeight="1">
      <c r="A429" s="27"/>
      <c r="B429" s="213" t="s">
        <v>334</v>
      </c>
      <c r="C429" s="183"/>
      <c r="D429" s="183"/>
      <c r="E429" s="181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9.5" customHeight="1">
      <c r="A430" s="27"/>
      <c r="B430" s="113" t="s">
        <v>6692</v>
      </c>
      <c r="C430" s="31" t="e">
        <f t="shared" ref="C430:C431" si="1">sample_parent_dns_zone</f>
        <v>#REF!</v>
      </c>
      <c r="D430" s="13" t="str">
        <f>vvs_dr_parent_dns_zone</f>
        <v>Value Missing</v>
      </c>
      <c r="E430" s="15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9.5" customHeight="1">
      <c r="A431" s="27"/>
      <c r="B431" s="113" t="s">
        <v>6693</v>
      </c>
      <c r="C431" s="31" t="e">
        <f t="shared" si="1"/>
        <v>#REF!</v>
      </c>
      <c r="D431" s="13" t="str">
        <f>vvs_dr_parent_dns_zone</f>
        <v>Value Missing</v>
      </c>
      <c r="E431" s="15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9.5" customHeight="1">
      <c r="A432" s="27"/>
      <c r="B432" s="113" t="s">
        <v>6694</v>
      </c>
      <c r="C432" s="31" t="e">
        <f>CONCATENATE(sample_vvs_dr_dns1_ip,",",sample_vvs_dr_dns2_ip)</f>
        <v>#REF!</v>
      </c>
      <c r="D432" s="13" t="str">
        <f>CONCATENATE(vvs_dr_dns1_ip,",",vvs_dr_dns2_ip)</f>
        <v>Value Missing,Value Missing</v>
      </c>
      <c r="E432" s="15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9.5" customHeight="1">
      <c r="A433" s="27"/>
      <c r="B433" s="113" t="s">
        <v>6698</v>
      </c>
      <c r="C433" s="31" t="e">
        <f>IF(flt_custom_network_chosen="Shared Management Network",IF(mgmt_dpg_reuse_result="Included",CONCATENATE(prefix_mgmt_az1_cidr,"20.1"),CONCATENATE(prefix_mgmt_az1_cidr,"21.1")),IF(flt_custom_network_chosen="NSX Overlay Segment",CONCATENATE(prefix_xreg_cidr,".1"),CONCATENATE(prefix_flt_shared_cidr,".1")))</f>
        <v>#REF!</v>
      </c>
      <c r="D433" s="13"/>
      <c r="E433" s="15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9.5" customHeight="1">
      <c r="A434" s="27"/>
      <c r="B434" s="113" t="s">
        <v>6699</v>
      </c>
      <c r="C434" s="31" t="s">
        <v>6420</v>
      </c>
      <c r="D434" s="13" t="str">
        <f>mgmt_srm_recovery_mask</f>
        <v>Value Missing</v>
      </c>
      <c r="E434" s="15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9.5" customHeight="1">
      <c r="A435" s="27"/>
      <c r="B435" s="213" t="s">
        <v>8406</v>
      </c>
      <c r="C435" s="183"/>
      <c r="D435" s="183"/>
      <c r="E435" s="181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9.5" customHeight="1">
      <c r="A436" s="27"/>
      <c r="B436" s="113" t="s">
        <v>6716</v>
      </c>
      <c r="C436" s="44" t="e">
        <f>sample_flt_vidb_vip_fqdn</f>
        <v>#REF!</v>
      </c>
      <c r="D436" s="13"/>
      <c r="E436" s="15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9.5" customHeight="1">
      <c r="A437" s="27"/>
      <c r="B437" s="113" t="s">
        <v>8533</v>
      </c>
      <c r="C437" s="44" t="e">
        <f>sample_flt_vidb_cert_alias</f>
        <v>#NAME?</v>
      </c>
      <c r="D437" s="13"/>
      <c r="E437" s="15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9.5" customHeight="1">
      <c r="A438" s="27"/>
      <c r="B438" s="113" t="s">
        <v>8534</v>
      </c>
      <c r="C438" s="132" t="e">
        <f>sample_flt_vidb_password_alias</f>
        <v>#NAME?</v>
      </c>
      <c r="D438" s="13"/>
      <c r="E438" s="15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9.5" customHeight="1">
      <c r="A439" s="27"/>
      <c r="B439" s="113" t="s">
        <v>8535</v>
      </c>
      <c r="C439" s="44" t="e">
        <f>sample_flt_vidb_vip_fqdn</f>
        <v>#REF!</v>
      </c>
      <c r="D439" s="13"/>
      <c r="E439" s="15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9.5" customHeight="1">
      <c r="A440" s="27"/>
      <c r="B440" s="113" t="s">
        <v>6720</v>
      </c>
      <c r="C440" s="44" t="e">
        <f>sample_flt_vidb_node_prefix</f>
        <v>#NAME?</v>
      </c>
      <c r="D440" s="13"/>
      <c r="E440" s="15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9.5" customHeight="1">
      <c r="A441" s="27"/>
      <c r="B441" s="113" t="s">
        <v>6732</v>
      </c>
      <c r="C441" s="44" t="s">
        <v>6733</v>
      </c>
      <c r="D441" s="13"/>
      <c r="E441" s="15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9.5" customHeight="1">
      <c r="A442" s="27"/>
      <c r="B442" s="113" t="s">
        <v>6723</v>
      </c>
      <c r="C442" s="31" t="e">
        <f>IF(flt_custom_network_chosen="Shared Management Network",IF(mgmt_dpg_reuse_result="Included",CONCATENATE(prefix_mgmt_az1_cidr,"20.16"),CONCATENATE(prefix_mgmt_az1_cidr,"20.16")),IF(flt_custom_network_chosen="NSX Overlay Segment",CONCATENATE(prefix_xreg_cidr,".16"),CONCATENATE(prefix_flt_shared_cidr,".16")))</f>
        <v>#REF!</v>
      </c>
      <c r="D442" s="13"/>
      <c r="E442" s="15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9.5" customHeight="1">
      <c r="A443" s="27"/>
      <c r="B443" s="113" t="s">
        <v>8537</v>
      </c>
      <c r="C443" s="31" t="e">
        <f>CONCATENATE(IF(flt_custom_network_chosen="Shared Management Network",IF(mgmt_dpg_reuse_result="Included",CONCATENATE(prefix_mgmt_az1_cidr,"20.53"),CONCATENATE(prefix_mgmt_az1_cidr,"20.53")),IF(flt_custom_network_chosen="NSX Overlay Segment",CONCATENATE(prefix_xreg_cidr,".53"),CONCATENATE(prefix_flt_shared_cidr,".53"))),"-",IF(flt_custom_network_chosen="Shared Management Network",IF(mgmt_dpg_reuse_result="Included",CONCATENATE(prefix_mgmt_az1_cidr,"20.56"),CONCATENATE(prefix_mgmt_az1_cidr,"20.56")),IF(flt_custom_network_chosen="NSX Overlay Segment",CONCATENATE(prefix_xreg_cidr,".56"),CONCATENATE(prefix_flt_shared_cidr,".56"))))</f>
        <v>#REF!</v>
      </c>
      <c r="D443" s="13"/>
      <c r="E443" s="15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>
      <c r="A444" s="27"/>
      <c r="B444" s="119"/>
      <c r="C444" s="27"/>
      <c r="D444" s="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33.75" customHeight="1">
      <c r="A445" s="27"/>
      <c r="B445" s="226" t="s">
        <v>8543</v>
      </c>
      <c r="C445" s="183"/>
      <c r="D445" s="183"/>
      <c r="E445" s="181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9.5" customHeight="1">
      <c r="A446" s="27"/>
      <c r="B446" s="202"/>
      <c r="C446" s="183"/>
      <c r="D446" s="183"/>
      <c r="E446" s="181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9.5" customHeight="1">
      <c r="A447" s="27"/>
      <c r="B447" s="102" t="s">
        <v>8389</v>
      </c>
      <c r="C447" s="103" t="s">
        <v>8390</v>
      </c>
      <c r="D447" s="103" t="s">
        <v>6943</v>
      </c>
      <c r="E447" s="103" t="s">
        <v>8181</v>
      </c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9.5" customHeight="1">
      <c r="A448" s="27"/>
      <c r="B448" s="135" t="s">
        <v>8405</v>
      </c>
      <c r="C448" s="104" t="str">
        <f>sample_vvs_dr_flt_ops_nodea_fqdn</f>
        <v>flt-ops01a.rainpole.io</v>
      </c>
      <c r="D448" s="130" t="str">
        <f>vvs_dr_flt_ops_nodea_fqdn</f>
        <v>Value Missing</v>
      </c>
      <c r="E448" s="134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9.5" customHeight="1">
      <c r="A449" s="27"/>
      <c r="B449" s="228" t="s">
        <v>8532</v>
      </c>
      <c r="C449" s="183"/>
      <c r="D449" s="183"/>
      <c r="E449" s="181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9.5" customHeight="1">
      <c r="A450" s="27"/>
      <c r="B450" s="135" t="s">
        <v>6248</v>
      </c>
      <c r="C450" s="31" t="s">
        <v>8539</v>
      </c>
      <c r="D450" s="13" t="str">
        <f>mgmt_srm_recovery_vcenter_fqdn</f>
        <v>Value Missing</v>
      </c>
      <c r="E450" s="134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9.5" customHeight="1">
      <c r="A451" s="27"/>
      <c r="B451" s="135" t="s">
        <v>6317</v>
      </c>
      <c r="C451" s="31" t="s">
        <v>8540</v>
      </c>
      <c r="D451" s="13" t="str">
        <f>mgmt_srm_recovery_cluster</f>
        <v>Value Missing</v>
      </c>
      <c r="E451" s="134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9.5" customHeight="1">
      <c r="A452" s="27"/>
      <c r="B452" s="135" t="s">
        <v>334</v>
      </c>
      <c r="C452" s="31" t="e">
        <f>sample_mgmt_srm_recovery_pg</f>
        <v>#REF!</v>
      </c>
      <c r="D452" s="13" t="str">
        <f t="array" ref="D452">mgmt_srm_recovery_pg</f>
        <v>Value Missing</v>
      </c>
      <c r="E452" s="134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9.5" customHeight="1">
      <c r="A453" s="27"/>
      <c r="B453" s="135" t="s">
        <v>7847</v>
      </c>
      <c r="C453" s="31" t="s">
        <v>8541</v>
      </c>
      <c r="D453" s="13" t="str">
        <f>mgmt_srm_recovery_datastore</f>
        <v>Value Missing</v>
      </c>
      <c r="E453" s="134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9.5" customHeight="1">
      <c r="A454" s="27"/>
      <c r="B454" s="228" t="s">
        <v>334</v>
      </c>
      <c r="C454" s="183"/>
      <c r="D454" s="183"/>
      <c r="E454" s="181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9.5" customHeight="1">
      <c r="A455" s="27"/>
      <c r="B455" s="135" t="s">
        <v>6692</v>
      </c>
      <c r="C455" s="31" t="s">
        <v>7153</v>
      </c>
      <c r="D455" s="130" t="str">
        <f>vvs_dr_parent_dns_zone</f>
        <v>Value Missing</v>
      </c>
      <c r="E455" s="134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9.5" customHeight="1">
      <c r="A456" s="27"/>
      <c r="B456" s="135" t="s">
        <v>6693</v>
      </c>
      <c r="C456" s="31" t="s">
        <v>7153</v>
      </c>
      <c r="D456" s="130" t="str">
        <f>vvs_dr_parent_dns_zone</f>
        <v>Value Missing</v>
      </c>
      <c r="E456" s="134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9.5" customHeight="1">
      <c r="A457" s="27"/>
      <c r="B457" s="135" t="s">
        <v>6694</v>
      </c>
      <c r="C457" s="31" t="e">
        <f>CONCATENATE(sample_vvs_dr_dns1_ip,",",sample_vvs_dr_dns2_ip)</f>
        <v>#REF!</v>
      </c>
      <c r="D457" s="13" t="str">
        <f>CONCATENATE(vvs_dr_dns1_ip,",",vvs_dr_dns2_ip)</f>
        <v>Value Missing,Value Missing</v>
      </c>
      <c r="E457" s="134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9.5" customHeight="1">
      <c r="A458" s="27"/>
      <c r="B458" s="135" t="s">
        <v>6698</v>
      </c>
      <c r="C458" s="31" t="e">
        <f>IF(flt_custom_network_chosen="Shared Management Network",IF(mgmt_dpg_reuse_result="Included",CONCATENATE(prefix_mgmt_az1_cidr,"20.1"),CONCATENATE(prefix_mgmt_az1_cidr,"21.1")),IF(flt_custom_network_chosen="NSX Overlay Segment",CONCATENATE(prefix_xreg_cidr,".1"),CONCATENATE(prefix_flt_shared_cidr,".1")))</f>
        <v>#REF!</v>
      </c>
      <c r="D458" s="13"/>
      <c r="E458" s="134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9.5" customHeight="1">
      <c r="A459" s="27"/>
      <c r="B459" s="135" t="s">
        <v>6699</v>
      </c>
      <c r="C459" s="31" t="s">
        <v>6420</v>
      </c>
      <c r="D459" s="13" t="str">
        <f>mgmt_srm_recovery_mask</f>
        <v>Value Missing</v>
      </c>
      <c r="E459" s="134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9.5" customHeight="1">
      <c r="A460" s="27"/>
      <c r="B460" s="228" t="s">
        <v>8406</v>
      </c>
      <c r="C460" s="183"/>
      <c r="D460" s="183"/>
      <c r="E460" s="181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9.5" customHeight="1">
      <c r="A461" s="27"/>
      <c r="B461" s="135" t="s">
        <v>6716</v>
      </c>
      <c r="C461" s="44" t="e">
        <f>sample_vcf_automation_vip_fqdn</f>
        <v>#REF!</v>
      </c>
      <c r="D461" s="130"/>
      <c r="E461" s="134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9.5" customHeight="1">
      <c r="A462" s="27"/>
      <c r="B462" s="135" t="s">
        <v>8533</v>
      </c>
      <c r="C462" s="44" t="str">
        <f>sample_vcf_automation_cert_alias</f>
        <v>flt-auto01-cert</v>
      </c>
      <c r="D462" s="130"/>
      <c r="E462" s="134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9.5" customHeight="1">
      <c r="A463" s="27"/>
      <c r="B463" s="135" t="s">
        <v>8534</v>
      </c>
      <c r="C463" s="132" t="str">
        <f>sample_vcf_automation_root_password_alias</f>
        <v>flt-auto01-password</v>
      </c>
      <c r="D463" s="130"/>
      <c r="E463" s="134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9.5" customHeight="1">
      <c r="A464" s="27"/>
      <c r="B464" s="135" t="s">
        <v>8535</v>
      </c>
      <c r="C464" s="44" t="e">
        <f>sample_vcf_automation_vip_fqdn</f>
        <v>#REF!</v>
      </c>
      <c r="D464" s="130"/>
      <c r="E464" s="134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9.5" customHeight="1">
      <c r="A465" s="27"/>
      <c r="B465" s="135" t="s">
        <v>6718</v>
      </c>
      <c r="C465" s="44" t="s">
        <v>6719</v>
      </c>
      <c r="D465" s="130"/>
      <c r="E465" s="134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9.5" customHeight="1">
      <c r="A466" s="27"/>
      <c r="B466" s="135" t="s">
        <v>6720</v>
      </c>
      <c r="C466" s="44" t="str">
        <f>CONCATENATE(prefix_portable_component,"-auto")</f>
        <v>flt-auto</v>
      </c>
      <c r="D466" s="130"/>
      <c r="E466" s="134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9.5" customHeight="1">
      <c r="A467" s="27"/>
      <c r="B467" s="135" t="s">
        <v>6723</v>
      </c>
      <c r="C467" s="31" t="e">
        <f>IF(flt_custom_network_chosen="Shared Management Network",IF(mgmt_dpg_reuse_result="Included",CONCATENATE(prefix_mgmt_az1_cidr,"20.17"),CONCATENATE(prefix_mgmt_az1_cidr,"20.17")),IF(flt_custom_network_chosen="NSX Overlay Segment",CONCATENATE(prefix_xreg_cidr,".17"),CONCATENATE(prefix_flt_shared_cidr,".17")))</f>
        <v>#REF!</v>
      </c>
      <c r="D467" s="130"/>
      <c r="E467" s="134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9.5" customHeight="1">
      <c r="A468" s="27"/>
      <c r="B468" s="135" t="s">
        <v>6732</v>
      </c>
      <c r="C468" s="44" t="s">
        <v>6733</v>
      </c>
      <c r="D468" s="130"/>
      <c r="E468" s="134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9.5" customHeight="1">
      <c r="A469" s="27"/>
      <c r="B469" s="135" t="s">
        <v>8537</v>
      </c>
      <c r="C469" s="31" t="e">
        <f>CONCATENATE(IF(flt_custom_network_chosen="Shared Management Network",IF(mgmt_dpg_reuse_result="Included",CONCATENATE(prefix_mgmt_az1_cidr,"20.40"),CONCATENATE(prefix_mgmt_az1_cidr,"20.40")),IF(flt_custom_network_chosen="NSX Overlay Segment",CONCATENATE(prefix_xreg_cidr,".40"),CONCATENATE(prefix_flt_shared_cidr,".40"))),"-",IF(flt_custom_network_chosen="Shared Management Network",IF(mgmt_dpg_reuse_result="Included",CONCATENATE(prefix_mgmt_az1_cidr,"20.45"),CONCATENATE(prefix_mgmt_az1_cidr,"20.45")),IF(flt_custom_network_chosen="NSX Overlay Segment",CONCATENATE(prefix_xreg_cidr,".45"),CONCATENATE(prefix_flt_shared_cidr,".45"))))</f>
        <v>#REF!</v>
      </c>
      <c r="D469" s="130"/>
      <c r="E469" s="134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>
      <c r="A470" s="27"/>
      <c r="B470" s="138"/>
      <c r="C470" s="133"/>
      <c r="D470" s="69"/>
      <c r="E470" s="133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33.75" customHeight="1">
      <c r="A471" s="27"/>
      <c r="B471" s="205" t="s">
        <v>8387</v>
      </c>
      <c r="C471" s="183"/>
      <c r="D471" s="183"/>
      <c r="E471" s="181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>
      <c r="A472" s="27"/>
      <c r="B472" s="138"/>
      <c r="C472" s="133"/>
      <c r="D472" s="69"/>
      <c r="E472" s="133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33.75" customHeight="1">
      <c r="A473" s="27"/>
      <c r="B473" s="205" t="s">
        <v>8544</v>
      </c>
      <c r="C473" s="183"/>
      <c r="D473" s="183"/>
      <c r="E473" s="181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9.5" customHeight="1">
      <c r="A474" s="27"/>
      <c r="B474" s="202"/>
      <c r="C474" s="183"/>
      <c r="D474" s="183"/>
      <c r="E474" s="181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9.5" customHeight="1">
      <c r="A475" s="27"/>
      <c r="B475" s="102" t="s">
        <v>8389</v>
      </c>
      <c r="C475" s="103" t="s">
        <v>8390</v>
      </c>
      <c r="D475" s="103" t="s">
        <v>6943</v>
      </c>
      <c r="E475" s="103" t="s">
        <v>8181</v>
      </c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9.5" customHeight="1">
      <c r="A476" s="27"/>
      <c r="B476" s="80" t="s">
        <v>8424</v>
      </c>
      <c r="C476" s="31" t="e">
        <f>sample_vvs_dr_mgmt_vc_fqdn</f>
        <v>#REF!</v>
      </c>
      <c r="D476" s="13" t="str">
        <f>vvs_dr_mgmt_vc_fqdn</f>
        <v>Value Missing</v>
      </c>
      <c r="E476" s="15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9.5" customHeight="1">
      <c r="A477" s="27"/>
      <c r="B477" s="80" t="s">
        <v>8176</v>
      </c>
      <c r="C477" s="31" t="str">
        <f>sample_vvs_dr_sso_domain</f>
        <v>vsphere.local</v>
      </c>
      <c r="D477" s="13" t="str">
        <f>vvs_dr_sso_domain</f>
        <v>Value Missing</v>
      </c>
      <c r="E477" s="15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9.5" customHeight="1">
      <c r="A478" s="27"/>
      <c r="B478" s="30" t="s">
        <v>8545</v>
      </c>
      <c r="C478" s="31" t="s">
        <v>8546</v>
      </c>
      <c r="D478" s="13"/>
      <c r="E478" s="30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9.5" customHeight="1">
      <c r="A479" s="27"/>
      <c r="B479" s="30" t="s">
        <v>8547</v>
      </c>
      <c r="C479" s="31" t="s">
        <v>6763</v>
      </c>
      <c r="D479" s="13"/>
      <c r="E479" s="30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9.5" customHeight="1">
      <c r="A480" s="27"/>
      <c r="B480" s="30" t="s">
        <v>8548</v>
      </c>
      <c r="C480" s="31" t="s">
        <v>8549</v>
      </c>
      <c r="D480" s="13"/>
      <c r="E480" s="30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9.5" customHeight="1">
      <c r="A481" s="27"/>
      <c r="B481" s="30" t="s">
        <v>8550</v>
      </c>
      <c r="C481" s="31" t="s">
        <v>6763</v>
      </c>
      <c r="D481" s="13"/>
      <c r="E481" s="30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>
      <c r="A482" s="27"/>
      <c r="B482" s="7"/>
      <c r="C482" s="27"/>
      <c r="D482" s="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33.75" customHeight="1">
      <c r="A483" s="27"/>
      <c r="B483" s="205" t="s">
        <v>8551</v>
      </c>
      <c r="C483" s="183"/>
      <c r="D483" s="183"/>
      <c r="E483" s="181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9.5" customHeight="1">
      <c r="A484" s="27"/>
      <c r="B484" s="202"/>
      <c r="C484" s="183"/>
      <c r="D484" s="183"/>
      <c r="E484" s="181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9.5" customHeight="1">
      <c r="A485" s="27"/>
      <c r="B485" s="102" t="s">
        <v>8389</v>
      </c>
      <c r="C485" s="103" t="s">
        <v>8390</v>
      </c>
      <c r="D485" s="103" t="s">
        <v>6943</v>
      </c>
      <c r="E485" s="103" t="s">
        <v>8181</v>
      </c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9.5" customHeight="1">
      <c r="A486" s="27"/>
      <c r="B486" s="30" t="s">
        <v>8424</v>
      </c>
      <c r="C486" s="31" t="e">
        <f>sample_vvs_dr_mgmt_vc_fqdn</f>
        <v>#REF!</v>
      </c>
      <c r="D486" s="13" t="str">
        <f>vvs_dr_mgmt_vc_fqdn</f>
        <v>Value Missing</v>
      </c>
      <c r="E486" s="30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9.5" customHeight="1">
      <c r="A487" s="27"/>
      <c r="B487" s="30" t="s">
        <v>8176</v>
      </c>
      <c r="C487" s="31" t="str">
        <f>sample_vvs_dr_sso_domain</f>
        <v>vsphere.local</v>
      </c>
      <c r="D487" s="13" t="str">
        <f>vvs_dr_sso_domain</f>
        <v>Value Missing</v>
      </c>
      <c r="E487" s="30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9.5" customHeight="1">
      <c r="A488" s="27"/>
      <c r="B488" s="30" t="s">
        <v>8552</v>
      </c>
      <c r="C488" s="31" t="str">
        <f>sample_xreg_vrops_vrms_sso_username</f>
        <v>svc-vcfops-vlsr</v>
      </c>
      <c r="D488" s="13" t="str">
        <f>xreg_vrops_vrms_sso_username</f>
        <v>Value Missing</v>
      </c>
      <c r="E488" s="30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9.5" customHeight="1">
      <c r="A489" s="27"/>
      <c r="B489" s="30" t="s">
        <v>8553</v>
      </c>
      <c r="C489" s="31" t="s">
        <v>8554</v>
      </c>
      <c r="D489" s="13" t="str">
        <f>C489</f>
        <v>Read-Only</v>
      </c>
      <c r="E489" s="30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9.5" customHeight="1">
      <c r="A490" s="27"/>
      <c r="B490" s="30" t="s">
        <v>8555</v>
      </c>
      <c r="C490" s="31" t="str">
        <f>sample_xreg_vrops_srm_sso_username</f>
        <v>svc-vcfops-vr</v>
      </c>
      <c r="D490" s="13" t="str">
        <f>xreg_vrops_srm_sso_username</f>
        <v>Value Missing</v>
      </c>
      <c r="E490" s="30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9.5" customHeight="1">
      <c r="A491" s="27"/>
      <c r="B491" s="30" t="s">
        <v>8556</v>
      </c>
      <c r="C491" s="31" t="s">
        <v>8557</v>
      </c>
      <c r="D491" s="13" t="str">
        <f>C491</f>
        <v>VRM replication viewer</v>
      </c>
      <c r="E491" s="30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>
      <c r="A492" s="27"/>
      <c r="B492" s="7"/>
      <c r="C492" s="27"/>
      <c r="D492" s="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33.75" customHeight="1">
      <c r="A493" s="27"/>
      <c r="B493" s="205" t="s">
        <v>8558</v>
      </c>
      <c r="C493" s="183"/>
      <c r="D493" s="183"/>
      <c r="E493" s="181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9.5" customHeight="1">
      <c r="A494" s="27"/>
      <c r="B494" s="202"/>
      <c r="C494" s="183"/>
      <c r="D494" s="183"/>
      <c r="E494" s="181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9.5" customHeight="1">
      <c r="A495" s="27"/>
      <c r="B495" s="102" t="s">
        <v>8389</v>
      </c>
      <c r="C495" s="103" t="s">
        <v>8390</v>
      </c>
      <c r="D495" s="103" t="s">
        <v>6943</v>
      </c>
      <c r="E495" s="103" t="s">
        <v>8181</v>
      </c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9.5" customHeight="1">
      <c r="A496" s="27"/>
      <c r="B496" s="30" t="s">
        <v>8559</v>
      </c>
      <c r="C496" s="104" t="str">
        <f>sample_vvs_dr_flt_ops_nodea_fqdn</f>
        <v>flt-ops01a.rainpole.io</v>
      </c>
      <c r="D496" s="130" t="str">
        <f>vvs_dr_flt_ops_nodea_fqdn</f>
        <v>Value Missing</v>
      </c>
      <c r="E496" s="15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9.5" customHeight="1">
      <c r="A497" s="27"/>
      <c r="B497" s="30" t="s">
        <v>8560</v>
      </c>
      <c r="C497" s="31" t="s">
        <v>8561</v>
      </c>
      <c r="D497" s="13"/>
      <c r="E497" s="15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>
      <c r="A498" s="27"/>
      <c r="B498" s="7"/>
      <c r="C498" s="27"/>
      <c r="D498" s="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33.75" customHeight="1">
      <c r="A499" s="27"/>
      <c r="B499" s="205" t="s">
        <v>8562</v>
      </c>
      <c r="C499" s="183"/>
      <c r="D499" s="183"/>
      <c r="E499" s="181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9.5" customHeight="1">
      <c r="A500" s="27"/>
      <c r="B500" s="202"/>
      <c r="C500" s="183"/>
      <c r="D500" s="183"/>
      <c r="E500" s="181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9.5" customHeight="1">
      <c r="A501" s="27"/>
      <c r="B501" s="102" t="s">
        <v>8389</v>
      </c>
      <c r="C501" s="103" t="s">
        <v>8390</v>
      </c>
      <c r="D501" s="103" t="s">
        <v>6943</v>
      </c>
      <c r="E501" s="103" t="s">
        <v>8181</v>
      </c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9.5" customHeight="1">
      <c r="A502" s="27"/>
      <c r="B502" s="80" t="s">
        <v>8405</v>
      </c>
      <c r="C502" s="104" t="str">
        <f>sample_vvs_dr_flt_ops_nodea_fqdn</f>
        <v>flt-ops01a.rainpole.io</v>
      </c>
      <c r="D502" s="130" t="str">
        <f>vvs_dr_flt_ops_nodea_fqdn</f>
        <v>Value Missing</v>
      </c>
      <c r="E502" s="15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9.5" customHeight="1">
      <c r="A503" s="27"/>
      <c r="B503" s="80" t="s">
        <v>8563</v>
      </c>
      <c r="C503" s="31" t="e">
        <f>CONCATENATE(this_instance,"-m01-vslr")</f>
        <v>#REF!</v>
      </c>
      <c r="D503" s="13"/>
      <c r="E503" s="15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9.5" customHeight="1">
      <c r="A504" s="27"/>
      <c r="B504" s="80" t="s">
        <v>8564</v>
      </c>
      <c r="C504" s="31" t="e">
        <f>sample_vvs_mgmt_dr_vlr_fqdn</f>
        <v>#REF!</v>
      </c>
      <c r="D504" s="13" t="str">
        <f>vvs_mgmt_dr_vlr_fqdn</f>
        <v>Value Missing</v>
      </c>
      <c r="E504" s="15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9.5" customHeight="1">
      <c r="A505" s="27"/>
      <c r="B505" s="80" t="s">
        <v>8565</v>
      </c>
      <c r="C505" s="31">
        <v>443</v>
      </c>
      <c r="D505" s="13"/>
      <c r="E505" s="15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9.5" customHeight="1">
      <c r="A506" s="27"/>
      <c r="B506" s="80" t="s">
        <v>8566</v>
      </c>
      <c r="C506" s="31" t="str">
        <f>sample_xreg_vrops_srm_sso_username</f>
        <v>svc-vcfops-vr</v>
      </c>
      <c r="D506" s="13" t="str">
        <f>xreg_vrops_srm_sso_username</f>
        <v>Value Missing</v>
      </c>
      <c r="E506" s="15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9.5" customHeight="1">
      <c r="A507" s="27"/>
      <c r="B507" s="80" t="s">
        <v>8567</v>
      </c>
      <c r="C507" s="31" t="str">
        <f>CONCATENATE(sample_xreg_vrops_srm_sso_username,"@vsphere.local")</f>
        <v>svc-vcfops-vr@vsphere.local</v>
      </c>
      <c r="D507" s="13" t="str">
        <f>CONCATENATE(xreg_vrops_srm_sso_username,"@",vvs_dr_sso_domain)</f>
        <v>Value Missing@Value Missing</v>
      </c>
      <c r="E507" s="15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9.5" customHeight="1">
      <c r="A508" s="27"/>
      <c r="B508" s="80" t="s">
        <v>8568</v>
      </c>
      <c r="C508" s="31" t="str">
        <f>sample_xreg_vrops_srm_sso_password</f>
        <v>VMw@re1!</v>
      </c>
      <c r="D508" s="13" t="str">
        <f>xreg_vrops_srm_sso_password</f>
        <v>Value Missing</v>
      </c>
      <c r="E508" s="15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9.5" customHeight="1">
      <c r="A509" s="27"/>
      <c r="B509" s="80" t="s">
        <v>8569</v>
      </c>
      <c r="C509" s="31" t="e">
        <f>CONCATENATE(sample_mgmt_sddc_domain,"-collector-group")</f>
        <v>#REF!</v>
      </c>
      <c r="D509" s="13" t="e">
        <f>CONCATENATE(mgmt_sddc_domain,"-collector-group")</f>
        <v>#REF!</v>
      </c>
      <c r="E509" s="15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>
      <c r="A510" s="27"/>
      <c r="B510" s="7"/>
      <c r="C510" s="27"/>
      <c r="D510" s="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33.75" customHeight="1">
      <c r="A511" s="27"/>
      <c r="B511" s="205" t="s">
        <v>8570</v>
      </c>
      <c r="C511" s="183"/>
      <c r="D511" s="183"/>
      <c r="E511" s="181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9.5" customHeight="1">
      <c r="A512" s="27"/>
      <c r="B512" s="202"/>
      <c r="C512" s="183"/>
      <c r="D512" s="183"/>
      <c r="E512" s="181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9.5" customHeight="1">
      <c r="A513" s="27"/>
      <c r="B513" s="102" t="s">
        <v>8389</v>
      </c>
      <c r="C513" s="103" t="s">
        <v>8390</v>
      </c>
      <c r="D513" s="103" t="s">
        <v>6943</v>
      </c>
      <c r="E513" s="103" t="s">
        <v>8181</v>
      </c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9.5" customHeight="1">
      <c r="A514" s="27"/>
      <c r="B514" s="80" t="s">
        <v>8405</v>
      </c>
      <c r="C514" s="104" t="str">
        <f>sample_vvs_dr_flt_ops_nodea_fqdn</f>
        <v>flt-ops01a.rainpole.io</v>
      </c>
      <c r="D514" s="130" t="str">
        <f>vvs_dr_flt_ops_nodea_fqdn</f>
        <v>Value Missing</v>
      </c>
      <c r="E514" s="15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9.5" customHeight="1">
      <c r="A515" s="27"/>
      <c r="B515" s="80" t="s">
        <v>8563</v>
      </c>
      <c r="C515" s="31" t="e">
        <f>CONCATENATE(this_instance,"-m01-vr")</f>
        <v>#REF!</v>
      </c>
      <c r="D515" s="13"/>
      <c r="E515" s="15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9.5" customHeight="1">
      <c r="A516" s="27"/>
      <c r="B516" s="139" t="s">
        <v>8571</v>
      </c>
      <c r="C516" s="31" t="e">
        <f>sample_vvs_dr_mgmt_vc_fqdn</f>
        <v>#REF!</v>
      </c>
      <c r="D516" s="13" t="str">
        <f>vvs_dr_mgmt_vc_fqdn</f>
        <v>Value Missing</v>
      </c>
      <c r="E516" s="15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9.5" customHeight="1">
      <c r="A517" s="27"/>
      <c r="B517" s="80" t="s">
        <v>8566</v>
      </c>
      <c r="C517" s="31" t="str">
        <f>CONCATENATE(sample_xreg_vrops_vrms_sso_username,"@vsphere.local")</f>
        <v>svc-vcfops-vlsr@vsphere.local</v>
      </c>
      <c r="D517" s="13" t="str">
        <f>CONCATENATE(xreg_vrops_vrms_sso_username,"@",vvs_dr_sso_domain)</f>
        <v>Value Missing@Value Missing</v>
      </c>
      <c r="E517" s="15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9.5" customHeight="1">
      <c r="A518" s="27"/>
      <c r="B518" s="80" t="s">
        <v>8572</v>
      </c>
      <c r="C518" s="31" t="str">
        <f>CONCATENATE(sample_xreg_vrops_vrms_sso_username,"@vsphere.local")</f>
        <v>svc-vcfops-vlsr@vsphere.local</v>
      </c>
      <c r="D518" s="13" t="str">
        <f>CONCATENATE(xreg_vrops_vrms_sso_username,"@",vvs_dr_sso_domain)</f>
        <v>Value Missing@Value Missing</v>
      </c>
      <c r="E518" s="15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9.5" customHeight="1">
      <c r="A519" s="27"/>
      <c r="B519" s="80" t="s">
        <v>8568</v>
      </c>
      <c r="C519" s="31" t="str">
        <f>sample_xreg_vrops_vrms_sso_password</f>
        <v>VMw@re1!</v>
      </c>
      <c r="D519" s="13" t="str">
        <f>xreg_vrops_vrms_sso_password</f>
        <v>Value Missing</v>
      </c>
      <c r="E519" s="15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9.5" customHeight="1">
      <c r="A520" s="27"/>
      <c r="B520" s="80" t="s">
        <v>8569</v>
      </c>
      <c r="C520" s="31" t="e">
        <f>CONCATENATE(sample_mgmt_sddc_domain,"-collector-group")</f>
        <v>#REF!</v>
      </c>
      <c r="D520" s="13" t="e">
        <f>CONCATENATE(mgmt_sddc_domain,"-collector-group")</f>
        <v>#REF!</v>
      </c>
      <c r="E520" s="15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>
      <c r="A521" s="27"/>
      <c r="B521" s="7"/>
      <c r="C521" s="27"/>
      <c r="D521" s="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33.75" customHeight="1">
      <c r="A522" s="27"/>
      <c r="B522" s="205" t="s">
        <v>8573</v>
      </c>
      <c r="C522" s="183"/>
      <c r="D522" s="183"/>
      <c r="E522" s="181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9.5" customHeight="1">
      <c r="A523" s="27"/>
      <c r="B523" s="202"/>
      <c r="C523" s="183"/>
      <c r="D523" s="183"/>
      <c r="E523" s="181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9.5" customHeight="1">
      <c r="A524" s="27"/>
      <c r="B524" s="102" t="s">
        <v>8389</v>
      </c>
      <c r="C524" s="103" t="s">
        <v>8390</v>
      </c>
      <c r="D524" s="103" t="s">
        <v>6943</v>
      </c>
      <c r="E524" s="103" t="s">
        <v>8181</v>
      </c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9.5" customHeight="1">
      <c r="A525" s="27"/>
      <c r="B525" s="30" t="s">
        <v>8559</v>
      </c>
      <c r="C525" s="104" t="str">
        <f>sample_vvs_dr_flt_ops_nodea_fqdn</f>
        <v>flt-ops01a.rainpole.io</v>
      </c>
      <c r="D525" s="13" t="str">
        <f>vvs_dr_flt_ops_nodea_fqdn</f>
        <v>Value Missing</v>
      </c>
      <c r="E525" s="15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>
      <c r="A526" s="27"/>
      <c r="B526" s="7" t="s">
        <v>6285</v>
      </c>
      <c r="C526" s="27"/>
      <c r="D526" s="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33.75" customHeight="1">
      <c r="A527" s="27"/>
      <c r="B527" s="205" t="s">
        <v>8574</v>
      </c>
      <c r="C527" s="183"/>
      <c r="D527" s="183"/>
      <c r="E527" s="181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9.5" customHeight="1">
      <c r="A528" s="27"/>
      <c r="B528" s="202"/>
      <c r="C528" s="183"/>
      <c r="D528" s="183"/>
      <c r="E528" s="181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9.5" customHeight="1">
      <c r="A529" s="27"/>
      <c r="B529" s="102" t="s">
        <v>8389</v>
      </c>
      <c r="C529" s="103" t="s">
        <v>8390</v>
      </c>
      <c r="D529" s="103" t="s">
        <v>6943</v>
      </c>
      <c r="E529" s="103" t="s">
        <v>8181</v>
      </c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9.5" customHeight="1">
      <c r="A530" s="27"/>
      <c r="B530" s="30" t="s">
        <v>8431</v>
      </c>
      <c r="C530" s="31" t="e">
        <f>sample_vvs_mgmt_dr_vlr_fqdn</f>
        <v>#REF!</v>
      </c>
      <c r="D530" s="13" t="str">
        <f>vvs_mgmt_dr_vlr_fqdn</f>
        <v>Value Missing</v>
      </c>
      <c r="E530" s="15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9.5" customHeight="1">
      <c r="A531" s="27"/>
      <c r="B531" s="30" t="s">
        <v>8575</v>
      </c>
      <c r="C531" s="31" t="e">
        <f>sample_xreg_vrops_virtual_fqdn</f>
        <v>#REF!</v>
      </c>
      <c r="D531" s="13"/>
      <c r="E531" s="15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9.5" customHeight="1">
      <c r="A532" s="27"/>
      <c r="B532" s="30" t="s">
        <v>8576</v>
      </c>
      <c r="C532" s="31" t="s">
        <v>8577</v>
      </c>
      <c r="D532" s="13"/>
      <c r="E532" s="15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9.5" customHeight="1">
      <c r="A533" s="27"/>
      <c r="B533" s="30" t="s">
        <v>8578</v>
      </c>
      <c r="C533" s="31" t="s">
        <v>8579</v>
      </c>
      <c r="D533" s="13"/>
      <c r="E533" s="15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>
      <c r="A534" s="27"/>
      <c r="B534" s="7"/>
      <c r="C534" s="27"/>
      <c r="D534" s="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9.5" customHeight="1">
      <c r="A535" s="27"/>
      <c r="B535" s="7"/>
      <c r="C535" s="27"/>
      <c r="D535" s="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9.5" customHeight="1">
      <c r="A536" s="27"/>
      <c r="B536" s="7"/>
      <c r="C536" s="27"/>
      <c r="D536" s="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9.5" customHeight="1">
      <c r="A537" s="27"/>
      <c r="B537" s="7"/>
      <c r="C537" s="27"/>
      <c r="D537" s="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9.5" customHeight="1">
      <c r="A538" s="27"/>
      <c r="B538" s="7"/>
      <c r="C538" s="27"/>
      <c r="D538" s="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9.5" customHeight="1">
      <c r="A539" s="27"/>
      <c r="B539" s="7"/>
      <c r="C539" s="27"/>
      <c r="D539" s="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9.5" customHeight="1">
      <c r="A540" s="27"/>
      <c r="B540" s="7"/>
      <c r="C540" s="27"/>
      <c r="D540" s="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9.5" customHeight="1">
      <c r="A541" s="27"/>
      <c r="B541" s="7"/>
      <c r="C541" s="27"/>
      <c r="D541" s="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9.5" customHeight="1">
      <c r="A542" s="27"/>
      <c r="B542" s="7"/>
      <c r="C542" s="27"/>
      <c r="D542" s="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6">
      <c r="A543" s="27"/>
      <c r="B543" s="7"/>
      <c r="C543" s="27"/>
      <c r="D543" s="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33.75" customHeight="1">
      <c r="A544" s="27"/>
      <c r="B544" s="7"/>
      <c r="C544" s="27"/>
      <c r="D544" s="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9.5" customHeight="1">
      <c r="A545" s="27"/>
      <c r="B545" s="7"/>
      <c r="C545" s="27"/>
      <c r="D545" s="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9.5" customHeight="1">
      <c r="A546" s="27"/>
      <c r="B546" s="7"/>
      <c r="C546" s="27"/>
      <c r="D546" s="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9.5" customHeight="1">
      <c r="A547" s="27"/>
      <c r="B547" s="7"/>
      <c r="C547" s="27"/>
      <c r="D547" s="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9.5" customHeight="1">
      <c r="A548" s="27"/>
      <c r="B548" s="7"/>
      <c r="C548" s="27"/>
      <c r="D548" s="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9.5" customHeight="1">
      <c r="A549" s="27"/>
      <c r="B549" s="7"/>
      <c r="C549" s="27"/>
      <c r="D549" s="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9.5" customHeight="1">
      <c r="A550" s="27"/>
      <c r="B550" s="7"/>
      <c r="C550" s="27"/>
      <c r="D550" s="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9.5" customHeight="1">
      <c r="A551" s="27"/>
      <c r="B551" s="7"/>
      <c r="C551" s="27"/>
      <c r="D551" s="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6">
      <c r="A552" s="27"/>
      <c r="B552" s="7"/>
      <c r="C552" s="27"/>
      <c r="D552" s="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6">
      <c r="A553" s="27"/>
      <c r="B553" s="7"/>
      <c r="C553" s="27"/>
      <c r="D553" s="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6">
      <c r="A554" s="27"/>
      <c r="B554" s="7"/>
      <c r="C554" s="27"/>
      <c r="D554" s="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6">
      <c r="A555" s="27"/>
      <c r="B555" s="7"/>
      <c r="C555" s="27"/>
      <c r="D555" s="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6">
      <c r="A556" s="27"/>
      <c r="B556" s="7"/>
      <c r="C556" s="27"/>
      <c r="D556" s="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6">
      <c r="A557" s="27"/>
      <c r="B557" s="7"/>
      <c r="C557" s="27"/>
      <c r="D557" s="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6">
      <c r="A558" s="27"/>
      <c r="B558" s="7"/>
      <c r="C558" s="27"/>
      <c r="D558" s="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6">
      <c r="A559" s="27"/>
      <c r="B559" s="7"/>
      <c r="C559" s="27"/>
      <c r="D559" s="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6">
      <c r="A560" s="27"/>
      <c r="B560" s="7"/>
      <c r="C560" s="27"/>
      <c r="D560" s="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6">
      <c r="A561" s="27"/>
      <c r="B561" s="7"/>
      <c r="C561" s="27"/>
      <c r="D561" s="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6">
      <c r="A562" s="27"/>
      <c r="B562" s="7"/>
      <c r="C562" s="27"/>
      <c r="D562" s="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6">
      <c r="A563" s="27"/>
      <c r="B563" s="7"/>
      <c r="C563" s="27"/>
      <c r="D563" s="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6">
      <c r="A564" s="27"/>
      <c r="B564" s="7"/>
      <c r="C564" s="27"/>
      <c r="D564" s="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6">
      <c r="A565" s="27"/>
      <c r="B565" s="7"/>
      <c r="C565" s="27"/>
      <c r="D565" s="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6">
      <c r="A566" s="27"/>
      <c r="B566" s="7"/>
      <c r="C566" s="27"/>
      <c r="D566" s="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6">
      <c r="A567" s="27"/>
      <c r="B567" s="7"/>
      <c r="C567" s="27"/>
      <c r="D567" s="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6">
      <c r="A568" s="27"/>
      <c r="B568" s="7"/>
      <c r="C568" s="27"/>
      <c r="D568" s="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6">
      <c r="A569" s="27"/>
      <c r="B569" s="7"/>
      <c r="C569" s="27"/>
      <c r="D569" s="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6">
      <c r="A570" s="27"/>
      <c r="B570" s="7"/>
      <c r="C570" s="27"/>
      <c r="D570" s="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6">
      <c r="A571" s="27"/>
      <c r="B571" s="7"/>
      <c r="C571" s="27"/>
      <c r="D571" s="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6">
      <c r="A572" s="27"/>
      <c r="B572" s="7"/>
      <c r="C572" s="27"/>
      <c r="D572" s="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6">
      <c r="A573" s="27"/>
      <c r="B573" s="7"/>
      <c r="C573" s="27"/>
      <c r="D573" s="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6">
      <c r="A574" s="27"/>
      <c r="B574" s="7"/>
      <c r="C574" s="27"/>
      <c r="D574" s="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6">
      <c r="A575" s="27"/>
      <c r="B575" s="7"/>
      <c r="C575" s="27"/>
      <c r="D575" s="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6">
      <c r="A576" s="27"/>
      <c r="B576" s="7"/>
      <c r="C576" s="27"/>
      <c r="D576" s="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6">
      <c r="A577" s="27"/>
      <c r="B577" s="7"/>
      <c r="C577" s="27"/>
      <c r="D577" s="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6">
      <c r="A578" s="27"/>
      <c r="B578" s="7"/>
      <c r="C578" s="27"/>
      <c r="D578" s="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6">
      <c r="A579" s="27"/>
      <c r="B579" s="7"/>
      <c r="C579" s="27"/>
      <c r="D579" s="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6">
      <c r="A580" s="27"/>
      <c r="B580" s="7"/>
      <c r="C580" s="27"/>
      <c r="D580" s="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6">
      <c r="A581" s="27"/>
      <c r="B581" s="7"/>
      <c r="C581" s="27"/>
      <c r="D581" s="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6">
      <c r="A582" s="27"/>
      <c r="B582" s="7"/>
      <c r="C582" s="27"/>
      <c r="D582" s="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6">
      <c r="A583" s="27"/>
      <c r="B583" s="7"/>
      <c r="C583" s="27"/>
      <c r="D583" s="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6">
      <c r="A584" s="27"/>
      <c r="B584" s="7"/>
      <c r="C584" s="27"/>
      <c r="D584" s="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6">
      <c r="A585" s="27"/>
      <c r="B585" s="7"/>
      <c r="C585" s="27"/>
      <c r="D585" s="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6">
      <c r="A586" s="27"/>
      <c r="B586" s="7"/>
      <c r="C586" s="27"/>
      <c r="D586" s="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6">
      <c r="A587" s="27"/>
      <c r="B587" s="7"/>
      <c r="C587" s="27"/>
      <c r="D587" s="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6">
      <c r="A588" s="27"/>
      <c r="B588" s="7"/>
      <c r="C588" s="27"/>
      <c r="D588" s="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6">
      <c r="A589" s="27"/>
      <c r="B589" s="7"/>
      <c r="C589" s="27"/>
      <c r="D589" s="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6">
      <c r="A590" s="27"/>
      <c r="B590" s="7"/>
      <c r="C590" s="27"/>
      <c r="D590" s="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6">
      <c r="A591" s="27"/>
      <c r="B591" s="7"/>
      <c r="C591" s="27"/>
      <c r="D591" s="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6">
      <c r="A592" s="27"/>
      <c r="B592" s="7"/>
      <c r="C592" s="27"/>
      <c r="D592" s="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6">
      <c r="A593" s="27"/>
      <c r="B593" s="7"/>
      <c r="C593" s="27"/>
      <c r="D593" s="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6">
      <c r="A594" s="27"/>
      <c r="B594" s="7"/>
      <c r="C594" s="27"/>
      <c r="D594" s="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6">
      <c r="A595" s="27"/>
      <c r="B595" s="7"/>
      <c r="C595" s="27"/>
      <c r="D595" s="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6">
      <c r="A596" s="27"/>
      <c r="B596" s="7"/>
      <c r="C596" s="27"/>
      <c r="D596" s="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6">
      <c r="A597" s="27"/>
      <c r="B597" s="7"/>
      <c r="C597" s="27"/>
      <c r="D597" s="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6">
      <c r="A598" s="27"/>
      <c r="B598" s="7"/>
      <c r="C598" s="27"/>
      <c r="D598" s="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6">
      <c r="A599" s="27"/>
      <c r="B599" s="7"/>
      <c r="C599" s="27"/>
      <c r="D599" s="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6">
      <c r="A600" s="27"/>
      <c r="B600" s="7"/>
      <c r="C600" s="27"/>
      <c r="D600" s="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6">
      <c r="A601" s="27"/>
      <c r="B601" s="7"/>
      <c r="C601" s="27"/>
      <c r="D601" s="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6">
      <c r="A602" s="27"/>
      <c r="B602" s="7"/>
      <c r="C602" s="27"/>
      <c r="D602" s="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6">
      <c r="A603" s="27"/>
      <c r="B603" s="7"/>
      <c r="C603" s="27"/>
      <c r="D603" s="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6">
      <c r="A604" s="27"/>
      <c r="B604" s="7"/>
      <c r="C604" s="27"/>
      <c r="D604" s="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6">
      <c r="A605" s="27"/>
      <c r="B605" s="7"/>
      <c r="C605" s="27"/>
      <c r="D605" s="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6">
      <c r="A606" s="27"/>
      <c r="B606" s="7"/>
      <c r="C606" s="27"/>
      <c r="D606" s="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6">
      <c r="A607" s="27"/>
      <c r="B607" s="7"/>
      <c r="C607" s="27"/>
      <c r="D607" s="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6">
      <c r="A608" s="27"/>
      <c r="B608" s="7"/>
      <c r="C608" s="27"/>
      <c r="D608" s="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6">
      <c r="A609" s="27"/>
      <c r="B609" s="7"/>
      <c r="C609" s="27"/>
      <c r="D609" s="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6">
      <c r="A610" s="27"/>
      <c r="B610" s="7"/>
      <c r="C610" s="27"/>
      <c r="D610" s="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6">
      <c r="A611" s="27"/>
      <c r="B611" s="7"/>
      <c r="C611" s="27"/>
      <c r="D611" s="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6">
      <c r="A612" s="27"/>
      <c r="B612" s="7"/>
      <c r="C612" s="27"/>
      <c r="D612" s="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6">
      <c r="A613" s="27"/>
      <c r="B613" s="7"/>
      <c r="C613" s="27"/>
      <c r="D613" s="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6">
      <c r="A614" s="27"/>
      <c r="B614" s="7"/>
      <c r="C614" s="27"/>
      <c r="D614" s="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6">
      <c r="A615" s="27"/>
      <c r="B615" s="7"/>
      <c r="C615" s="27"/>
      <c r="D615" s="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6">
      <c r="A616" s="27"/>
      <c r="B616" s="7"/>
      <c r="C616" s="27"/>
      <c r="D616" s="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6">
      <c r="A617" s="27"/>
      <c r="B617" s="7"/>
      <c r="C617" s="27"/>
      <c r="D617" s="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6">
      <c r="A618" s="27"/>
      <c r="B618" s="7"/>
      <c r="C618" s="27"/>
      <c r="D618" s="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6">
      <c r="A619" s="27"/>
      <c r="B619" s="7"/>
      <c r="C619" s="27"/>
      <c r="D619" s="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6">
      <c r="A620" s="27"/>
      <c r="B620" s="7"/>
      <c r="C620" s="27"/>
      <c r="D620" s="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6">
      <c r="A621" s="27"/>
      <c r="B621" s="7"/>
      <c r="C621" s="27"/>
      <c r="D621" s="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6">
      <c r="A622" s="27"/>
      <c r="B622" s="7"/>
      <c r="C622" s="27"/>
      <c r="D622" s="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6">
      <c r="A623" s="27"/>
      <c r="B623" s="7"/>
      <c r="C623" s="27"/>
      <c r="D623" s="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6">
      <c r="A624" s="27"/>
      <c r="B624" s="7"/>
      <c r="C624" s="27"/>
      <c r="D624" s="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6">
      <c r="A625" s="27"/>
      <c r="B625" s="7"/>
      <c r="C625" s="27"/>
      <c r="D625" s="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6">
      <c r="A626" s="27"/>
      <c r="B626" s="7"/>
      <c r="C626" s="27"/>
      <c r="D626" s="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6">
      <c r="A627" s="27"/>
      <c r="B627" s="7"/>
      <c r="C627" s="27"/>
      <c r="D627" s="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6">
      <c r="A628" s="27"/>
      <c r="B628" s="7"/>
      <c r="C628" s="27"/>
      <c r="D628" s="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6">
      <c r="A629" s="27"/>
      <c r="B629" s="7"/>
      <c r="C629" s="27"/>
      <c r="D629" s="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6">
      <c r="A630" s="27"/>
      <c r="B630" s="7"/>
      <c r="C630" s="27"/>
      <c r="D630" s="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6">
      <c r="A631" s="27"/>
      <c r="B631" s="7"/>
      <c r="C631" s="27"/>
      <c r="D631" s="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6">
      <c r="A632" s="27"/>
      <c r="B632" s="7"/>
      <c r="C632" s="27"/>
      <c r="D632" s="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6">
      <c r="A633" s="27"/>
      <c r="B633" s="7"/>
      <c r="C633" s="27"/>
      <c r="D633" s="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6">
      <c r="A634" s="27"/>
      <c r="B634" s="7"/>
      <c r="C634" s="27"/>
      <c r="D634" s="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6">
      <c r="A635" s="27"/>
      <c r="B635" s="7"/>
      <c r="C635" s="27"/>
      <c r="D635" s="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6">
      <c r="A636" s="27"/>
      <c r="B636" s="7"/>
      <c r="C636" s="27"/>
      <c r="D636" s="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6">
      <c r="A637" s="27"/>
      <c r="B637" s="7"/>
      <c r="C637" s="27"/>
      <c r="D637" s="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6">
      <c r="A638" s="27"/>
      <c r="B638" s="7"/>
      <c r="C638" s="27"/>
      <c r="D638" s="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6">
      <c r="A639" s="27"/>
      <c r="B639" s="7"/>
      <c r="C639" s="27"/>
      <c r="D639" s="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6">
      <c r="A640" s="27"/>
      <c r="B640" s="7"/>
      <c r="C640" s="27"/>
      <c r="D640" s="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6">
      <c r="A641" s="27"/>
      <c r="B641" s="7"/>
      <c r="C641" s="27"/>
      <c r="D641" s="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6">
      <c r="A642" s="27"/>
      <c r="B642" s="7"/>
      <c r="C642" s="27"/>
      <c r="D642" s="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6">
      <c r="A643" s="27"/>
      <c r="B643" s="7"/>
      <c r="C643" s="27"/>
      <c r="D643" s="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6">
      <c r="A644" s="27"/>
      <c r="B644" s="7"/>
      <c r="C644" s="27"/>
      <c r="D644" s="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6">
      <c r="A645" s="27"/>
      <c r="B645" s="7"/>
      <c r="C645" s="27"/>
      <c r="D645" s="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6">
      <c r="A646" s="27"/>
      <c r="B646" s="7"/>
      <c r="C646" s="27"/>
      <c r="D646" s="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6">
      <c r="A647" s="27"/>
      <c r="B647" s="7"/>
      <c r="C647" s="27"/>
      <c r="D647" s="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6">
      <c r="A648" s="27"/>
      <c r="B648" s="7"/>
      <c r="C648" s="27"/>
      <c r="D648" s="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6">
      <c r="A649" s="27"/>
      <c r="B649" s="7"/>
      <c r="C649" s="27"/>
      <c r="D649" s="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6">
      <c r="A650" s="27"/>
      <c r="B650" s="7"/>
      <c r="C650" s="27"/>
      <c r="D650" s="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6">
      <c r="A651" s="27"/>
      <c r="B651" s="7"/>
      <c r="C651" s="27"/>
      <c r="D651" s="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6">
      <c r="A652" s="27"/>
      <c r="B652" s="7"/>
      <c r="C652" s="27"/>
      <c r="D652" s="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6">
      <c r="A653" s="27"/>
      <c r="B653" s="7"/>
      <c r="C653" s="27"/>
      <c r="D653" s="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6">
      <c r="A654" s="27"/>
      <c r="B654" s="7"/>
      <c r="C654" s="27"/>
      <c r="D654" s="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6">
      <c r="A655" s="27"/>
      <c r="B655" s="7"/>
      <c r="C655" s="27"/>
      <c r="D655" s="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6">
      <c r="A656" s="27"/>
      <c r="B656" s="7"/>
      <c r="C656" s="27"/>
      <c r="D656" s="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6">
      <c r="A657" s="27"/>
      <c r="B657" s="7"/>
      <c r="C657" s="27"/>
      <c r="D657" s="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6">
      <c r="A658" s="27"/>
      <c r="B658" s="7"/>
      <c r="C658" s="27"/>
      <c r="D658" s="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6">
      <c r="A659" s="27"/>
      <c r="B659" s="7"/>
      <c r="C659" s="27"/>
      <c r="D659" s="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6">
      <c r="A660" s="27"/>
      <c r="B660" s="7"/>
      <c r="C660" s="27"/>
      <c r="D660" s="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6">
      <c r="A661" s="27"/>
      <c r="B661" s="7"/>
      <c r="C661" s="27"/>
      <c r="D661" s="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6">
      <c r="A662" s="27"/>
      <c r="B662" s="7"/>
      <c r="C662" s="27"/>
      <c r="D662" s="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6">
      <c r="A663" s="27"/>
      <c r="B663" s="7"/>
      <c r="C663" s="27"/>
      <c r="D663" s="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6">
      <c r="A664" s="27"/>
      <c r="B664" s="7"/>
      <c r="C664" s="27"/>
      <c r="D664" s="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6">
      <c r="A665" s="27"/>
      <c r="B665" s="7"/>
      <c r="C665" s="27"/>
      <c r="D665" s="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6">
      <c r="A666" s="27"/>
      <c r="B666" s="7"/>
      <c r="C666" s="27"/>
      <c r="D666" s="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6">
      <c r="A667" s="27"/>
      <c r="B667" s="7"/>
      <c r="C667" s="27"/>
      <c r="D667" s="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6">
      <c r="A668" s="27"/>
      <c r="B668" s="7"/>
      <c r="C668" s="27"/>
      <c r="D668" s="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6">
      <c r="A669" s="27"/>
      <c r="B669" s="7"/>
      <c r="C669" s="27"/>
      <c r="D669" s="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6">
      <c r="A670" s="27"/>
      <c r="B670" s="7"/>
      <c r="C670" s="27"/>
      <c r="D670" s="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6">
      <c r="A671" s="27"/>
      <c r="B671" s="7"/>
      <c r="C671" s="27"/>
      <c r="D671" s="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6">
      <c r="A672" s="27"/>
      <c r="B672" s="7"/>
      <c r="C672" s="27"/>
      <c r="D672" s="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6">
      <c r="A673" s="27"/>
      <c r="B673" s="7"/>
      <c r="C673" s="27"/>
      <c r="D673" s="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6">
      <c r="A674" s="27"/>
      <c r="B674" s="7"/>
      <c r="C674" s="27"/>
      <c r="D674" s="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6">
      <c r="A675" s="27"/>
      <c r="B675" s="7"/>
      <c r="C675" s="27"/>
      <c r="D675" s="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6">
      <c r="A676" s="27"/>
      <c r="B676" s="7"/>
      <c r="C676" s="27"/>
      <c r="D676" s="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6">
      <c r="A677" s="27"/>
      <c r="B677" s="7"/>
      <c r="C677" s="27"/>
      <c r="D677" s="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6">
      <c r="A678" s="27"/>
      <c r="B678" s="7"/>
      <c r="C678" s="27"/>
      <c r="D678" s="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6">
      <c r="A679" s="27"/>
      <c r="B679" s="7"/>
      <c r="C679" s="27"/>
      <c r="D679" s="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6">
      <c r="A680" s="27"/>
      <c r="B680" s="7"/>
      <c r="C680" s="27"/>
      <c r="D680" s="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6">
      <c r="A681" s="27"/>
      <c r="B681" s="7"/>
      <c r="C681" s="27"/>
      <c r="D681" s="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6">
      <c r="A682" s="27"/>
      <c r="B682" s="7"/>
      <c r="C682" s="27"/>
      <c r="D682" s="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6">
      <c r="A683" s="27"/>
      <c r="B683" s="7"/>
      <c r="C683" s="27"/>
      <c r="D683" s="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6">
      <c r="A684" s="27"/>
      <c r="B684" s="7"/>
      <c r="C684" s="27"/>
      <c r="D684" s="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6">
      <c r="A685" s="27"/>
      <c r="B685" s="7"/>
      <c r="C685" s="27"/>
      <c r="D685" s="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6">
      <c r="A686" s="27"/>
      <c r="B686" s="7"/>
      <c r="C686" s="27"/>
      <c r="D686" s="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6">
      <c r="A687" s="27"/>
      <c r="B687" s="7"/>
      <c r="C687" s="27"/>
      <c r="D687" s="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6">
      <c r="A688" s="27"/>
      <c r="B688" s="7"/>
      <c r="C688" s="27"/>
      <c r="D688" s="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6">
      <c r="A689" s="27"/>
      <c r="B689" s="7"/>
      <c r="C689" s="27"/>
      <c r="D689" s="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6">
      <c r="A690" s="27"/>
      <c r="B690" s="7"/>
      <c r="C690" s="27"/>
      <c r="D690" s="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6">
      <c r="A691" s="27"/>
      <c r="B691" s="7"/>
      <c r="C691" s="27"/>
      <c r="D691" s="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6">
      <c r="A692" s="27"/>
      <c r="B692" s="7"/>
      <c r="C692" s="27"/>
      <c r="D692" s="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6">
      <c r="A693" s="27"/>
      <c r="B693" s="7"/>
      <c r="C693" s="27"/>
      <c r="D693" s="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6">
      <c r="A694" s="27"/>
      <c r="B694" s="7"/>
      <c r="C694" s="27"/>
      <c r="D694" s="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6">
      <c r="A695" s="27"/>
      <c r="B695" s="7"/>
      <c r="C695" s="27"/>
      <c r="D695" s="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6">
      <c r="A696" s="27"/>
      <c r="B696" s="7"/>
      <c r="C696" s="27"/>
      <c r="D696" s="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6">
      <c r="A697" s="27"/>
      <c r="B697" s="7"/>
      <c r="C697" s="27"/>
      <c r="D697" s="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6">
      <c r="A698" s="27"/>
      <c r="B698" s="7"/>
      <c r="C698" s="27"/>
      <c r="D698" s="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6">
      <c r="A699" s="27"/>
      <c r="B699" s="7"/>
      <c r="C699" s="27"/>
      <c r="D699" s="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6">
      <c r="A700" s="27"/>
      <c r="B700" s="7"/>
      <c r="C700" s="27"/>
      <c r="D700" s="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6">
      <c r="A701" s="27"/>
      <c r="B701" s="7"/>
      <c r="C701" s="27"/>
      <c r="D701" s="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6">
      <c r="A702" s="27"/>
      <c r="B702" s="7"/>
      <c r="C702" s="27"/>
      <c r="D702" s="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6">
      <c r="A703" s="27"/>
      <c r="B703" s="7"/>
      <c r="C703" s="27"/>
      <c r="D703" s="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6">
      <c r="A704" s="27"/>
      <c r="B704" s="7"/>
      <c r="C704" s="27"/>
      <c r="D704" s="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6">
      <c r="A705" s="27"/>
      <c r="B705" s="7"/>
      <c r="C705" s="27"/>
      <c r="D705" s="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6">
      <c r="A706" s="27"/>
      <c r="B706" s="7"/>
      <c r="C706" s="27"/>
      <c r="D706" s="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6">
      <c r="A707" s="27"/>
      <c r="B707" s="7"/>
      <c r="C707" s="27"/>
      <c r="D707" s="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6">
      <c r="A708" s="27"/>
      <c r="B708" s="7"/>
      <c r="C708" s="27"/>
      <c r="D708" s="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6">
      <c r="A709" s="27"/>
      <c r="B709" s="7"/>
      <c r="C709" s="27"/>
      <c r="D709" s="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6">
      <c r="A710" s="27"/>
      <c r="B710" s="7"/>
      <c r="C710" s="27"/>
      <c r="D710" s="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6">
      <c r="A711" s="27"/>
      <c r="B711" s="7"/>
      <c r="C711" s="27"/>
      <c r="D711" s="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6">
      <c r="A712" s="27"/>
      <c r="B712" s="7"/>
      <c r="C712" s="27"/>
      <c r="D712" s="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6">
      <c r="A713" s="27"/>
      <c r="B713" s="7"/>
      <c r="C713" s="27"/>
      <c r="D713" s="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6">
      <c r="A714" s="27"/>
      <c r="B714" s="7"/>
      <c r="C714" s="27"/>
      <c r="D714" s="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6">
      <c r="A715" s="27"/>
      <c r="B715" s="7"/>
      <c r="C715" s="27"/>
      <c r="D715" s="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6">
      <c r="A716" s="27"/>
      <c r="B716" s="7"/>
      <c r="C716" s="27"/>
      <c r="D716" s="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6">
      <c r="A717" s="27"/>
      <c r="B717" s="7"/>
      <c r="C717" s="27"/>
      <c r="D717" s="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6">
      <c r="A718" s="27"/>
      <c r="B718" s="7"/>
      <c r="C718" s="27"/>
      <c r="D718" s="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6">
      <c r="A719" s="27"/>
      <c r="B719" s="7"/>
      <c r="C719" s="27"/>
      <c r="D719" s="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6">
      <c r="A720" s="27"/>
      <c r="B720" s="7"/>
      <c r="C720" s="27"/>
      <c r="D720" s="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6">
      <c r="A721" s="27"/>
      <c r="B721" s="7"/>
      <c r="C721" s="27"/>
      <c r="D721" s="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6">
      <c r="A722" s="27"/>
      <c r="B722" s="7"/>
      <c r="C722" s="27"/>
      <c r="D722" s="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6">
      <c r="A723" s="27"/>
      <c r="B723" s="7"/>
      <c r="C723" s="27"/>
      <c r="D723" s="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6">
      <c r="A724" s="27"/>
      <c r="B724" s="7"/>
      <c r="C724" s="27"/>
      <c r="D724" s="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6">
      <c r="A725" s="27"/>
      <c r="B725" s="7"/>
      <c r="C725" s="27"/>
      <c r="D725" s="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6">
      <c r="A726" s="27"/>
      <c r="B726" s="7"/>
      <c r="C726" s="27"/>
      <c r="D726" s="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6">
      <c r="A727" s="27"/>
      <c r="B727" s="7"/>
      <c r="C727" s="27"/>
      <c r="D727" s="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6">
      <c r="A728" s="27"/>
      <c r="B728" s="7"/>
      <c r="C728" s="27"/>
      <c r="D728" s="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6">
      <c r="A729" s="27"/>
      <c r="B729" s="7"/>
      <c r="C729" s="27"/>
      <c r="D729" s="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6">
      <c r="A730" s="27"/>
      <c r="B730" s="7"/>
      <c r="C730" s="27"/>
      <c r="D730" s="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6">
      <c r="A731" s="27"/>
      <c r="B731" s="7"/>
      <c r="C731" s="27"/>
      <c r="D731" s="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6">
      <c r="A732" s="27"/>
      <c r="B732" s="7"/>
      <c r="C732" s="27"/>
      <c r="D732" s="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6">
      <c r="A733" s="27"/>
      <c r="B733" s="7"/>
      <c r="C733" s="27"/>
      <c r="D733" s="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6">
      <c r="A734" s="27"/>
      <c r="B734" s="7"/>
      <c r="C734" s="27"/>
      <c r="D734" s="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6">
      <c r="A735" s="27"/>
      <c r="B735" s="7"/>
      <c r="C735" s="27"/>
      <c r="D735" s="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6">
      <c r="A736" s="27"/>
      <c r="B736" s="7"/>
      <c r="C736" s="27"/>
      <c r="D736" s="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6">
      <c r="A737" s="27"/>
      <c r="B737" s="7"/>
      <c r="C737" s="27"/>
      <c r="D737" s="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6">
      <c r="A738" s="27"/>
      <c r="B738" s="7"/>
      <c r="C738" s="27"/>
      <c r="D738" s="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6">
      <c r="A739" s="27"/>
      <c r="B739" s="7"/>
      <c r="C739" s="27"/>
      <c r="D739" s="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6">
      <c r="A740" s="27"/>
      <c r="B740" s="7"/>
      <c r="C740" s="27"/>
      <c r="D740" s="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6">
      <c r="A741" s="27"/>
      <c r="B741" s="7"/>
      <c r="C741" s="27"/>
      <c r="D741" s="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6">
      <c r="A742" s="27"/>
      <c r="B742" s="7"/>
      <c r="C742" s="27"/>
      <c r="D742" s="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6">
      <c r="A743" s="27"/>
      <c r="B743" s="7"/>
      <c r="C743" s="27"/>
      <c r="D743" s="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6">
      <c r="A744" s="27"/>
      <c r="B744" s="7"/>
      <c r="C744" s="27"/>
      <c r="D744" s="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6">
      <c r="A745" s="27"/>
      <c r="B745" s="7"/>
      <c r="C745" s="27"/>
      <c r="D745" s="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6">
      <c r="A746" s="27"/>
      <c r="B746" s="7"/>
      <c r="C746" s="27"/>
      <c r="D746" s="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6">
      <c r="A747" s="27"/>
      <c r="B747" s="7"/>
      <c r="C747" s="27"/>
      <c r="D747" s="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6">
      <c r="A748" s="27"/>
      <c r="B748" s="7"/>
      <c r="C748" s="27"/>
      <c r="D748" s="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6">
      <c r="A749" s="27"/>
      <c r="B749" s="7"/>
      <c r="C749" s="27"/>
      <c r="D749" s="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6">
      <c r="A750" s="27"/>
      <c r="B750" s="7"/>
      <c r="C750" s="27"/>
      <c r="D750" s="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6">
      <c r="A751" s="27"/>
      <c r="B751" s="7"/>
      <c r="C751" s="27"/>
      <c r="D751" s="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6">
      <c r="A752" s="27"/>
      <c r="B752" s="7"/>
      <c r="C752" s="27"/>
      <c r="D752" s="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6">
      <c r="A753" s="27"/>
      <c r="B753" s="7"/>
      <c r="C753" s="27"/>
      <c r="D753" s="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6">
      <c r="A754" s="27"/>
      <c r="B754" s="7"/>
      <c r="C754" s="27"/>
      <c r="D754" s="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6">
      <c r="A755" s="27"/>
      <c r="B755" s="7"/>
      <c r="C755" s="27"/>
      <c r="D755" s="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6">
      <c r="A756" s="27"/>
      <c r="B756" s="7"/>
      <c r="C756" s="27"/>
      <c r="D756" s="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6">
      <c r="A757" s="27"/>
      <c r="B757" s="7"/>
      <c r="C757" s="27"/>
      <c r="D757" s="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6">
      <c r="A758" s="27"/>
      <c r="B758" s="7"/>
      <c r="C758" s="27"/>
      <c r="D758" s="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6">
      <c r="A759" s="27"/>
      <c r="B759" s="7"/>
      <c r="C759" s="27"/>
      <c r="D759" s="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6">
      <c r="A760" s="27"/>
      <c r="B760" s="7"/>
      <c r="C760" s="27"/>
      <c r="D760" s="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6">
      <c r="A761" s="27"/>
      <c r="B761" s="7"/>
      <c r="C761" s="27"/>
      <c r="D761" s="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6">
      <c r="A762" s="27"/>
      <c r="B762" s="7"/>
      <c r="C762" s="27"/>
      <c r="D762" s="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6">
      <c r="A763" s="27"/>
      <c r="B763" s="7"/>
      <c r="C763" s="27"/>
      <c r="D763" s="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6">
      <c r="A764" s="27"/>
      <c r="B764" s="7"/>
      <c r="C764" s="27"/>
      <c r="D764" s="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6">
      <c r="A765" s="27"/>
      <c r="B765" s="7"/>
      <c r="C765" s="27"/>
      <c r="D765" s="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6">
      <c r="A766" s="27"/>
      <c r="B766" s="7"/>
      <c r="C766" s="27"/>
      <c r="D766" s="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6">
      <c r="A767" s="27"/>
      <c r="B767" s="7"/>
      <c r="C767" s="27"/>
      <c r="D767" s="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6">
      <c r="A768" s="27"/>
      <c r="B768" s="7"/>
      <c r="C768" s="27"/>
      <c r="D768" s="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6">
      <c r="A769" s="27"/>
      <c r="B769" s="7"/>
      <c r="C769" s="27"/>
      <c r="D769" s="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6">
      <c r="A770" s="27"/>
      <c r="B770" s="7"/>
      <c r="C770" s="27"/>
      <c r="D770" s="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6">
      <c r="A771" s="27"/>
      <c r="B771" s="7"/>
      <c r="C771" s="27"/>
      <c r="D771" s="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6">
      <c r="A772" s="27"/>
      <c r="B772" s="7"/>
      <c r="C772" s="27"/>
      <c r="D772" s="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6">
      <c r="A773" s="27"/>
      <c r="B773" s="7"/>
      <c r="C773" s="27"/>
      <c r="D773" s="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6">
      <c r="A774" s="27"/>
      <c r="B774" s="7"/>
      <c r="C774" s="27"/>
      <c r="D774" s="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6">
      <c r="A775" s="27"/>
      <c r="B775" s="7"/>
      <c r="C775" s="27"/>
      <c r="D775" s="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6">
      <c r="A776" s="27"/>
      <c r="B776" s="7"/>
      <c r="C776" s="27"/>
      <c r="D776" s="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6">
      <c r="A777" s="27"/>
      <c r="B777" s="7"/>
      <c r="C777" s="27"/>
      <c r="D777" s="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6">
      <c r="A778" s="27"/>
      <c r="B778" s="7"/>
      <c r="C778" s="27"/>
      <c r="D778" s="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6">
      <c r="A779" s="27"/>
      <c r="B779" s="7"/>
      <c r="C779" s="27"/>
      <c r="D779" s="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6">
      <c r="A780" s="27"/>
      <c r="B780" s="7"/>
      <c r="C780" s="27"/>
      <c r="D780" s="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6">
      <c r="A781" s="27"/>
      <c r="B781" s="7"/>
      <c r="C781" s="27"/>
      <c r="D781" s="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6">
      <c r="A782" s="27"/>
      <c r="B782" s="7"/>
      <c r="C782" s="27"/>
      <c r="D782" s="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6">
      <c r="A783" s="27"/>
      <c r="B783" s="7"/>
      <c r="C783" s="27"/>
      <c r="D783" s="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6">
      <c r="A784" s="27"/>
      <c r="B784" s="7"/>
      <c r="C784" s="27"/>
      <c r="D784" s="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6">
      <c r="A785" s="27"/>
      <c r="B785" s="7"/>
      <c r="C785" s="27"/>
      <c r="D785" s="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6">
      <c r="A786" s="27"/>
      <c r="B786" s="7"/>
      <c r="C786" s="27"/>
      <c r="D786" s="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6">
      <c r="A787" s="27"/>
      <c r="B787" s="7"/>
      <c r="C787" s="27"/>
      <c r="D787" s="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6">
      <c r="A788" s="27"/>
      <c r="B788" s="7"/>
      <c r="C788" s="27"/>
      <c r="D788" s="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6">
      <c r="A789" s="27"/>
      <c r="B789" s="7"/>
      <c r="C789" s="27"/>
      <c r="D789" s="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6">
      <c r="A790" s="27"/>
      <c r="B790" s="7"/>
      <c r="C790" s="27"/>
      <c r="D790" s="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6">
      <c r="A791" s="27"/>
      <c r="B791" s="7"/>
      <c r="C791" s="27"/>
      <c r="D791" s="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6">
      <c r="A792" s="27"/>
      <c r="B792" s="7"/>
      <c r="C792" s="27"/>
      <c r="D792" s="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6">
      <c r="A793" s="27"/>
      <c r="B793" s="7"/>
      <c r="C793" s="27"/>
      <c r="D793" s="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6">
      <c r="A794" s="27"/>
      <c r="B794" s="7"/>
      <c r="C794" s="27"/>
      <c r="D794" s="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6">
      <c r="A795" s="27"/>
      <c r="B795" s="7"/>
      <c r="C795" s="27"/>
      <c r="D795" s="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6">
      <c r="A796" s="27"/>
      <c r="B796" s="7"/>
      <c r="C796" s="27"/>
      <c r="D796" s="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6">
      <c r="A797" s="27"/>
      <c r="B797" s="7"/>
      <c r="C797" s="27"/>
      <c r="D797" s="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6">
      <c r="A798" s="27"/>
      <c r="B798" s="7"/>
      <c r="C798" s="27"/>
      <c r="D798" s="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6">
      <c r="A799" s="27"/>
      <c r="B799" s="7"/>
      <c r="C799" s="27"/>
      <c r="D799" s="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6">
      <c r="A800" s="27"/>
      <c r="B800" s="7"/>
      <c r="C800" s="27"/>
      <c r="D800" s="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6">
      <c r="A801" s="27"/>
      <c r="B801" s="7"/>
      <c r="C801" s="27"/>
      <c r="D801" s="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6">
      <c r="A802" s="27"/>
      <c r="B802" s="7"/>
      <c r="C802" s="27"/>
      <c r="D802" s="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6">
      <c r="A803" s="27"/>
      <c r="B803" s="7"/>
      <c r="C803" s="27"/>
      <c r="D803" s="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6">
      <c r="A804" s="27"/>
      <c r="B804" s="7"/>
      <c r="C804" s="27"/>
      <c r="D804" s="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6">
      <c r="A805" s="27"/>
      <c r="B805" s="7"/>
      <c r="C805" s="27"/>
      <c r="D805" s="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6">
      <c r="A806" s="27"/>
      <c r="B806" s="7"/>
      <c r="C806" s="27"/>
      <c r="D806" s="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6">
      <c r="A807" s="27"/>
      <c r="B807" s="7"/>
      <c r="C807" s="27"/>
      <c r="D807" s="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6">
      <c r="A808" s="27"/>
      <c r="B808" s="7"/>
      <c r="C808" s="27"/>
      <c r="D808" s="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6">
      <c r="A809" s="27"/>
      <c r="B809" s="7"/>
      <c r="C809" s="27"/>
      <c r="D809" s="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6">
      <c r="A810" s="27"/>
      <c r="B810" s="7"/>
      <c r="C810" s="27"/>
      <c r="D810" s="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6">
      <c r="A811" s="27"/>
      <c r="B811" s="7"/>
      <c r="C811" s="27"/>
      <c r="D811" s="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6">
      <c r="A812" s="27"/>
      <c r="B812" s="7"/>
      <c r="C812" s="27"/>
      <c r="D812" s="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6">
      <c r="A813" s="27"/>
      <c r="B813" s="7"/>
      <c r="C813" s="27"/>
      <c r="D813" s="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6">
      <c r="A814" s="27"/>
      <c r="B814" s="7"/>
      <c r="C814" s="27"/>
      <c r="D814" s="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6">
      <c r="A815" s="27"/>
      <c r="B815" s="7"/>
      <c r="C815" s="27"/>
      <c r="D815" s="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6">
      <c r="A816" s="27"/>
      <c r="B816" s="7"/>
      <c r="C816" s="27"/>
      <c r="D816" s="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6">
      <c r="A817" s="27"/>
      <c r="B817" s="7"/>
      <c r="C817" s="27"/>
      <c r="D817" s="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6">
      <c r="A818" s="27"/>
      <c r="B818" s="7"/>
      <c r="C818" s="27"/>
      <c r="D818" s="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6">
      <c r="A819" s="27"/>
      <c r="B819" s="7"/>
      <c r="C819" s="27"/>
      <c r="D819" s="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6">
      <c r="A820" s="27"/>
      <c r="B820" s="7"/>
      <c r="C820" s="27"/>
      <c r="D820" s="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6">
      <c r="A821" s="27"/>
      <c r="B821" s="7"/>
      <c r="C821" s="27"/>
      <c r="D821" s="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6">
      <c r="A822" s="27"/>
      <c r="B822" s="7"/>
      <c r="C822" s="27"/>
      <c r="D822" s="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6">
      <c r="A823" s="27"/>
      <c r="B823" s="7"/>
      <c r="C823" s="27"/>
      <c r="D823" s="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6">
      <c r="A824" s="27"/>
      <c r="B824" s="7"/>
      <c r="C824" s="27"/>
      <c r="D824" s="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6">
      <c r="A825" s="27"/>
      <c r="B825" s="7"/>
      <c r="C825" s="27"/>
      <c r="D825" s="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6">
      <c r="A826" s="27"/>
      <c r="B826" s="7"/>
      <c r="C826" s="27"/>
      <c r="D826" s="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6">
      <c r="A827" s="27"/>
      <c r="B827" s="7"/>
      <c r="C827" s="27"/>
      <c r="D827" s="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6">
      <c r="A828" s="27"/>
      <c r="B828" s="7"/>
      <c r="C828" s="27"/>
      <c r="D828" s="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6">
      <c r="A829" s="27"/>
      <c r="B829" s="7"/>
      <c r="C829" s="27"/>
      <c r="D829" s="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6">
      <c r="A830" s="27"/>
      <c r="B830" s="7"/>
      <c r="C830" s="27"/>
      <c r="D830" s="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6">
      <c r="A831" s="27"/>
      <c r="B831" s="7"/>
      <c r="C831" s="27"/>
      <c r="D831" s="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6">
      <c r="A832" s="27"/>
      <c r="B832" s="7"/>
      <c r="C832" s="27"/>
      <c r="D832" s="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6">
      <c r="A833" s="27"/>
      <c r="B833" s="7"/>
      <c r="C833" s="27"/>
      <c r="D833" s="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6">
      <c r="A834" s="27"/>
      <c r="B834" s="7"/>
      <c r="C834" s="27"/>
      <c r="D834" s="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6">
      <c r="A835" s="27"/>
      <c r="B835" s="7"/>
      <c r="C835" s="27"/>
      <c r="D835" s="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6">
      <c r="A836" s="27"/>
      <c r="B836" s="7"/>
      <c r="C836" s="27"/>
      <c r="D836" s="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6">
      <c r="A837" s="27"/>
      <c r="B837" s="7"/>
      <c r="C837" s="27"/>
      <c r="D837" s="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6">
      <c r="A838" s="27"/>
      <c r="B838" s="7"/>
      <c r="C838" s="27"/>
      <c r="D838" s="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6">
      <c r="A839" s="27"/>
      <c r="B839" s="7"/>
      <c r="C839" s="27"/>
      <c r="D839" s="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6">
      <c r="A840" s="27"/>
      <c r="B840" s="7"/>
      <c r="C840" s="27"/>
      <c r="D840" s="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6">
      <c r="A841" s="27"/>
      <c r="B841" s="7"/>
      <c r="C841" s="27"/>
      <c r="D841" s="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6">
      <c r="A842" s="27"/>
      <c r="B842" s="7"/>
      <c r="C842" s="27"/>
      <c r="D842" s="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6">
      <c r="A843" s="27"/>
      <c r="B843" s="7"/>
      <c r="C843" s="27"/>
      <c r="D843" s="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6">
      <c r="A844" s="27"/>
      <c r="B844" s="7"/>
      <c r="C844" s="27"/>
      <c r="D844" s="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6">
      <c r="A845" s="27"/>
      <c r="B845" s="7"/>
      <c r="C845" s="27"/>
      <c r="D845" s="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6">
      <c r="A846" s="27"/>
      <c r="B846" s="7"/>
      <c r="C846" s="27"/>
      <c r="D846" s="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6">
      <c r="A847" s="27"/>
      <c r="B847" s="7"/>
      <c r="C847" s="27"/>
      <c r="D847" s="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6">
      <c r="A848" s="27"/>
      <c r="B848" s="7"/>
      <c r="C848" s="27"/>
      <c r="D848" s="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6">
      <c r="A849" s="27"/>
      <c r="B849" s="7"/>
      <c r="C849" s="27"/>
      <c r="D849" s="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6">
      <c r="A850" s="27"/>
      <c r="B850" s="7"/>
      <c r="C850" s="27"/>
      <c r="D850" s="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6">
      <c r="A851" s="27"/>
      <c r="B851" s="7"/>
      <c r="C851" s="27"/>
      <c r="D851" s="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6">
      <c r="A852" s="27"/>
      <c r="B852" s="7"/>
      <c r="C852" s="27"/>
      <c r="D852" s="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6">
      <c r="A853" s="27"/>
      <c r="B853" s="7"/>
      <c r="C853" s="27"/>
      <c r="D853" s="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6">
      <c r="A854" s="27"/>
      <c r="B854" s="7"/>
      <c r="C854" s="27"/>
      <c r="D854" s="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6">
      <c r="A855" s="27"/>
      <c r="B855" s="7"/>
      <c r="C855" s="27"/>
      <c r="D855" s="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6">
      <c r="A856" s="27"/>
      <c r="B856" s="7"/>
      <c r="C856" s="27"/>
      <c r="D856" s="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6">
      <c r="A857" s="27"/>
      <c r="B857" s="7"/>
      <c r="C857" s="27"/>
      <c r="D857" s="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6">
      <c r="A858" s="27"/>
      <c r="B858" s="7"/>
      <c r="C858" s="27"/>
      <c r="D858" s="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6">
      <c r="A859" s="27"/>
      <c r="B859" s="7"/>
      <c r="C859" s="27"/>
      <c r="D859" s="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6">
      <c r="A860" s="27"/>
      <c r="B860" s="7"/>
      <c r="C860" s="27"/>
      <c r="D860" s="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6">
      <c r="A861" s="27"/>
      <c r="B861" s="7"/>
      <c r="C861" s="27"/>
      <c r="D861" s="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6">
      <c r="A862" s="27"/>
      <c r="B862" s="7"/>
      <c r="C862" s="27"/>
      <c r="D862" s="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6">
      <c r="A863" s="27"/>
      <c r="B863" s="7"/>
      <c r="C863" s="27"/>
      <c r="D863" s="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6">
      <c r="A864" s="27"/>
      <c r="B864" s="7"/>
      <c r="C864" s="27"/>
      <c r="D864" s="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6">
      <c r="A865" s="27"/>
      <c r="B865" s="7"/>
      <c r="C865" s="27"/>
      <c r="D865" s="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6">
      <c r="A866" s="27"/>
      <c r="B866" s="7"/>
      <c r="C866" s="27"/>
      <c r="D866" s="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6">
      <c r="A867" s="27"/>
      <c r="B867" s="7"/>
      <c r="C867" s="27"/>
      <c r="D867" s="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6">
      <c r="A868" s="27"/>
      <c r="B868" s="7"/>
      <c r="C868" s="27"/>
      <c r="D868" s="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6">
      <c r="A869" s="27"/>
      <c r="B869" s="7"/>
      <c r="C869" s="27"/>
      <c r="D869" s="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6">
      <c r="A870" s="27"/>
      <c r="B870" s="7"/>
      <c r="C870" s="27"/>
      <c r="D870" s="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6">
      <c r="A871" s="27"/>
      <c r="B871" s="7"/>
      <c r="C871" s="27"/>
      <c r="D871" s="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6">
      <c r="A872" s="27"/>
      <c r="B872" s="7"/>
      <c r="C872" s="27"/>
      <c r="D872" s="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6">
      <c r="A873" s="27"/>
      <c r="B873" s="7"/>
      <c r="C873" s="27"/>
      <c r="D873" s="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6">
      <c r="A874" s="27"/>
      <c r="B874" s="7"/>
      <c r="C874" s="27"/>
      <c r="D874" s="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6">
      <c r="A875" s="27"/>
      <c r="B875" s="7"/>
      <c r="C875" s="27"/>
      <c r="D875" s="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6">
      <c r="A876" s="27"/>
      <c r="B876" s="7"/>
      <c r="C876" s="27"/>
      <c r="D876" s="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6">
      <c r="A877" s="27"/>
      <c r="B877" s="7"/>
      <c r="C877" s="27"/>
      <c r="D877" s="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6">
      <c r="A878" s="27"/>
      <c r="B878" s="7"/>
      <c r="C878" s="27"/>
      <c r="D878" s="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6">
      <c r="A879" s="27"/>
      <c r="B879" s="7"/>
      <c r="C879" s="27"/>
      <c r="D879" s="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6">
      <c r="A880" s="27"/>
      <c r="B880" s="7"/>
      <c r="C880" s="27"/>
      <c r="D880" s="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6">
      <c r="A881" s="27"/>
      <c r="B881" s="7"/>
      <c r="C881" s="27"/>
      <c r="D881" s="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6">
      <c r="A882" s="27"/>
      <c r="B882" s="7"/>
      <c r="C882" s="27"/>
      <c r="D882" s="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6">
      <c r="A883" s="27"/>
      <c r="B883" s="7"/>
      <c r="C883" s="27"/>
      <c r="D883" s="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6">
      <c r="A884" s="27"/>
      <c r="B884" s="7"/>
      <c r="C884" s="27"/>
      <c r="D884" s="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6">
      <c r="A885" s="27"/>
      <c r="B885" s="7"/>
      <c r="C885" s="27"/>
      <c r="D885" s="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6">
      <c r="A886" s="27"/>
      <c r="B886" s="7"/>
      <c r="C886" s="27"/>
      <c r="D886" s="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6">
      <c r="A887" s="27"/>
      <c r="B887" s="7"/>
      <c r="C887" s="27"/>
      <c r="D887" s="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6">
      <c r="A888" s="27"/>
      <c r="B888" s="7"/>
      <c r="C888" s="27"/>
      <c r="D888" s="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6">
      <c r="A889" s="27"/>
      <c r="B889" s="7"/>
      <c r="C889" s="27"/>
      <c r="D889" s="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6">
      <c r="A890" s="27"/>
      <c r="B890" s="7"/>
      <c r="C890" s="27"/>
      <c r="D890" s="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6">
      <c r="A891" s="27"/>
      <c r="B891" s="7"/>
      <c r="C891" s="27"/>
      <c r="D891" s="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6">
      <c r="A892" s="27"/>
      <c r="B892" s="7"/>
      <c r="C892" s="27"/>
      <c r="D892" s="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6">
      <c r="A893" s="27"/>
      <c r="B893" s="7"/>
      <c r="C893" s="27"/>
      <c r="D893" s="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6">
      <c r="A894" s="27"/>
      <c r="B894" s="7"/>
      <c r="C894" s="27"/>
      <c r="D894" s="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6">
      <c r="A895" s="27"/>
      <c r="B895" s="7"/>
      <c r="C895" s="27"/>
      <c r="D895" s="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6">
      <c r="A896" s="27"/>
      <c r="B896" s="7"/>
      <c r="C896" s="27"/>
      <c r="D896" s="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6">
      <c r="A897" s="27"/>
      <c r="B897" s="7"/>
      <c r="C897" s="27"/>
      <c r="D897" s="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6">
      <c r="A898" s="27"/>
      <c r="B898" s="7"/>
      <c r="C898" s="27"/>
      <c r="D898" s="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6">
      <c r="A899" s="27"/>
      <c r="B899" s="7"/>
      <c r="C899" s="27"/>
      <c r="D899" s="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6">
      <c r="A900" s="27"/>
      <c r="B900" s="7"/>
      <c r="C900" s="27"/>
      <c r="D900" s="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6">
      <c r="A901" s="27"/>
      <c r="B901" s="7"/>
      <c r="C901" s="27"/>
      <c r="D901" s="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6">
      <c r="A902" s="27"/>
      <c r="B902" s="7"/>
      <c r="C902" s="27"/>
      <c r="D902" s="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6">
      <c r="A903" s="27"/>
      <c r="B903" s="7"/>
      <c r="C903" s="27"/>
      <c r="D903" s="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6">
      <c r="A904" s="27"/>
      <c r="B904" s="7"/>
      <c r="C904" s="27"/>
      <c r="D904" s="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6">
      <c r="A905" s="27"/>
      <c r="B905" s="7"/>
      <c r="C905" s="27"/>
      <c r="D905" s="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6">
      <c r="A906" s="27"/>
      <c r="B906" s="7"/>
      <c r="C906" s="27"/>
      <c r="D906" s="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6">
      <c r="A907" s="27"/>
      <c r="B907" s="7"/>
      <c r="C907" s="27"/>
      <c r="D907" s="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6">
      <c r="A908" s="27"/>
      <c r="B908" s="7"/>
      <c r="C908" s="27"/>
      <c r="D908" s="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6">
      <c r="A909" s="27"/>
      <c r="B909" s="7"/>
      <c r="C909" s="27"/>
      <c r="D909" s="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6">
      <c r="A910" s="27"/>
      <c r="B910" s="7"/>
      <c r="C910" s="27"/>
      <c r="D910" s="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6">
      <c r="A911" s="27"/>
      <c r="B911" s="7"/>
      <c r="C911" s="27"/>
      <c r="D911" s="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6">
      <c r="A912" s="27"/>
      <c r="B912" s="7"/>
      <c r="C912" s="27"/>
      <c r="D912" s="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6">
      <c r="A913" s="27"/>
      <c r="B913" s="7"/>
      <c r="C913" s="27"/>
      <c r="D913" s="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6">
      <c r="A914" s="27"/>
      <c r="B914" s="7"/>
      <c r="C914" s="27"/>
      <c r="D914" s="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6">
      <c r="A915" s="27"/>
      <c r="B915" s="7"/>
      <c r="C915" s="27"/>
      <c r="D915" s="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6">
      <c r="A916" s="27"/>
      <c r="B916" s="7"/>
      <c r="C916" s="27"/>
      <c r="D916" s="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6">
      <c r="A917" s="27"/>
      <c r="B917" s="7"/>
      <c r="C917" s="27"/>
      <c r="D917" s="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6">
      <c r="A918" s="27"/>
      <c r="B918" s="7"/>
      <c r="C918" s="27"/>
      <c r="D918" s="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6">
      <c r="A919" s="27"/>
      <c r="B919" s="7"/>
      <c r="C919" s="27"/>
      <c r="D919" s="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6">
      <c r="A920" s="27"/>
      <c r="B920" s="7"/>
      <c r="C920" s="27"/>
      <c r="D920" s="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6">
      <c r="A921" s="27"/>
      <c r="B921" s="7"/>
      <c r="C921" s="27"/>
      <c r="D921" s="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6">
      <c r="A922" s="27"/>
      <c r="B922" s="7"/>
      <c r="C922" s="27"/>
      <c r="D922" s="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6">
      <c r="A923" s="27"/>
      <c r="B923" s="7"/>
      <c r="C923" s="27"/>
      <c r="D923" s="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6">
      <c r="A924" s="27"/>
      <c r="B924" s="7"/>
      <c r="C924" s="27"/>
      <c r="D924" s="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6">
      <c r="A925" s="27"/>
      <c r="B925" s="7"/>
      <c r="C925" s="27"/>
      <c r="D925" s="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6">
      <c r="A926" s="27"/>
      <c r="B926" s="7"/>
      <c r="C926" s="27"/>
      <c r="D926" s="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6">
      <c r="A927" s="27"/>
      <c r="B927" s="7"/>
      <c r="C927" s="27"/>
      <c r="D927" s="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6">
      <c r="A928" s="27"/>
      <c r="B928" s="7"/>
      <c r="C928" s="27"/>
      <c r="D928" s="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6">
      <c r="A929" s="27"/>
      <c r="B929" s="7"/>
      <c r="C929" s="27"/>
      <c r="D929" s="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6">
      <c r="A930" s="27"/>
      <c r="B930" s="7"/>
      <c r="C930" s="27"/>
      <c r="D930" s="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6">
      <c r="A931" s="27"/>
      <c r="B931" s="7"/>
      <c r="C931" s="27"/>
      <c r="D931" s="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6">
      <c r="A932" s="27"/>
      <c r="B932" s="7"/>
      <c r="C932" s="27"/>
      <c r="D932" s="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6">
      <c r="A933" s="27"/>
      <c r="B933" s="7"/>
      <c r="C933" s="27"/>
      <c r="D933" s="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6">
      <c r="A934" s="27"/>
      <c r="B934" s="7"/>
      <c r="C934" s="27"/>
      <c r="D934" s="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6">
      <c r="A935" s="27"/>
      <c r="B935" s="7"/>
      <c r="C935" s="27"/>
      <c r="D935" s="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6">
      <c r="A936" s="27"/>
      <c r="B936" s="7"/>
      <c r="C936" s="27"/>
      <c r="D936" s="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6">
      <c r="A937" s="27"/>
      <c r="B937" s="7"/>
      <c r="C937" s="27"/>
      <c r="D937" s="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6">
      <c r="A938" s="27"/>
      <c r="B938" s="7"/>
      <c r="C938" s="27"/>
      <c r="D938" s="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6">
      <c r="A939" s="27"/>
      <c r="B939" s="7"/>
      <c r="C939" s="27"/>
      <c r="D939" s="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6">
      <c r="A940" s="27"/>
      <c r="B940" s="7"/>
      <c r="C940" s="27"/>
      <c r="D940" s="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6">
      <c r="A941" s="27"/>
      <c r="B941" s="7"/>
      <c r="C941" s="27"/>
      <c r="D941" s="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6">
      <c r="A942" s="27"/>
      <c r="B942" s="7"/>
      <c r="C942" s="27"/>
      <c r="D942" s="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6">
      <c r="A943" s="27"/>
      <c r="B943" s="7"/>
      <c r="C943" s="27"/>
      <c r="D943" s="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6">
      <c r="A944" s="27"/>
      <c r="B944" s="7"/>
      <c r="C944" s="27"/>
      <c r="D944" s="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6">
      <c r="A945" s="27"/>
      <c r="B945" s="7"/>
      <c r="C945" s="27"/>
      <c r="D945" s="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6">
      <c r="A946" s="27"/>
      <c r="B946" s="7"/>
      <c r="C946" s="27"/>
      <c r="D946" s="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6">
      <c r="A947" s="27"/>
      <c r="B947" s="7"/>
      <c r="C947" s="27"/>
      <c r="D947" s="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6">
      <c r="A948" s="27"/>
      <c r="B948" s="7"/>
      <c r="C948" s="27"/>
      <c r="D948" s="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6">
      <c r="A949" s="27"/>
      <c r="B949" s="7"/>
      <c r="C949" s="27"/>
      <c r="D949" s="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6">
      <c r="A950" s="27"/>
      <c r="B950" s="7"/>
      <c r="C950" s="27"/>
      <c r="D950" s="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6">
      <c r="A951" s="27"/>
      <c r="B951" s="7"/>
      <c r="C951" s="27"/>
      <c r="D951" s="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6">
      <c r="A952" s="27"/>
      <c r="B952" s="7"/>
      <c r="C952" s="27"/>
      <c r="D952" s="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6">
      <c r="A953" s="27"/>
      <c r="B953" s="7"/>
      <c r="C953" s="27"/>
      <c r="D953" s="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6">
      <c r="A954" s="27"/>
      <c r="B954" s="7"/>
      <c r="C954" s="27"/>
      <c r="D954" s="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6">
      <c r="A955" s="27"/>
      <c r="B955" s="7"/>
      <c r="C955" s="27"/>
      <c r="D955" s="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6">
      <c r="A956" s="27"/>
      <c r="B956" s="7"/>
      <c r="C956" s="27"/>
      <c r="D956" s="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6">
      <c r="A957" s="27"/>
      <c r="B957" s="7"/>
      <c r="C957" s="27"/>
      <c r="D957" s="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6">
      <c r="A958" s="27"/>
      <c r="B958" s="7"/>
      <c r="C958" s="27"/>
      <c r="D958" s="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6">
      <c r="A959" s="27"/>
      <c r="B959" s="7"/>
      <c r="C959" s="27"/>
      <c r="D959" s="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6">
      <c r="A960" s="27"/>
      <c r="B960" s="7"/>
      <c r="C960" s="27"/>
      <c r="D960" s="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6">
      <c r="A961" s="27"/>
      <c r="B961" s="7"/>
      <c r="C961" s="27"/>
      <c r="D961" s="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6">
      <c r="A962" s="27"/>
      <c r="B962" s="7"/>
      <c r="C962" s="27"/>
      <c r="D962" s="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6">
      <c r="A963" s="27"/>
      <c r="B963" s="7"/>
      <c r="C963" s="27"/>
      <c r="D963" s="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6">
      <c r="A964" s="27"/>
      <c r="B964" s="7"/>
      <c r="C964" s="27"/>
      <c r="D964" s="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6">
      <c r="A965" s="27"/>
      <c r="B965" s="7"/>
      <c r="C965" s="27"/>
      <c r="D965" s="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6">
      <c r="A966" s="27"/>
      <c r="B966" s="7"/>
      <c r="C966" s="27"/>
      <c r="D966" s="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6">
      <c r="A967" s="27"/>
      <c r="B967" s="7"/>
      <c r="C967" s="27"/>
      <c r="D967" s="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6">
      <c r="A968" s="27"/>
      <c r="B968" s="7"/>
      <c r="C968" s="27"/>
      <c r="D968" s="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6">
      <c r="A969" s="27"/>
      <c r="B969" s="7"/>
      <c r="C969" s="27"/>
      <c r="D969" s="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6">
      <c r="A970" s="27"/>
      <c r="B970" s="7"/>
      <c r="C970" s="27"/>
      <c r="D970" s="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6">
      <c r="A971" s="27"/>
      <c r="B971" s="7"/>
      <c r="C971" s="27"/>
      <c r="D971" s="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6">
      <c r="A972" s="27"/>
      <c r="B972" s="7"/>
      <c r="C972" s="27"/>
      <c r="D972" s="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6">
      <c r="A973" s="27"/>
      <c r="B973" s="7"/>
      <c r="C973" s="27"/>
      <c r="D973" s="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6">
      <c r="A974" s="27"/>
      <c r="B974" s="7"/>
      <c r="C974" s="27"/>
      <c r="D974" s="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6">
      <c r="A975" s="27"/>
      <c r="B975" s="7"/>
      <c r="C975" s="27"/>
      <c r="D975" s="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6">
      <c r="A976" s="27"/>
      <c r="B976" s="7"/>
      <c r="C976" s="27"/>
      <c r="D976" s="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6">
      <c r="A977" s="27"/>
      <c r="B977" s="7"/>
      <c r="C977" s="27"/>
      <c r="D977" s="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6">
      <c r="A978" s="27"/>
      <c r="B978" s="7"/>
      <c r="C978" s="27"/>
      <c r="D978" s="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6">
      <c r="A979" s="27"/>
      <c r="B979" s="7"/>
      <c r="C979" s="27"/>
      <c r="D979" s="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6">
      <c r="A980" s="27"/>
      <c r="B980" s="7"/>
      <c r="C980" s="27"/>
      <c r="D980" s="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6">
      <c r="A981" s="27"/>
      <c r="B981" s="7"/>
      <c r="C981" s="27"/>
      <c r="D981" s="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6">
      <c r="A982" s="27"/>
      <c r="B982" s="7"/>
      <c r="C982" s="27"/>
      <c r="D982" s="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6">
      <c r="A983" s="27"/>
      <c r="B983" s="7"/>
      <c r="C983" s="27"/>
      <c r="D983" s="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6">
      <c r="A984" s="27"/>
      <c r="B984" s="7"/>
      <c r="C984" s="27"/>
      <c r="D984" s="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6">
      <c r="A985" s="27"/>
      <c r="B985" s="7"/>
      <c r="C985" s="27"/>
      <c r="D985" s="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6">
      <c r="A986" s="27"/>
      <c r="B986" s="7"/>
      <c r="C986" s="27"/>
      <c r="D986" s="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6">
      <c r="A987" s="27"/>
      <c r="B987" s="7"/>
      <c r="C987" s="27"/>
      <c r="D987" s="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6">
      <c r="A988" s="27"/>
      <c r="B988" s="7"/>
      <c r="C988" s="27"/>
      <c r="D988" s="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6">
      <c r="A989" s="27"/>
      <c r="B989" s="7"/>
      <c r="C989" s="27"/>
      <c r="D989" s="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6">
      <c r="A990" s="27"/>
      <c r="B990" s="7"/>
      <c r="C990" s="27"/>
      <c r="D990" s="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6">
      <c r="A991" s="27"/>
      <c r="B991" s="7"/>
      <c r="C991" s="27"/>
      <c r="D991" s="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6">
      <c r="A992" s="27"/>
      <c r="B992" s="7"/>
      <c r="C992" s="27"/>
      <c r="D992" s="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6">
      <c r="A993" s="27"/>
      <c r="B993" s="7"/>
      <c r="C993" s="27"/>
      <c r="D993" s="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6">
      <c r="A994" s="27"/>
      <c r="B994" s="7"/>
      <c r="C994" s="27"/>
      <c r="D994" s="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6">
      <c r="A995" s="27"/>
      <c r="B995" s="7"/>
      <c r="C995" s="27"/>
      <c r="D995" s="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6">
      <c r="A996" s="27"/>
      <c r="B996" s="7"/>
      <c r="C996" s="27"/>
      <c r="D996" s="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6">
      <c r="A997" s="27"/>
      <c r="B997" s="7"/>
      <c r="C997" s="27"/>
      <c r="D997" s="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6">
      <c r="A998" s="27"/>
      <c r="B998" s="7"/>
      <c r="C998" s="27"/>
      <c r="D998" s="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6">
      <c r="A999" s="27"/>
      <c r="B999" s="7"/>
      <c r="C999" s="27"/>
      <c r="D999" s="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6">
      <c r="A1000" s="27"/>
      <c r="B1000" s="7"/>
      <c r="C1000" s="27"/>
      <c r="D1000" s="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07">
    <mergeCell ref="B523:E523"/>
    <mergeCell ref="B460:E460"/>
    <mergeCell ref="B471:E471"/>
    <mergeCell ref="B473:E473"/>
    <mergeCell ref="B474:E474"/>
    <mergeCell ref="B394:E394"/>
    <mergeCell ref="B395:E395"/>
    <mergeCell ref="B398:E398"/>
    <mergeCell ref="B403:E403"/>
    <mergeCell ref="B409:E409"/>
    <mergeCell ref="B527:E527"/>
    <mergeCell ref="B528:E528"/>
    <mergeCell ref="B420:E420"/>
    <mergeCell ref="B421:E421"/>
    <mergeCell ref="B424:E424"/>
    <mergeCell ref="B429:E429"/>
    <mergeCell ref="B435:E435"/>
    <mergeCell ref="B445:E445"/>
    <mergeCell ref="B446:E446"/>
    <mergeCell ref="B449:E449"/>
    <mergeCell ref="B454:E454"/>
    <mergeCell ref="B484:E484"/>
    <mergeCell ref="B493:E493"/>
    <mergeCell ref="B494:E494"/>
    <mergeCell ref="B499:E499"/>
    <mergeCell ref="B500:E500"/>
    <mergeCell ref="B511:E511"/>
    <mergeCell ref="B512:E512"/>
    <mergeCell ref="B522:E522"/>
    <mergeCell ref="B212:E212"/>
    <mergeCell ref="B213:E213"/>
    <mergeCell ref="B222:E222"/>
    <mergeCell ref="B223:E223"/>
    <mergeCell ref="B320:E320"/>
    <mergeCell ref="B321:E321"/>
    <mergeCell ref="B338:E338"/>
    <mergeCell ref="B339:E339"/>
    <mergeCell ref="B343:E343"/>
    <mergeCell ref="B483:E483"/>
    <mergeCell ref="B231:E231"/>
    <mergeCell ref="B232:E232"/>
    <mergeCell ref="B243:E243"/>
    <mergeCell ref="B244:E244"/>
    <mergeCell ref="B259:E259"/>
    <mergeCell ref="B260:E260"/>
    <mergeCell ref="B270:E270"/>
    <mergeCell ref="B271:E271"/>
    <mergeCell ref="B285:E285"/>
    <mergeCell ref="B286:E286"/>
    <mergeCell ref="B295:E295"/>
    <mergeCell ref="B296:E296"/>
    <mergeCell ref="B310:E310"/>
    <mergeCell ref="B311:E311"/>
    <mergeCell ref="B354:E354"/>
    <mergeCell ref="B359:E359"/>
    <mergeCell ref="B367:E367"/>
    <mergeCell ref="B369:E369"/>
    <mergeCell ref="B349:E349"/>
    <mergeCell ref="B370:E370"/>
    <mergeCell ref="B373:E373"/>
    <mergeCell ref="B378:E378"/>
    <mergeCell ref="B384:E384"/>
    <mergeCell ref="B166:E166"/>
    <mergeCell ref="B175:E175"/>
    <mergeCell ref="B192:E192"/>
    <mergeCell ref="B210:E210"/>
    <mergeCell ref="B96:E96"/>
    <mergeCell ref="B97:E97"/>
    <mergeCell ref="B116:E116"/>
    <mergeCell ref="B117:E117"/>
    <mergeCell ref="B129:E129"/>
    <mergeCell ref="B130:E130"/>
    <mergeCell ref="B137:E137"/>
    <mergeCell ref="B138:E138"/>
    <mergeCell ref="B144:E144"/>
    <mergeCell ref="B145:E145"/>
    <mergeCell ref="B156:E156"/>
    <mergeCell ref="B157:E157"/>
    <mergeCell ref="B161:E161"/>
    <mergeCell ref="B165:E165"/>
    <mergeCell ref="B80:E80"/>
    <mergeCell ref="B87:E87"/>
    <mergeCell ref="B88:E88"/>
    <mergeCell ref="B94:E94"/>
    <mergeCell ref="B26:E26"/>
    <mergeCell ref="B29:E29"/>
    <mergeCell ref="B31:E31"/>
    <mergeCell ref="B42:E42"/>
    <mergeCell ref="B43:E43"/>
    <mergeCell ref="B48:E48"/>
    <mergeCell ref="B49:E49"/>
    <mergeCell ref="B56:E56"/>
    <mergeCell ref="B57:E57"/>
    <mergeCell ref="B64:E64"/>
    <mergeCell ref="B65:E65"/>
    <mergeCell ref="B72:E72"/>
    <mergeCell ref="B73:E73"/>
    <mergeCell ref="B79:E79"/>
    <mergeCell ref="B14:E14"/>
    <mergeCell ref="B16:E16"/>
    <mergeCell ref="B19:E19"/>
    <mergeCell ref="B25:E25"/>
    <mergeCell ref="B2:E2"/>
    <mergeCell ref="B3:E3"/>
    <mergeCell ref="B8:E8"/>
    <mergeCell ref="B10:E10"/>
    <mergeCell ref="B11:E11"/>
  </mergeCells>
  <conditionalFormatting sqref="C385:C386">
    <cfRule type="expression" dxfId="144" priority="1">
      <formula>OR((private_cloud_result="Excluded"),(private_cloud_chosen="Connect Instance"))</formula>
    </cfRule>
  </conditionalFormatting>
  <conditionalFormatting sqref="C388:C390">
    <cfRule type="expression" dxfId="143" priority="2">
      <formula>OR((private_cloud_result="Excluded"),(private_cloud_chosen="Connect Instance"))</formula>
    </cfRule>
  </conditionalFormatting>
  <conditionalFormatting sqref="C410:C411">
    <cfRule type="expression" dxfId="142" priority="3">
      <formula>OR((private_cloud_result="Excluded"),(private_cloud_chosen="Connect Instance"))</formula>
    </cfRule>
  </conditionalFormatting>
  <conditionalFormatting sqref="C413:C415">
    <cfRule type="expression" dxfId="141" priority="4">
      <formula>OR((private_cloud_result="Excluded"),(private_cloud_chosen="Connect Instance"))</formula>
    </cfRule>
  </conditionalFormatting>
  <conditionalFormatting sqref="C417">
    <cfRule type="expression" dxfId="140" priority="5">
      <formula>OR((private_cloud_result="Excluded"),(private_cloud_chosen="Connect Instance"))</formula>
    </cfRule>
  </conditionalFormatting>
  <conditionalFormatting sqref="C436:C437">
    <cfRule type="expression" dxfId="139" priority="6">
      <formula>OR((private_cloud_result="Excluded"),(private_cloud_chosen="Connect Instance"))</formula>
    </cfRule>
  </conditionalFormatting>
  <conditionalFormatting sqref="C439:C441">
    <cfRule type="expression" dxfId="138" priority="7">
      <formula>OR((private_cloud_result="Excluded"),(private_cloud_chosen="Connect Instance"))</formula>
    </cfRule>
  </conditionalFormatting>
  <conditionalFormatting sqref="C461:C462">
    <cfRule type="expression" dxfId="137" priority="8">
      <formula>OR((private_cloud_result="Excluded"),(private_cloud_chosen="Connect Instance"))</formula>
    </cfRule>
  </conditionalFormatting>
  <conditionalFormatting sqref="C464:C466">
    <cfRule type="expression" dxfId="136" priority="9">
      <formula>OR((private_cloud_result="Excluded"),(private_cloud_chosen="Connect Instance"))</formula>
    </cfRule>
  </conditionalFormatting>
  <conditionalFormatting sqref="C468">
    <cfRule type="expression" dxfId="135" priority="10">
      <formula>OR((private_cloud_result="Excluded"),(private_cloud_chosen="Connect Instance"))</formula>
    </cfRule>
  </conditionalFormatting>
  <conditionalFormatting sqref="D13 D17 D21:D23 D30 D32:D40 D45:D46 D51:D54 D59:D62 D67:D70 D75:D77 D82:D85 D90:D92 D99:D114 D119:D127 D132:D135 D140:D142 D147:D154 D159:D160 D162:D163 D168:D174 D176:D191 D193:D208 D215:D220 D225:D229 D234:D241 D246:D257 D262:D268 D273:D283 D288:D293 D298:D308 D313:D318 D323:D336 D341:D342 D344:D348 D350:D353 D355:D358 D360:D365 D372 D374:D377 D379:D383 D385:D392 D397 D399:D402 D404:D408 D410:D418 D423 D425:D428 D430:D434 D436:D443 D448 D450:D453 D455:D459 D461:D469 D476:D481 D486:D491 D496:D497 D502:D509 D514:D520 D525 D530:D533">
    <cfRule type="containsBlanks" dxfId="134" priority="11">
      <formula>LEN(TRIM(D13))=0</formula>
    </cfRule>
    <cfRule type="notContainsBlanks" dxfId="133" priority="12">
      <formula>LEN(TRIM(D13))&gt;0</formula>
    </cfRule>
  </conditionalFormatting>
  <conditionalFormatting sqref="D15">
    <cfRule type="containsBlanks" dxfId="132" priority="13">
      <formula>LEN(TRIM(D15))=0</formula>
    </cfRule>
    <cfRule type="notContainsBlanks" dxfId="131" priority="14">
      <formula>LEN(TRIM(D15))&gt;0</formula>
    </cfRule>
  </conditionalFormatting>
  <conditionalFormatting sqref="D28">
    <cfRule type="containsBlanks" dxfId="130" priority="15">
      <formula>LEN(TRIM(D28))=0</formula>
    </cfRule>
    <cfRule type="notContainsBlanks" dxfId="129" priority="16">
      <formula>LEN(TRIM(D28))&gt;0</formula>
    </cfRule>
  </conditionalFormatting>
  <hyperlinks>
    <hyperlink ref="B5" location="'Site Protection &amp; DR'!navigation_site_protection_mgmt" display="Management Domain" xr:uid="{00000000-0004-0000-0C00-000000000000}"/>
    <hyperlink ref="C5" location="'Site Protection &amp; DR'!navigation_site_protection_solution_interop" display="Solution Interoperability" xr:uid="{00000000-0004-0000-0C00-000001000000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CC2E5"/>
  </sheetPr>
  <dimension ref="A1:Z1000"/>
  <sheetViews>
    <sheetView showGridLines="0" workbookViewId="0"/>
  </sheetViews>
  <sheetFormatPr baseColWidth="10" defaultColWidth="12.6640625" defaultRowHeight="13"/>
  <cols>
    <col min="1" max="1" width="3.1640625" customWidth="1"/>
    <col min="2" max="4" width="85.1640625" customWidth="1"/>
    <col min="5" max="5" width="113.33203125" customWidth="1"/>
    <col min="6" max="6" width="12.1640625" customWidth="1"/>
    <col min="7" max="26" width="11.83203125" customWidth="1"/>
  </cols>
  <sheetData>
    <row r="1" spans="1:26" ht="16">
      <c r="A1" s="27"/>
      <c r="B1" s="27"/>
      <c r="C1" s="7"/>
      <c r="D1" s="7"/>
      <c r="E1" s="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54" customHeight="1">
      <c r="A2" s="122"/>
      <c r="B2" s="229" t="s">
        <v>8580</v>
      </c>
      <c r="C2" s="183"/>
      <c r="D2" s="183"/>
      <c r="E2" s="181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9.5" customHeight="1">
      <c r="A3" s="123"/>
      <c r="B3" s="202" t="s">
        <v>8581</v>
      </c>
      <c r="C3" s="183"/>
      <c r="D3" s="183"/>
      <c r="E3" s="181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6">
      <c r="A4" s="27"/>
      <c r="B4" s="27"/>
      <c r="C4" s="7"/>
      <c r="D4" s="7"/>
      <c r="E4" s="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6">
      <c r="A5" s="27"/>
      <c r="B5" s="27"/>
      <c r="C5" s="7"/>
      <c r="D5" s="7"/>
      <c r="E5" s="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31.5" customHeight="1">
      <c r="A6" s="27"/>
      <c r="B6" s="218" t="s">
        <v>8582</v>
      </c>
      <c r="C6" s="183"/>
      <c r="D6" s="183"/>
      <c r="E6" s="181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9.5" customHeight="1">
      <c r="A7" s="27"/>
      <c r="B7" s="213"/>
      <c r="C7" s="183"/>
      <c r="D7" s="183"/>
      <c r="E7" s="181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9.5" customHeight="1">
      <c r="A8" s="27"/>
      <c r="B8" s="81" t="s">
        <v>8389</v>
      </c>
      <c r="C8" s="81" t="s">
        <v>8390</v>
      </c>
      <c r="D8" s="81" t="s">
        <v>6943</v>
      </c>
      <c r="E8" s="81" t="s">
        <v>8181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9.5" customHeight="1">
      <c r="A9" s="27"/>
      <c r="B9" s="30" t="s">
        <v>8369</v>
      </c>
      <c r="C9" s="31" t="e">
        <f>CONCATENATE(this_instance,"-m01-vc01.",sample_child_dns_zone)</f>
        <v>#REF!</v>
      </c>
      <c r="D9" s="13"/>
      <c r="E9" s="13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9.5" customHeight="1">
      <c r="A10" s="27"/>
      <c r="B10" s="30" t="s">
        <v>6317</v>
      </c>
      <c r="C10" s="31" t="e">
        <f>sample_mgmt_cl01_cluster</f>
        <v>#REF!</v>
      </c>
      <c r="D10" s="13"/>
      <c r="E10" s="13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9.5" customHeight="1">
      <c r="A11" s="27"/>
      <c r="B11" s="30" t="s">
        <v>8303</v>
      </c>
      <c r="C11" s="112" t="e">
        <f>CONCATENATE(this_instance,"-w01-vlr01")</f>
        <v>#REF!</v>
      </c>
      <c r="D11" s="13"/>
      <c r="E11" s="13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9.5" customHeight="1">
      <c r="A12" s="27"/>
      <c r="B12" s="30" t="s">
        <v>8305</v>
      </c>
      <c r="C12" s="31" t="e">
        <f>sample_mgmt_cl01_cluster</f>
        <v>#REF!</v>
      </c>
      <c r="D12" s="13"/>
      <c r="E12" s="13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9.5" customHeight="1">
      <c r="A13" s="27"/>
      <c r="B13" s="30" t="s">
        <v>7847</v>
      </c>
      <c r="C13" s="31" t="e">
        <f>sample_mgmt_cl01_vsan_datastore</f>
        <v>#REF!</v>
      </c>
      <c r="D13" s="13"/>
      <c r="E13" s="13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9.5" customHeight="1">
      <c r="A14" s="27"/>
      <c r="B14" s="30" t="s">
        <v>8306</v>
      </c>
      <c r="C14" s="31" t="e">
        <f>sample_mgmt_cl01_az1_mgmt_vm_pg</f>
        <v>#REF!</v>
      </c>
      <c r="D14" s="13"/>
      <c r="E14" s="13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9.5" customHeight="1">
      <c r="A15" s="27"/>
      <c r="B15" s="30" t="s">
        <v>6786</v>
      </c>
      <c r="C15" s="31" t="e">
        <f>CONCATENATE(this_instance,"-w01-vlr01",".",sample_child_dns_zone)</f>
        <v>#REF!</v>
      </c>
      <c r="D15" s="13" t="str">
        <f>wld_vlr_fqdn</f>
        <v>Value Missing.Value Missing</v>
      </c>
      <c r="E15" s="13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9.5" customHeight="1">
      <c r="A16" s="27"/>
      <c r="B16" s="30" t="s">
        <v>8583</v>
      </c>
      <c r="C16" s="31" t="s">
        <v>6709</v>
      </c>
      <c r="D16" s="13"/>
      <c r="E16" s="13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9.5" customHeight="1">
      <c r="A17" s="27"/>
      <c r="B17" s="30" t="s">
        <v>8584</v>
      </c>
      <c r="C17" s="31" t="s">
        <v>6709</v>
      </c>
      <c r="D17" s="13"/>
      <c r="E17" s="13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9.5" customHeight="1">
      <c r="A18" s="27"/>
      <c r="B18" s="30" t="s">
        <v>6697</v>
      </c>
      <c r="C18" s="31" t="e">
        <f>sample_region_ntp1_server</f>
        <v>#REF!</v>
      </c>
      <c r="D18" s="13"/>
      <c r="E18" s="13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9.5" customHeight="1">
      <c r="A19" s="27"/>
      <c r="B19" s="30" t="s">
        <v>7989</v>
      </c>
      <c r="C19" s="31" t="e">
        <f>sample_mgmt_az1_mgmt_vm_gateway_cidr</f>
        <v>#REF!</v>
      </c>
      <c r="D19" s="13"/>
      <c r="E19" s="13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9.5" customHeight="1">
      <c r="A20" s="27"/>
      <c r="B20" s="30" t="s">
        <v>6692</v>
      </c>
      <c r="C20" s="31" t="e">
        <f>CONCATENATE(this_instance,".rainpole.io")</f>
        <v>#REF!</v>
      </c>
      <c r="D20" s="13"/>
      <c r="E20" s="13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9.5" customHeight="1">
      <c r="A21" s="27"/>
      <c r="B21" s="30" t="s">
        <v>6693</v>
      </c>
      <c r="C21" s="31" t="e">
        <f>sample_rwr_child_dns_zone</f>
        <v>#REF!</v>
      </c>
      <c r="D21" s="13" t="str">
        <f>rwr_child_dns_zone</f>
        <v>Value Missing</v>
      </c>
      <c r="E21" s="13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9.5" customHeight="1">
      <c r="A22" s="27"/>
      <c r="B22" s="30" t="s">
        <v>8310</v>
      </c>
      <c r="C22" s="31" t="e">
        <f>CONCATENATE(sample_region_dns1_ip,",",sample_region_dns2_ip)</f>
        <v>#REF!</v>
      </c>
      <c r="D22" s="13"/>
      <c r="E22" s="13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9.5" customHeight="1">
      <c r="A23" s="27"/>
      <c r="B23" s="30" t="s">
        <v>8311</v>
      </c>
      <c r="C23" s="112" t="e">
        <f>IF(mgmt_dpg_reuse_result="Included",CONCATENATE(prefix_mgmt_az1_cidr,"10.127"),CONCATENATE(prefix_mgmt_az1_cidr,"11.127"))</f>
        <v>#REF!</v>
      </c>
      <c r="D23" s="13"/>
      <c r="E23" s="13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9.5" customHeight="1">
      <c r="A24" s="27"/>
      <c r="B24" s="30" t="s">
        <v>8585</v>
      </c>
      <c r="C24" s="31">
        <v>24</v>
      </c>
      <c r="D24" s="13"/>
      <c r="E24" s="13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6">
      <c r="A25" s="27"/>
      <c r="B25" s="27"/>
      <c r="C25" s="7"/>
      <c r="D25" s="7"/>
      <c r="E25" s="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31.5" customHeight="1">
      <c r="A26" s="27"/>
      <c r="B26" s="218" t="s">
        <v>8586</v>
      </c>
      <c r="C26" s="183"/>
      <c r="D26" s="183"/>
      <c r="E26" s="181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9.5" customHeight="1">
      <c r="A27" s="27"/>
      <c r="B27" s="213"/>
      <c r="C27" s="183"/>
      <c r="D27" s="183"/>
      <c r="E27" s="181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9.5" customHeight="1">
      <c r="A28" s="27"/>
      <c r="B28" s="81" t="s">
        <v>8389</v>
      </c>
      <c r="C28" s="81" t="s">
        <v>8390</v>
      </c>
      <c r="D28" s="81" t="s">
        <v>6943</v>
      </c>
      <c r="E28" s="81" t="s">
        <v>8181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9.5" customHeight="1">
      <c r="A29" s="27"/>
      <c r="B29" s="30" t="s">
        <v>8431</v>
      </c>
      <c r="C29" s="31" t="e">
        <f>CONCATENATE(sample_wld_vlr_fqdn,":5480")</f>
        <v>#REF!</v>
      </c>
      <c r="D29" s="13" t="str">
        <f>CONCATENATE(wld_vlr_fqdn,":5480")</f>
        <v>Value Missing.Value Missing:5480</v>
      </c>
      <c r="E29" s="13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9.5" customHeight="1">
      <c r="A30" s="27"/>
      <c r="B30" s="30" t="s">
        <v>7359</v>
      </c>
      <c r="C30" s="31" t="s">
        <v>6671</v>
      </c>
      <c r="D30" s="13"/>
      <c r="E30" s="13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9.5" customHeight="1">
      <c r="A31" s="27"/>
      <c r="B31" s="30" t="s">
        <v>8419</v>
      </c>
      <c r="C31" s="31" t="s">
        <v>6674</v>
      </c>
      <c r="D31" s="13"/>
      <c r="E31" s="13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9.5" customHeight="1">
      <c r="A32" s="27"/>
      <c r="B32" s="30" t="s">
        <v>7353</v>
      </c>
      <c r="C32" s="31" t="e">
        <f>IF(mgmt_domain_chosen="First Instance","San Francisco","Los Angeles ")</f>
        <v>#REF!</v>
      </c>
      <c r="D32" s="13"/>
      <c r="E32" s="13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9.5" customHeight="1">
      <c r="A33" s="27"/>
      <c r="B33" s="30" t="s">
        <v>7368</v>
      </c>
      <c r="C33" s="112" t="s">
        <v>6680</v>
      </c>
      <c r="D33" s="13"/>
      <c r="E33" s="13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9.5" customHeight="1">
      <c r="A34" s="27"/>
      <c r="B34" s="30" t="s">
        <v>7334</v>
      </c>
      <c r="C34" s="31" t="s">
        <v>6676</v>
      </c>
      <c r="D34" s="13"/>
      <c r="E34" s="13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9.5" customHeight="1">
      <c r="A35" s="27"/>
      <c r="B35" s="30" t="s">
        <v>6716</v>
      </c>
      <c r="C35" s="31" t="e">
        <f>sample_wld_vlr_fqdn</f>
        <v>#REF!</v>
      </c>
      <c r="D35" s="13"/>
      <c r="E35" s="13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9.5" customHeight="1">
      <c r="A36" s="27"/>
      <c r="B36" s="30" t="s">
        <v>8420</v>
      </c>
      <c r="C36" s="31" t="e">
        <f>sample_wld_vlr_mgmt_ip</f>
        <v>#REF!</v>
      </c>
      <c r="D36" s="13"/>
      <c r="E36" s="13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9.5" customHeight="1">
      <c r="A37" s="27"/>
      <c r="B37" s="30" t="s">
        <v>8421</v>
      </c>
      <c r="C37" s="31" t="s">
        <v>8422</v>
      </c>
      <c r="D37" s="13"/>
      <c r="E37" s="13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6">
      <c r="A38" s="27"/>
      <c r="B38" s="27"/>
      <c r="C38" s="7"/>
      <c r="D38" s="7"/>
      <c r="E38" s="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31.5" customHeight="1">
      <c r="A39" s="27"/>
      <c r="B39" s="218" t="s">
        <v>8587</v>
      </c>
      <c r="C39" s="183"/>
      <c r="D39" s="183"/>
      <c r="E39" s="181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9.5" customHeight="1">
      <c r="A40" s="27"/>
      <c r="B40" s="213"/>
      <c r="C40" s="183"/>
      <c r="D40" s="183"/>
      <c r="E40" s="181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9.5" customHeight="1">
      <c r="A41" s="27"/>
      <c r="B41" s="81" t="s">
        <v>8389</v>
      </c>
      <c r="C41" s="81" t="s">
        <v>8390</v>
      </c>
      <c r="D41" s="81" t="s">
        <v>6943</v>
      </c>
      <c r="E41" s="81" t="s">
        <v>8181</v>
      </c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9.5" customHeight="1">
      <c r="A42" s="27"/>
      <c r="B42" s="30" t="s">
        <v>8424</v>
      </c>
      <c r="C42" s="31" t="e">
        <f>CONCATENATE(this_instance,"-w01-vc01.",sample_child_dns_zone)</f>
        <v>#REF!</v>
      </c>
      <c r="D42" s="13"/>
      <c r="E42" s="13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9.5" customHeight="1">
      <c r="A43" s="27"/>
      <c r="B43" s="30" t="s">
        <v>8176</v>
      </c>
      <c r="C43" s="31" t="e">
        <f>CONCATENATE(this_instance,"-w0",wld_domain_number_chosen,".local")</f>
        <v>#REF!</v>
      </c>
      <c r="D43" s="13"/>
      <c r="E43" s="13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9.5" customHeight="1">
      <c r="A44" s="27"/>
      <c r="B44" s="30" t="s">
        <v>8426</v>
      </c>
      <c r="C44" s="31" t="e">
        <f>CONCATENATE("svc_",sample_wld_vlr_hostname,"_",CONCATENATE(this_instance,"-w01","-vc01"))</f>
        <v>#REF!</v>
      </c>
      <c r="D44" s="13"/>
      <c r="E44" s="13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9.5" customHeight="1">
      <c r="A45" s="27"/>
      <c r="B45" s="30" t="s">
        <v>8427</v>
      </c>
      <c r="C45" s="31" t="s">
        <v>6709</v>
      </c>
      <c r="D45" s="13"/>
      <c r="E45" s="13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6">
      <c r="A46" s="27"/>
      <c r="B46" s="27"/>
      <c r="C46" s="7"/>
      <c r="D46" s="7"/>
      <c r="E46" s="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31.5" customHeight="1">
      <c r="A47" s="27"/>
      <c r="B47" s="218" t="s">
        <v>8588</v>
      </c>
      <c r="C47" s="183"/>
      <c r="D47" s="183"/>
      <c r="E47" s="181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9.5" customHeight="1">
      <c r="A48" s="27"/>
      <c r="B48" s="213"/>
      <c r="C48" s="183"/>
      <c r="D48" s="183"/>
      <c r="E48" s="181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9.5" customHeight="1">
      <c r="A49" s="27"/>
      <c r="B49" s="81" t="s">
        <v>8389</v>
      </c>
      <c r="C49" s="81" t="s">
        <v>8390</v>
      </c>
      <c r="D49" s="81" t="s">
        <v>6943</v>
      </c>
      <c r="E49" s="81" t="s">
        <v>8181</v>
      </c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9.5" customHeight="1">
      <c r="A50" s="27"/>
      <c r="B50" s="125" t="s">
        <v>8424</v>
      </c>
      <c r="C50" s="31" t="e">
        <f>sample_wld_rwr_vc_fqdn</f>
        <v>#REF!</v>
      </c>
      <c r="D50" s="13" t="str">
        <f>wld_rwr_vc_fqdn</f>
        <v>Value Missing</v>
      </c>
      <c r="E50" s="13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9.5" customHeight="1">
      <c r="A51" s="27"/>
      <c r="B51" s="125" t="s">
        <v>8176</v>
      </c>
      <c r="C51" s="31" t="e">
        <f>sample_wld_sso_domain_name</f>
        <v>#REF!</v>
      </c>
      <c r="D51" s="13" t="e">
        <f>wld_sso_domain_name</f>
        <v>#REF!</v>
      </c>
      <c r="E51" s="13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9.5" customHeight="1">
      <c r="A52" s="27"/>
      <c r="B52" s="125" t="s">
        <v>8589</v>
      </c>
      <c r="C52" s="31" t="e">
        <f>sample_wld_vlr_replication_user</f>
        <v>#REF!</v>
      </c>
      <c r="D52" s="13" t="str">
        <f>wld_vlr_replication_user</f>
        <v>Value Missing</v>
      </c>
      <c r="E52" s="13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6">
      <c r="A53" s="27"/>
      <c r="B53" s="126"/>
      <c r="C53" s="7"/>
      <c r="D53" s="7"/>
      <c r="E53" s="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31.5" customHeight="1">
      <c r="A54" s="27"/>
      <c r="B54" s="218" t="s">
        <v>8590</v>
      </c>
      <c r="C54" s="183"/>
      <c r="D54" s="183"/>
      <c r="E54" s="181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9.5" customHeight="1">
      <c r="A55" s="27"/>
      <c r="B55" s="213"/>
      <c r="C55" s="183"/>
      <c r="D55" s="183"/>
      <c r="E55" s="181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9.5" customHeight="1">
      <c r="A56" s="27"/>
      <c r="B56" s="81" t="s">
        <v>8389</v>
      </c>
      <c r="C56" s="81" t="s">
        <v>8390</v>
      </c>
      <c r="D56" s="81" t="s">
        <v>6943</v>
      </c>
      <c r="E56" s="81" t="s">
        <v>8181</v>
      </c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9.5" customHeight="1">
      <c r="A57" s="27"/>
      <c r="B57" s="30" t="s">
        <v>8431</v>
      </c>
      <c r="C57" s="31" t="e">
        <f>CONCATENATE(sample_wld_vlr_fqdn,":5480")</f>
        <v>#REF!</v>
      </c>
      <c r="D57" s="13" t="str">
        <f>CONCATENATE(wld_vlr_fqdn,":5480")</f>
        <v>Value Missing.Value Missing:5480</v>
      </c>
      <c r="E57" s="13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9.5" customHeight="1">
      <c r="A58" s="27"/>
      <c r="B58" s="30" t="s">
        <v>8317</v>
      </c>
      <c r="C58" s="31" t="e">
        <f>sample_wld_rwr_vc_fqdn</f>
        <v>#REF!</v>
      </c>
      <c r="D58" s="13" t="str">
        <f>wld_rwr_vc_fqdn</f>
        <v>Value Missing</v>
      </c>
      <c r="E58" s="13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9.5" customHeight="1">
      <c r="A59" s="27"/>
      <c r="B59" s="30" t="s">
        <v>8318</v>
      </c>
      <c r="C59" s="31" t="e">
        <f>CONCATENATE(sample_wld_vlr_replication_user,"@",sample_rwr_sso_domain_name)</f>
        <v>#REF!</v>
      </c>
      <c r="D59" s="13" t="str">
        <f t="array" ref="D59">CONCATENATE(wld_vlr_replication_user,"@",rwr_sso_domain_name)</f>
        <v>Value Missing@Value Missing</v>
      </c>
      <c r="E59" s="13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9.5" customHeight="1">
      <c r="A60" s="27"/>
      <c r="B60" s="30" t="s">
        <v>6792</v>
      </c>
      <c r="C60" s="31" t="s">
        <v>6709</v>
      </c>
      <c r="D60" s="13" t="str">
        <f>rwr_vlr_replication_password</f>
        <v>Value Missing</v>
      </c>
      <c r="E60" s="13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9.5" customHeight="1">
      <c r="A61" s="27"/>
      <c r="B61" s="30" t="s">
        <v>7187</v>
      </c>
      <c r="C61" s="31" t="e">
        <f>sample_wld_vc_fqdn</f>
        <v>#REF!</v>
      </c>
      <c r="D61" s="13" t="str">
        <f>wld_rwr_vc_fqdn</f>
        <v>Value Missing</v>
      </c>
      <c r="E61" s="13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9.5" customHeight="1">
      <c r="A62" s="27"/>
      <c r="B62" s="30" t="s">
        <v>8198</v>
      </c>
      <c r="C62" s="31" t="e">
        <f>IF(mgmt_domain_chosen="First Instance","SFO-W01","LAX-W01 ")</f>
        <v>#REF!</v>
      </c>
      <c r="D62" s="13"/>
      <c r="E62" s="13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9.5" customHeight="1">
      <c r="A63" s="27"/>
      <c r="B63" s="30" t="s">
        <v>8319</v>
      </c>
      <c r="C63" s="31" t="s">
        <v>8591</v>
      </c>
      <c r="D63" s="13"/>
      <c r="E63" s="13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9.5" customHeight="1">
      <c r="A64" s="27"/>
      <c r="B64" s="30" t="s">
        <v>8320</v>
      </c>
      <c r="C64" s="31" t="e">
        <f>sample_wld_vlr_fqdn</f>
        <v>#REF!</v>
      </c>
      <c r="D64" s="13" t="str">
        <f>wld_vlr_fqdn</f>
        <v>Value Missing.Value Missing</v>
      </c>
      <c r="E64" s="13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6">
      <c r="A65" s="27"/>
      <c r="B65" s="27"/>
      <c r="C65" s="7"/>
      <c r="D65" s="7"/>
      <c r="E65" s="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31.5" customHeight="1">
      <c r="A66" s="27"/>
      <c r="B66" s="218" t="s">
        <v>8592</v>
      </c>
      <c r="C66" s="183"/>
      <c r="D66" s="183"/>
      <c r="E66" s="181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9.5" customHeight="1">
      <c r="A67" s="27"/>
      <c r="B67" s="213"/>
      <c r="C67" s="183"/>
      <c r="D67" s="183"/>
      <c r="E67" s="181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9.5" customHeight="1">
      <c r="A68" s="27"/>
      <c r="B68" s="81" t="s">
        <v>8389</v>
      </c>
      <c r="C68" s="81" t="s">
        <v>8390</v>
      </c>
      <c r="D68" s="81" t="s">
        <v>6943</v>
      </c>
      <c r="E68" s="81" t="s">
        <v>8181</v>
      </c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9.5" customHeight="1">
      <c r="A69" s="27"/>
      <c r="B69" s="30" t="s">
        <v>8424</v>
      </c>
      <c r="C69" s="31" t="e">
        <f>sample_wld_rwr_vc_fqdn</f>
        <v>#REF!</v>
      </c>
      <c r="D69" s="13" t="str">
        <f>wld_rwr_vc_fqdn</f>
        <v>Value Missing</v>
      </c>
      <c r="E69" s="13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9.5" customHeight="1">
      <c r="A70" s="27"/>
      <c r="B70" s="30" t="s">
        <v>8322</v>
      </c>
      <c r="C70" s="31" t="e">
        <f>IF(mgmt_domain_chosen="First Instance",_xludf.CONCAT(this_instance,"-w01","-cl01","-vds01"),_xludf.CONCAT(this_instance,"-w01","-cl01","-vds01"))</f>
        <v>#REF!</v>
      </c>
      <c r="D70" s="13"/>
      <c r="E70" s="13" t="e">
        <f t="shared" ref="E70:E71" si="0">IF(mgmt_domain_chosen="First Instance","","vSAN Storage Cluster")</f>
        <v>#REF!</v>
      </c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9.5" customHeight="1">
      <c r="A71" s="27"/>
      <c r="B71" s="30" t="s">
        <v>6780</v>
      </c>
      <c r="C71" s="31" t="e">
        <f>CONCATENATE(sample_wld_rwr_cl02_vds01,"-pg-vrms")</f>
        <v>#REF!</v>
      </c>
      <c r="D71" s="13"/>
      <c r="E71" s="13" t="e">
        <f t="shared" si="0"/>
        <v>#REF!</v>
      </c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9.5" customHeight="1">
      <c r="A72" s="27"/>
      <c r="B72" s="30" t="s">
        <v>7175</v>
      </c>
      <c r="C72" s="34" t="e">
        <f>CONCATENATE(prefix_wld_az1_vlan,"09")</f>
        <v>#REF!</v>
      </c>
      <c r="D72" s="13"/>
      <c r="E72" s="13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6">
      <c r="A73" s="27"/>
      <c r="B73" s="27"/>
      <c r="C73" s="7"/>
      <c r="D73" s="7"/>
      <c r="E73" s="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31.5" customHeight="1">
      <c r="A74" s="27"/>
      <c r="B74" s="218" t="s">
        <v>8593</v>
      </c>
      <c r="C74" s="183"/>
      <c r="D74" s="183"/>
      <c r="E74" s="181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9.5" customHeight="1">
      <c r="A75" s="27"/>
      <c r="B75" s="213"/>
      <c r="C75" s="183"/>
      <c r="D75" s="183"/>
      <c r="E75" s="181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9.5" customHeight="1">
      <c r="A76" s="27"/>
      <c r="B76" s="81" t="s">
        <v>8389</v>
      </c>
      <c r="C76" s="81" t="s">
        <v>8390</v>
      </c>
      <c r="D76" s="81" t="s">
        <v>6943</v>
      </c>
      <c r="E76" s="81" t="s">
        <v>8181</v>
      </c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9.5" customHeight="1">
      <c r="A77" s="27"/>
      <c r="B77" s="30" t="s">
        <v>8424</v>
      </c>
      <c r="C77" s="31" t="e">
        <f>sample_wld_rwr_vc_fqdn</f>
        <v>#REF!</v>
      </c>
      <c r="D77" s="13" t="str">
        <f>wld_rwr_vc_fqdn</f>
        <v>Value Missing</v>
      </c>
      <c r="E77" s="13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9.5" customHeight="1">
      <c r="A78" s="27"/>
      <c r="B78" s="30" t="s">
        <v>6317</v>
      </c>
      <c r="C78" s="31" t="e">
        <f>IF(mgmt_domain_chosen="First Instance",sample_wld_cl01_cluster,_xludf.CONCAT(this_instance,"-w01","-cl01"))</f>
        <v>#REF!</v>
      </c>
      <c r="D78" s="13"/>
      <c r="E78" s="13" t="e">
        <f>IF(mgmt_domain_chosen="First Instance","","vSAN Storage Cluster")</f>
        <v>#REF!</v>
      </c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9.5" customHeight="1">
      <c r="A79" s="27"/>
      <c r="B79" s="30" t="s">
        <v>6690</v>
      </c>
      <c r="C79" s="31" t="e">
        <f>IF(mgmt_domain_chosen="First Domain",sample_wld_vrms_pg,_xludf.CONCAT(this_instance,"-w01","-cl01","-vds01-pg-vrms"))</f>
        <v>#REF!</v>
      </c>
      <c r="D79" s="13" t="str">
        <f>rwr_vrms_pg</f>
        <v>Value Missing</v>
      </c>
      <c r="E79" s="13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9.5" customHeight="1">
      <c r="A80" s="27"/>
      <c r="B80" s="30" t="s">
        <v>8594</v>
      </c>
      <c r="C80" s="31" t="e">
        <f>sample_wld_az1_host1_fqdn</f>
        <v>#REF!</v>
      </c>
      <c r="D80" s="13"/>
      <c r="E80" s="13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9.5" customHeight="1">
      <c r="A81" s="27"/>
      <c r="B81" s="30" t="s">
        <v>8595</v>
      </c>
      <c r="C81" s="31" t="e">
        <f>sample_wld_az1_host1_vrms_ip</f>
        <v>#REF!</v>
      </c>
      <c r="D81" s="13"/>
      <c r="E81" s="13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9.5" customHeight="1">
      <c r="A82" s="27"/>
      <c r="B82" s="30" t="s">
        <v>8596</v>
      </c>
      <c r="C82" s="31" t="s">
        <v>6420</v>
      </c>
      <c r="D82" s="13"/>
      <c r="E82" s="13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9.5" customHeight="1">
      <c r="A83" s="27"/>
      <c r="B83" s="30" t="s">
        <v>8597</v>
      </c>
      <c r="C83" s="31" t="e">
        <f>sample_wld_az1_host2_fqdn</f>
        <v>#REF!</v>
      </c>
      <c r="D83" s="13"/>
      <c r="E83" s="13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9.5" customHeight="1">
      <c r="A84" s="27"/>
      <c r="B84" s="30" t="s">
        <v>8598</v>
      </c>
      <c r="C84" s="31" t="e">
        <f>sample_wld_az1_host2_vrms_ip</f>
        <v>#REF!</v>
      </c>
      <c r="D84" s="13"/>
      <c r="E84" s="13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9.5" customHeight="1">
      <c r="A85" s="27"/>
      <c r="B85" s="30" t="s">
        <v>8599</v>
      </c>
      <c r="C85" s="31" t="str">
        <f>sample_wld_az1_vrms_mask</f>
        <v>255.255.255.0</v>
      </c>
      <c r="D85" s="13" t="str">
        <f t="array" ref="D85">wld_rwr_az1_vrms_gateway_mask</f>
        <v>Value Missing</v>
      </c>
      <c r="E85" s="13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9.5" customHeight="1">
      <c r="A86" s="27"/>
      <c r="B86" s="30" t="s">
        <v>8600</v>
      </c>
      <c r="C86" s="31" t="e">
        <f>sample_wld_az1_host3_fqdn</f>
        <v>#REF!</v>
      </c>
      <c r="D86" s="13"/>
      <c r="E86" s="13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9.5" customHeight="1">
      <c r="A87" s="27"/>
      <c r="B87" s="30" t="s">
        <v>8601</v>
      </c>
      <c r="C87" s="31" t="e">
        <f>sample_wld_az1_host3_vrms_ip</f>
        <v>#REF!</v>
      </c>
      <c r="D87" s="13"/>
      <c r="E87" s="13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9.5" customHeight="1">
      <c r="A88" s="27"/>
      <c r="B88" s="30" t="s">
        <v>8602</v>
      </c>
      <c r="C88" s="31" t="str">
        <f>sample_wld_az1_vrms_mask</f>
        <v>255.255.255.0</v>
      </c>
      <c r="D88" s="13" t="str">
        <f t="array" ref="D88">wld_rwr_az1_vrms_gateway_mask</f>
        <v>Value Missing</v>
      </c>
      <c r="E88" s="13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9.5" customHeight="1">
      <c r="A89" s="27"/>
      <c r="B89" s="30" t="s">
        <v>8603</v>
      </c>
      <c r="C89" s="31" t="e">
        <f>sample_wld_az1_host4_fqdn</f>
        <v>#REF!</v>
      </c>
      <c r="D89" s="13"/>
      <c r="E89" s="13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9.5" customHeight="1">
      <c r="A90" s="27"/>
      <c r="B90" s="30" t="s">
        <v>8604</v>
      </c>
      <c r="C90" s="31" t="e">
        <f>sample_wld_az1_host4_vrms_ip</f>
        <v>#REF!</v>
      </c>
      <c r="D90" s="13"/>
      <c r="E90" s="13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9.5" customHeight="1">
      <c r="A91" s="27"/>
      <c r="B91" s="30" t="s">
        <v>8605</v>
      </c>
      <c r="C91" s="31" t="str">
        <f>sample_wld_az1_vrms_mask</f>
        <v>255.255.255.0</v>
      </c>
      <c r="D91" s="13" t="str">
        <f t="array" ref="D91">wld_rwr_az1_vrms_gateway_mask</f>
        <v>Value Missing</v>
      </c>
      <c r="E91" s="13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6">
      <c r="A92" s="27"/>
      <c r="B92" s="27"/>
      <c r="C92" s="7"/>
      <c r="D92" s="7"/>
      <c r="E92" s="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31.5" customHeight="1">
      <c r="A93" s="27"/>
      <c r="B93" s="218" t="s">
        <v>8606</v>
      </c>
      <c r="C93" s="183"/>
      <c r="D93" s="183"/>
      <c r="E93" s="181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9.5" customHeight="1">
      <c r="A94" s="27"/>
      <c r="B94" s="213"/>
      <c r="C94" s="183"/>
      <c r="D94" s="183"/>
      <c r="E94" s="181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9.5" customHeight="1">
      <c r="A95" s="27"/>
      <c r="B95" s="81" t="s">
        <v>8389</v>
      </c>
      <c r="C95" s="81" t="s">
        <v>8390</v>
      </c>
      <c r="D95" s="81" t="s">
        <v>6943</v>
      </c>
      <c r="E95" s="81" t="s">
        <v>8181</v>
      </c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9.5" customHeight="1">
      <c r="A96" s="27"/>
      <c r="B96" s="30" t="s">
        <v>8424</v>
      </c>
      <c r="C96" s="31" t="e">
        <f>sample_wld_rwr_vc_fqdn</f>
        <v>#REF!</v>
      </c>
      <c r="D96" s="13" t="str">
        <f>wld_rwr_vc_fqdn</f>
        <v>Value Missing</v>
      </c>
      <c r="E96" s="13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9.5" customHeight="1">
      <c r="A97" s="27"/>
      <c r="B97" s="30" t="s">
        <v>6317</v>
      </c>
      <c r="C97" s="31" t="e">
        <f>sample_wld_rwr_cl02_cluster</f>
        <v>#REF!</v>
      </c>
      <c r="D97" s="13" t="str">
        <f t="array" ref="D97">wld_rwr_cl02_cluster</f>
        <v>Value Missing</v>
      </c>
      <c r="E97" s="13" t="e">
        <f>IF(mgmt_domain_chosen="First Instance","","vSAN Storage Cluster")</f>
        <v>#REF!</v>
      </c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9.5" customHeight="1">
      <c r="A98" s="27"/>
      <c r="B98" s="30" t="s">
        <v>8594</v>
      </c>
      <c r="C98" s="31" t="e">
        <f>sample_wld_az1_host1_fqdn</f>
        <v>#REF!</v>
      </c>
      <c r="D98" s="13"/>
      <c r="E98" s="13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9.5" customHeight="1">
      <c r="A99" s="27"/>
      <c r="B99" s="30" t="s">
        <v>8607</v>
      </c>
      <c r="C99" s="31" t="e">
        <f>CONCATENATE(prefix_wld_az1_cidr,"9.1")</f>
        <v>#REF!</v>
      </c>
      <c r="D99" s="13"/>
      <c r="E99" s="13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9.5" customHeight="1">
      <c r="A100" s="27"/>
      <c r="B100" s="30" t="s">
        <v>8608</v>
      </c>
      <c r="C100" s="31" t="e">
        <f>CONCATENATE(wld_rwr_recoverysite_prefix,"9.0/24")</f>
        <v>#REF!</v>
      </c>
      <c r="D100" s="13"/>
      <c r="E100" s="13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9.5" customHeight="1">
      <c r="A101" s="27"/>
      <c r="B101" s="30" t="s">
        <v>8609</v>
      </c>
      <c r="C101" s="31" t="e">
        <f>CONCATENATE(prefix_other_region_az1_cidr,"10.0/24")</f>
        <v>#REF!</v>
      </c>
      <c r="D101" s="13"/>
      <c r="E101" s="13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9.5" customHeight="1">
      <c r="A102" s="27"/>
      <c r="B102" s="30" t="s">
        <v>8597</v>
      </c>
      <c r="C102" s="31" t="e">
        <f>sample_wld_az1_host2_fqdn</f>
        <v>#REF!</v>
      </c>
      <c r="D102" s="13"/>
      <c r="E102" s="13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9.5" customHeight="1">
      <c r="A103" s="27"/>
      <c r="B103" s="30" t="s">
        <v>8610</v>
      </c>
      <c r="C103" s="31" t="e">
        <f>sample_wld_az1_vrms_gateway_ip</f>
        <v>#REF!</v>
      </c>
      <c r="D103" s="13" t="str">
        <f>wld_rwr_az1_vrms_gateway_ip</f>
        <v>Value Missing</v>
      </c>
      <c r="E103" s="13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9.5" customHeight="1">
      <c r="A104" s="27"/>
      <c r="B104" s="30" t="s">
        <v>8611</v>
      </c>
      <c r="C104" s="31" t="e">
        <f>CONCATENATE(wld_rwr_recoverysite_prefix,"9.0/24")</f>
        <v>#REF!</v>
      </c>
      <c r="D104" s="13" t="str">
        <f>wld_rwr_recovery_site_az1_vrms_cidr</f>
        <v>Value Missing</v>
      </c>
      <c r="E104" s="13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9.5" customHeight="1">
      <c r="A105" s="27"/>
      <c r="B105" s="30" t="s">
        <v>8612</v>
      </c>
      <c r="C105" s="31" t="e">
        <f>sample_mgmt_rwr_recovery_site_az1_mgmt_cidr</f>
        <v>#REF!</v>
      </c>
      <c r="D105" s="13" t="str">
        <f>mgmt_rwr_recovery_site_az1_mgmt_cidr</f>
        <v>Value Missing</v>
      </c>
      <c r="E105" s="13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9.5" customHeight="1">
      <c r="A106" s="27"/>
      <c r="B106" s="30" t="s">
        <v>8600</v>
      </c>
      <c r="C106" s="31" t="e">
        <f>sample_wld_az1_host3_fqdn</f>
        <v>#REF!</v>
      </c>
      <c r="D106" s="13"/>
      <c r="E106" s="13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9.5" customHeight="1">
      <c r="A107" s="27"/>
      <c r="B107" s="30" t="s">
        <v>8613</v>
      </c>
      <c r="C107" s="31" t="e">
        <f>sample_wld_az1_vrms_gateway_ip</f>
        <v>#REF!</v>
      </c>
      <c r="D107" s="13" t="str">
        <f>wld_rwr_az1_vrms_gateway_ip</f>
        <v>Value Missing</v>
      </c>
      <c r="E107" s="13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9.5" customHeight="1">
      <c r="A108" s="27"/>
      <c r="B108" s="30" t="s">
        <v>8614</v>
      </c>
      <c r="C108" s="31" t="e">
        <f>CONCATENATE(wld_rwr_recoverysite_prefix,"9.0/24")</f>
        <v>#REF!</v>
      </c>
      <c r="D108" s="13" t="str">
        <f>wld_rwr_recovery_site_az1_vrms_cidr</f>
        <v>Value Missing</v>
      </c>
      <c r="E108" s="13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9.5" customHeight="1">
      <c r="A109" s="27"/>
      <c r="B109" s="30" t="s">
        <v>8615</v>
      </c>
      <c r="C109" s="31" t="e">
        <f>sample_mgmt_rwr_recovery_site_az1_mgmt_cidr</f>
        <v>#REF!</v>
      </c>
      <c r="D109" s="13" t="str">
        <f>mgmt_rwr_recovery_site_az1_mgmt_cidr</f>
        <v>Value Missing</v>
      </c>
      <c r="E109" s="13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9.5" customHeight="1">
      <c r="A110" s="27"/>
      <c r="B110" s="30" t="s">
        <v>8603</v>
      </c>
      <c r="C110" s="31" t="e">
        <f>sample_wld_az1_host4_fqdn</f>
        <v>#REF!</v>
      </c>
      <c r="D110" s="13"/>
      <c r="E110" s="13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9.5" customHeight="1">
      <c r="A111" s="27"/>
      <c r="B111" s="30" t="s">
        <v>8616</v>
      </c>
      <c r="C111" s="31" t="e">
        <f>sample_wld_az1_vrms_gateway_ip</f>
        <v>#REF!</v>
      </c>
      <c r="D111" s="13" t="str">
        <f>wld_rwr_az1_vrms_gateway_ip</f>
        <v>Value Missing</v>
      </c>
      <c r="E111" s="13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9.5" customHeight="1">
      <c r="A112" s="27"/>
      <c r="B112" s="30" t="s">
        <v>8617</v>
      </c>
      <c r="C112" s="31" t="e">
        <f>CONCATENATE(wld_rwr_recoverysite_prefix,"9.0/24")</f>
        <v>#REF!</v>
      </c>
      <c r="D112" s="13" t="str">
        <f>wld_rwr_recovery_site_az1_vrms_cidr</f>
        <v>Value Missing</v>
      </c>
      <c r="E112" s="13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9.5" customHeight="1">
      <c r="A113" s="27"/>
      <c r="B113" s="30" t="s">
        <v>8618</v>
      </c>
      <c r="C113" s="31" t="e">
        <f>sample_mgmt_rwr_recovery_site_az1_mgmt_cidr</f>
        <v>#REF!</v>
      </c>
      <c r="D113" s="13" t="str">
        <f>mgmt_rwr_recovery_site_az1_mgmt_cidr</f>
        <v>Value Missing</v>
      </c>
      <c r="E113" s="13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6">
      <c r="A114" s="27"/>
      <c r="B114" s="27"/>
      <c r="C114" s="7"/>
      <c r="D114" s="7"/>
      <c r="E114" s="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31.5" customHeight="1">
      <c r="A115" s="27"/>
      <c r="B115" s="218" t="s">
        <v>8619</v>
      </c>
      <c r="C115" s="183"/>
      <c r="D115" s="183"/>
      <c r="E115" s="181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9.5" customHeight="1">
      <c r="A116" s="27"/>
      <c r="B116" s="213"/>
      <c r="C116" s="183"/>
      <c r="D116" s="183"/>
      <c r="E116" s="181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9.5" customHeight="1">
      <c r="A117" s="27"/>
      <c r="B117" s="81" t="s">
        <v>8389</v>
      </c>
      <c r="C117" s="81" t="s">
        <v>8390</v>
      </c>
      <c r="D117" s="81" t="s">
        <v>6943</v>
      </c>
      <c r="E117" s="81" t="s">
        <v>8181</v>
      </c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9.5" customHeight="1">
      <c r="A118" s="27"/>
      <c r="B118" s="30" t="s">
        <v>8620</v>
      </c>
      <c r="C118" s="31" t="e">
        <f>CONCATENATE(this_instance,"-w01-nsx01.",this_instance,".",sample_parent_dns_zone)</f>
        <v>#REF!</v>
      </c>
      <c r="D118" s="13"/>
      <c r="E118" s="13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9.5" customHeight="1">
      <c r="A119" s="27"/>
      <c r="B119" s="213" t="s">
        <v>8621</v>
      </c>
      <c r="C119" s="183"/>
      <c r="D119" s="183"/>
      <c r="E119" s="181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9.5" customHeight="1">
      <c r="A120" s="27"/>
      <c r="B120" s="30" t="s">
        <v>8622</v>
      </c>
      <c r="C120" s="31" t="s">
        <v>8623</v>
      </c>
      <c r="D120" s="13"/>
      <c r="E120" s="13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9.5" customHeight="1">
      <c r="A121" s="27"/>
      <c r="B121" s="30" t="s">
        <v>8624</v>
      </c>
      <c r="C121" s="31" t="s">
        <v>8625</v>
      </c>
      <c r="D121" s="13"/>
      <c r="E121" s="13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9.5" customHeight="1">
      <c r="A122" s="27"/>
      <c r="B122" s="30" t="s">
        <v>8626</v>
      </c>
      <c r="C122" s="31" t="s">
        <v>8627</v>
      </c>
      <c r="D122" s="13"/>
      <c r="E122" s="13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9.5" customHeight="1">
      <c r="A123" s="27"/>
      <c r="B123" s="30" t="s">
        <v>8628</v>
      </c>
      <c r="C123" s="31" t="e">
        <f>CONCATENATE(this_instance,"-w01","-ec01")</f>
        <v>#REF!</v>
      </c>
      <c r="D123" s="13"/>
      <c r="E123" s="13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9.5" customHeight="1">
      <c r="A124" s="27"/>
      <c r="B124" s="213" t="s">
        <v>8629</v>
      </c>
      <c r="C124" s="183"/>
      <c r="D124" s="183"/>
      <c r="E124" s="181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9.5" customHeight="1">
      <c r="A125" s="27"/>
      <c r="B125" s="30" t="s">
        <v>8234</v>
      </c>
      <c r="C125" s="31" t="e">
        <f>CONCATENATE(this_instance,"-w01","-ec01","-t1","-gw01")</f>
        <v>#REF!</v>
      </c>
      <c r="D125" s="13"/>
      <c r="E125" s="13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9.5" customHeight="1">
      <c r="A126" s="27"/>
      <c r="B126" s="30" t="s">
        <v>8630</v>
      </c>
      <c r="C126" s="31" t="e">
        <f>CONCATENATE(this_instance,"-w01","-ec01","-t0","-gw01")</f>
        <v>#REF!</v>
      </c>
      <c r="D126" s="13"/>
      <c r="E126" s="13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9.5" customHeight="1">
      <c r="A127" s="27"/>
      <c r="B127" s="30" t="s">
        <v>7226</v>
      </c>
      <c r="C127" s="31" t="e">
        <f>sample_wld_rwr_recovery_site_nsx_ec_name</f>
        <v>#REF!</v>
      </c>
      <c r="D127" s="13"/>
      <c r="E127" s="13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9.5" customHeight="1">
      <c r="A128" s="27"/>
      <c r="B128" s="213" t="s">
        <v>8631</v>
      </c>
      <c r="C128" s="183"/>
      <c r="D128" s="183"/>
      <c r="E128" s="181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9.5" customHeight="1">
      <c r="A129" s="27"/>
      <c r="B129" s="30" t="s">
        <v>8632</v>
      </c>
      <c r="C129" s="31" t="e">
        <f>CONCATENATE(this_instance,"-w01-seg01-","rwr-ire")</f>
        <v>#REF!</v>
      </c>
      <c r="D129" s="13"/>
      <c r="E129" s="13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9.5" customHeight="1">
      <c r="A130" s="27"/>
      <c r="B130" s="30" t="s">
        <v>8633</v>
      </c>
      <c r="C130" s="31" t="e">
        <f>sample_wld_rwr_recovery_site_nsx_ec_t1_name</f>
        <v>#REF!</v>
      </c>
      <c r="D130" s="13"/>
      <c r="E130" s="13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9.5" customHeight="1">
      <c r="A131" s="27"/>
      <c r="B131" s="30" t="s">
        <v>8634</v>
      </c>
      <c r="C131" s="31" t="e">
        <f>CONCATENATE("overlay-tz-",this_instance,"-w01-nsx01")</f>
        <v>#REF!</v>
      </c>
      <c r="D131" s="13"/>
      <c r="E131" s="13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9.5" customHeight="1">
      <c r="A132" s="27"/>
      <c r="B132" s="30" t="s">
        <v>8635</v>
      </c>
      <c r="C132" s="31" t="s">
        <v>8636</v>
      </c>
      <c r="D132" s="13"/>
      <c r="E132" s="13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9.5" customHeight="1">
      <c r="A133" s="27"/>
      <c r="B133" s="213" t="s">
        <v>8637</v>
      </c>
      <c r="C133" s="183"/>
      <c r="D133" s="183"/>
      <c r="E133" s="181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9.5" customHeight="1">
      <c r="A134" s="27"/>
      <c r="B134" s="30" t="s">
        <v>8638</v>
      </c>
      <c r="C134" s="31" t="str">
        <f>C120</f>
        <v>tier1_dhcp_profile</v>
      </c>
      <c r="D134" s="13"/>
      <c r="E134" s="13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9.5" customHeight="1">
      <c r="A135" s="27"/>
      <c r="B135" s="30" t="s">
        <v>8639</v>
      </c>
      <c r="C135" s="31" t="s">
        <v>8640</v>
      </c>
      <c r="D135" s="13"/>
      <c r="E135" s="13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9.5" customHeight="1">
      <c r="A136" s="27"/>
      <c r="B136" s="30" t="s">
        <v>8641</v>
      </c>
      <c r="C136" s="31" t="s">
        <v>8642</v>
      </c>
      <c r="D136" s="13"/>
      <c r="E136" s="13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9.5" customHeight="1">
      <c r="A137" s="27"/>
      <c r="B137" s="30" t="s">
        <v>6694</v>
      </c>
      <c r="C137" s="31" t="e">
        <f>CONCATENATE(sample_region_dns1_ip,",",sample_region_dns2_ip)</f>
        <v>#REF!</v>
      </c>
      <c r="D137" s="13"/>
      <c r="E137" s="13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6">
      <c r="A138" s="27"/>
      <c r="B138" s="27"/>
      <c r="C138" s="112"/>
      <c r="D138" s="7"/>
      <c r="E138" s="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31.5" customHeight="1">
      <c r="A139" s="27"/>
      <c r="B139" s="218" t="s">
        <v>8643</v>
      </c>
      <c r="C139" s="183"/>
      <c r="D139" s="183"/>
      <c r="E139" s="181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9.5" customHeight="1">
      <c r="A140" s="27"/>
      <c r="B140" s="213"/>
      <c r="C140" s="183"/>
      <c r="D140" s="183"/>
      <c r="E140" s="181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9.5" customHeight="1">
      <c r="A141" s="27"/>
      <c r="B141" s="81" t="s">
        <v>8389</v>
      </c>
      <c r="C141" s="81" t="s">
        <v>8390</v>
      </c>
      <c r="D141" s="81" t="s">
        <v>6943</v>
      </c>
      <c r="E141" s="81" t="s">
        <v>8181</v>
      </c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9.5" customHeight="1">
      <c r="A142" s="27"/>
      <c r="B142" s="30" t="s">
        <v>8424</v>
      </c>
      <c r="C142" s="31" t="e">
        <f>sample_wld_rwr_vc_fqdn</f>
        <v>#REF!</v>
      </c>
      <c r="D142" s="13" t="str">
        <f>wld_rwr_vc_fqdn</f>
        <v>Value Missing</v>
      </c>
      <c r="E142" s="13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9.5" customHeight="1">
      <c r="A143" s="27"/>
      <c r="B143" s="30" t="s">
        <v>8644</v>
      </c>
      <c r="C143" s="31" t="e">
        <f>sample_wld_datacenter</f>
        <v>#REF!</v>
      </c>
      <c r="D143" s="13"/>
      <c r="E143" s="13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9.5" customHeight="1">
      <c r="A144" s="27"/>
      <c r="B144" s="30" t="s">
        <v>8219</v>
      </c>
      <c r="C144" s="31" t="e">
        <f>(CONCATENATE(sample_wld_sddc_domain,"-fd-workload"))</f>
        <v>#REF!</v>
      </c>
      <c r="D144" s="13"/>
      <c r="E144" s="13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6">
      <c r="A145" s="27"/>
      <c r="B145" s="27"/>
      <c r="C145" s="7"/>
      <c r="D145" s="7"/>
      <c r="E145" s="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33.75" customHeight="1">
      <c r="A146" s="27"/>
      <c r="B146" s="218" t="s">
        <v>8645</v>
      </c>
      <c r="C146" s="183"/>
      <c r="D146" s="183"/>
      <c r="E146" s="181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6">
      <c r="A147" s="27"/>
      <c r="B147" s="27"/>
      <c r="C147" s="7"/>
      <c r="D147" s="7"/>
      <c r="E147" s="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31.5" customHeight="1">
      <c r="A148" s="27"/>
      <c r="B148" s="218" t="s">
        <v>8646</v>
      </c>
      <c r="C148" s="183"/>
      <c r="D148" s="183"/>
      <c r="E148" s="181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9.5" customHeight="1">
      <c r="A149" s="27"/>
      <c r="B149" s="213"/>
      <c r="C149" s="183"/>
      <c r="D149" s="183"/>
      <c r="E149" s="181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9.5" customHeight="1">
      <c r="A150" s="27"/>
      <c r="B150" s="81" t="s">
        <v>8389</v>
      </c>
      <c r="C150" s="81" t="s">
        <v>8390</v>
      </c>
      <c r="D150" s="81" t="s">
        <v>6943</v>
      </c>
      <c r="E150" s="81" t="s">
        <v>8181</v>
      </c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9.5" customHeight="1">
      <c r="A151" s="27"/>
      <c r="B151" s="30" t="s">
        <v>8424</v>
      </c>
      <c r="C151" s="31" t="e">
        <f>sample_wld_rwr_vc_fqdn</f>
        <v>#REF!</v>
      </c>
      <c r="D151" s="13" t="str">
        <f>wld_rwr_vc_fqdn</f>
        <v>Value Missing</v>
      </c>
      <c r="E151" s="13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9.5" customHeight="1">
      <c r="A152" s="27"/>
      <c r="B152" s="30" t="s">
        <v>8381</v>
      </c>
      <c r="C152" s="31" t="e">
        <f>sample_wld_rwr_vc_fqdn</f>
        <v>#REF!</v>
      </c>
      <c r="D152" s="13" t="str">
        <f>wld_rwr_vc_fqdn</f>
        <v>Value Missing</v>
      </c>
      <c r="E152" s="13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9.5" customHeight="1">
      <c r="A153" s="27"/>
      <c r="B153" s="30" t="s">
        <v>8317</v>
      </c>
      <c r="C153" s="31" t="e">
        <f>CONCATENATE(other_instance,"-w01-vc01.",other_instance,".",sample_parent_dns_zone)</f>
        <v>#REF!</v>
      </c>
      <c r="D153" s="13"/>
      <c r="E153" s="13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9.5" customHeight="1">
      <c r="A154" s="27"/>
      <c r="B154" s="30" t="s">
        <v>8318</v>
      </c>
      <c r="C154" s="31" t="s">
        <v>8647</v>
      </c>
      <c r="D154" s="13" t="str">
        <f>CONCATENATE(wld_vlr_replication_user,"@",rwr_sso_domain_name)</f>
        <v>Value Missing@Value Missing</v>
      </c>
      <c r="E154" s="13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9.5" customHeight="1">
      <c r="A155" s="27"/>
      <c r="B155" s="30" t="s">
        <v>6792</v>
      </c>
      <c r="C155" s="31" t="s">
        <v>6709</v>
      </c>
      <c r="D155" s="13" t="str">
        <f>rwr_vlr_replication_password</f>
        <v>Value Missing</v>
      </c>
      <c r="E155" s="13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9.5" customHeight="1">
      <c r="A156" s="27"/>
      <c r="B156" s="30" t="s">
        <v>8384</v>
      </c>
      <c r="C156" s="31" t="e">
        <f>sample_wld_rwr_recovery_site_vc_fqdn</f>
        <v>#REF!</v>
      </c>
      <c r="D156" s="13" t="str">
        <f t="array" ref="D156">wld_rwr_recovery_site_vc_fqdn</f>
        <v>Value Missing</v>
      </c>
      <c r="E156" s="13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9.5" customHeight="1">
      <c r="A157" s="27"/>
      <c r="B157" s="129"/>
      <c r="C157" s="112"/>
      <c r="D157" s="7"/>
      <c r="E157" s="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33.75" customHeight="1">
      <c r="A158" s="27"/>
      <c r="B158" s="218" t="s">
        <v>8646</v>
      </c>
      <c r="C158" s="183"/>
      <c r="D158" s="183"/>
      <c r="E158" s="181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9.5" customHeight="1">
      <c r="A159" s="27"/>
      <c r="B159" s="213"/>
      <c r="C159" s="183"/>
      <c r="D159" s="183"/>
      <c r="E159" s="181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9.5" customHeight="1">
      <c r="A160" s="27"/>
      <c r="B160" s="81" t="s">
        <v>8389</v>
      </c>
      <c r="C160" s="81" t="s">
        <v>8390</v>
      </c>
      <c r="D160" s="81" t="s">
        <v>6943</v>
      </c>
      <c r="E160" s="81" t="s">
        <v>8181</v>
      </c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9.5" customHeight="1">
      <c r="A161" s="27"/>
      <c r="B161" s="131" t="s">
        <v>8424</v>
      </c>
      <c r="C161" s="31" t="e">
        <f>sample_wld_rwr_vc_fqdn</f>
        <v>#REF!</v>
      </c>
      <c r="D161" s="13" t="str">
        <f>wld_rwr_vc_fqdn</f>
        <v>Value Missing</v>
      </c>
      <c r="E161" s="13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9.5" customHeight="1">
      <c r="A162" s="27"/>
      <c r="B162" s="131" t="s">
        <v>7187</v>
      </c>
      <c r="C162" s="31" t="e">
        <f>sample_wld_rwr_vc_fqdn</f>
        <v>#REF!</v>
      </c>
      <c r="D162" s="13" t="str">
        <f>wld_rwr_vc_fqdn</f>
        <v>Value Missing</v>
      </c>
      <c r="E162" s="13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9.5" customHeight="1">
      <c r="A163" s="27"/>
      <c r="B163" s="131" t="s">
        <v>8455</v>
      </c>
      <c r="C163" s="31" t="s">
        <v>8456</v>
      </c>
      <c r="D163" s="13"/>
      <c r="E163" s="13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9.5" customHeight="1">
      <c r="A164" s="27"/>
      <c r="B164" s="131" t="s">
        <v>8648</v>
      </c>
      <c r="C164" s="31" t="s">
        <v>8456</v>
      </c>
      <c r="D164" s="13"/>
      <c r="E164" s="13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6">
      <c r="A165" s="27"/>
      <c r="B165" s="27"/>
      <c r="C165" s="7"/>
      <c r="D165" s="7"/>
      <c r="E165" s="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31.5" customHeight="1">
      <c r="A166" s="27"/>
      <c r="B166" s="218" t="s">
        <v>8649</v>
      </c>
      <c r="C166" s="183"/>
      <c r="D166" s="183"/>
      <c r="E166" s="181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9.5" customHeight="1">
      <c r="A167" s="27"/>
      <c r="B167" s="213"/>
      <c r="C167" s="183"/>
      <c r="D167" s="183"/>
      <c r="E167" s="181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9.5" customHeight="1">
      <c r="A168" s="27"/>
      <c r="B168" s="81" t="s">
        <v>8389</v>
      </c>
      <c r="C168" s="81" t="s">
        <v>8390</v>
      </c>
      <c r="D168" s="81" t="s">
        <v>6943</v>
      </c>
      <c r="E168" s="81" t="s">
        <v>8181</v>
      </c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9.5" customHeight="1">
      <c r="A169" s="27"/>
      <c r="B169" s="30" t="s">
        <v>8424</v>
      </c>
      <c r="C169" s="31" t="e">
        <f>sample_wld_rwr_vc_fqdn</f>
        <v>#REF!</v>
      </c>
      <c r="D169" s="13" t="str">
        <f>wld_rwr_vc_fqdn</f>
        <v>Value Missing</v>
      </c>
      <c r="E169" s="13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9.5" customHeight="1">
      <c r="A170" s="27"/>
      <c r="B170" s="30" t="s">
        <v>8459</v>
      </c>
      <c r="C170" s="31" t="e">
        <f>(CONCATENATE(sample_wld_vc_fqdn,"&lt;-&gt;",sample_wld_rwr_recovery_site_vc_fqdn))</f>
        <v>#REF!</v>
      </c>
      <c r="D170" s="13"/>
      <c r="E170" s="13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9.5" customHeight="1">
      <c r="A171" s="27"/>
      <c r="B171" s="30" t="s">
        <v>8650</v>
      </c>
      <c r="C171" s="31" t="e">
        <f>(CONCATENATE(sample_wld_rwr_cl02_vds01,"&lt;-&gt;",sample_wld_cl01_az1_mgmt_vm_pg))</f>
        <v>#REF!</v>
      </c>
      <c r="D171" s="13"/>
      <c r="E171" s="13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9.5" customHeight="1">
      <c r="A172" s="27"/>
      <c r="B172" s="30" t="s">
        <v>8651</v>
      </c>
      <c r="C172" s="31" t="e">
        <f ca="1">_xludf.CONCAT(other_instance,"-w01","-cl02-vds01","&lt;-&gt;",CONCATENATE(other_instance,"-w01-seg01-","rwr-ire"))</f>
        <v>#NAME?</v>
      </c>
      <c r="D172" s="13"/>
      <c r="E172" s="13" t="s">
        <v>8652</v>
      </c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9.5" customHeight="1">
      <c r="A173" s="27"/>
      <c r="B173" s="30" t="s">
        <v>8653</v>
      </c>
      <c r="C173" s="31" t="e">
        <f>(CONCATENATE(sample_wld_datacenter,"&lt;-&gt;",sample_wld_rwr_recoverysite_fd))</f>
        <v>#REF!</v>
      </c>
      <c r="D173" s="13" t="str">
        <f>CONCATENATE(rwr_datacenter, "&lt;-&gt;",wld_rwr_recoverysite_fd)</f>
        <v>Value Missing&lt;-&gt;Value Missing</v>
      </c>
      <c r="E173" s="13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9.5" customHeight="1">
      <c r="A174" s="27"/>
      <c r="B174" s="30" t="s">
        <v>8654</v>
      </c>
      <c r="C174" s="31" t="e">
        <f ca="1">_xludf.CONCAT(other_instance,"-w01","dc","&lt;-&gt;",other_instance,"-w01","-fd","-workload")</f>
        <v>#NAME?</v>
      </c>
      <c r="D174" s="13"/>
      <c r="E174" s="13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9.5" customHeight="1">
      <c r="A175" s="27"/>
      <c r="B175" s="30" t="s">
        <v>8655</v>
      </c>
      <c r="C175" s="31" t="e">
        <f>(CONCATENATE(sample_rwr_datacenter,"&lt;-&gt;",sample_wld_rwr_cl02_cluster))</f>
        <v>#REF!</v>
      </c>
      <c r="D175" s="13" t="str">
        <f>CONCATENATE(rwr_datacenter, "&lt;-&gt;",wld_rwr_cl02_cluster)</f>
        <v>Value Missing&lt;-&gt;Value Missing</v>
      </c>
      <c r="E175" s="13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9.5" customHeight="1">
      <c r="A176" s="27"/>
      <c r="B176" s="30" t="s">
        <v>8656</v>
      </c>
      <c r="C176" s="31" t="e">
        <f ca="1">_xludf.CONCAT(other_instance,"-w01","-dc","&lt;-&gt;",other_instance,"-w01","-cl02")</f>
        <v>#NAME?</v>
      </c>
      <c r="D176" s="13"/>
      <c r="E176" s="13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6">
      <c r="A177" s="27"/>
      <c r="B177" s="27"/>
      <c r="C177" s="7"/>
      <c r="D177" s="7"/>
      <c r="E177" s="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31.5" customHeight="1">
      <c r="A178" s="27"/>
      <c r="B178" s="218" t="s">
        <v>8657</v>
      </c>
      <c r="C178" s="183"/>
      <c r="D178" s="183"/>
      <c r="E178" s="181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9.5" customHeight="1">
      <c r="A179" s="27"/>
      <c r="B179" s="213"/>
      <c r="C179" s="183"/>
      <c r="D179" s="183"/>
      <c r="E179" s="181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9.5" customHeight="1">
      <c r="A180" s="27"/>
      <c r="B180" s="81" t="s">
        <v>8389</v>
      </c>
      <c r="C180" s="81" t="s">
        <v>8390</v>
      </c>
      <c r="D180" s="81" t="s">
        <v>6943</v>
      </c>
      <c r="E180" s="81" t="s">
        <v>8181</v>
      </c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9.5" customHeight="1">
      <c r="A181" s="27"/>
      <c r="B181" s="30" t="s">
        <v>8431</v>
      </c>
      <c r="C181" s="31" t="e">
        <f>sample_wld_vlr_fqdn</f>
        <v>#REF!</v>
      </c>
      <c r="D181" s="13" t="str">
        <f>CONCATENATE(wld_vlr_fqdn,"/dr")</f>
        <v>Value Missing.Value Missing/dr</v>
      </c>
      <c r="E181" s="13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9.5" customHeight="1">
      <c r="A182" s="27"/>
      <c r="B182" s="30" t="s">
        <v>8459</v>
      </c>
      <c r="C182" s="31" t="e">
        <f>(CONCATENATE(sample_wld_vc_fqdn,"&lt;-&gt;",sample_wld_rwr_recovery_site_vc_fqdn))</f>
        <v>#REF!</v>
      </c>
      <c r="D182" s="13"/>
      <c r="E182" s="13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9.5" customHeight="1">
      <c r="A183" s="27"/>
      <c r="B183" s="30" t="s">
        <v>8467</v>
      </c>
      <c r="C183" s="31" t="s">
        <v>8658</v>
      </c>
      <c r="D183" s="13"/>
      <c r="E183" s="13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9.5" customHeight="1">
      <c r="A184" s="27"/>
      <c r="B184" s="30" t="s">
        <v>8468</v>
      </c>
      <c r="C184" s="31" t="e">
        <f>CONCATENATE(other_instance,"-w01","-cl01-vsan01")</f>
        <v>#REF!</v>
      </c>
      <c r="D184" s="13"/>
      <c r="E184" s="13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9.5" customHeight="1">
      <c r="A185" s="27"/>
      <c r="B185" s="30" t="s">
        <v>8469</v>
      </c>
      <c r="C185" s="31" t="s">
        <v>8659</v>
      </c>
      <c r="D185" s="13"/>
      <c r="E185" s="13" t="s">
        <v>8660</v>
      </c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9.5" customHeight="1">
      <c r="A186" s="27"/>
      <c r="B186" s="30" t="s">
        <v>8661</v>
      </c>
      <c r="C186" s="31">
        <v>200</v>
      </c>
      <c r="D186" s="13"/>
      <c r="E186" s="13" t="s">
        <v>8660</v>
      </c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9.5" customHeight="1">
      <c r="A187" s="27"/>
      <c r="B187" s="30" t="s">
        <v>8470</v>
      </c>
      <c r="C187" s="31" t="s">
        <v>8662</v>
      </c>
      <c r="D187" s="13"/>
      <c r="E187" s="13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9.5" customHeight="1">
      <c r="A188" s="27"/>
      <c r="B188" s="30" t="s">
        <v>8472</v>
      </c>
      <c r="C188" s="31" t="s">
        <v>8663</v>
      </c>
      <c r="D188" s="13"/>
      <c r="E188" s="13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6">
      <c r="A189" s="27"/>
      <c r="B189" s="27"/>
      <c r="C189" s="7"/>
      <c r="D189" s="7"/>
      <c r="E189" s="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31.5" customHeight="1">
      <c r="A190" s="27"/>
      <c r="B190" s="218" t="s">
        <v>8664</v>
      </c>
      <c r="C190" s="183"/>
      <c r="D190" s="183"/>
      <c r="E190" s="181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9.5" customHeight="1">
      <c r="A191" s="27"/>
      <c r="B191" s="213"/>
      <c r="C191" s="183"/>
      <c r="D191" s="183"/>
      <c r="E191" s="181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9.5" customHeight="1">
      <c r="A192" s="27"/>
      <c r="B192" s="81" t="s">
        <v>8389</v>
      </c>
      <c r="C192" s="81" t="s">
        <v>8390</v>
      </c>
      <c r="D192" s="81" t="s">
        <v>6943</v>
      </c>
      <c r="E192" s="81" t="s">
        <v>8181</v>
      </c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9.5" customHeight="1">
      <c r="A193" s="27"/>
      <c r="B193" s="30" t="s">
        <v>8665</v>
      </c>
      <c r="C193" s="31" t="e">
        <f>sample_wld_rwr_recovery_site_vc_fqdn</f>
        <v>#REF!</v>
      </c>
      <c r="D193" s="13"/>
      <c r="E193" s="13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9.5" customHeight="1">
      <c r="A194" s="27"/>
      <c r="B194" s="30" t="s">
        <v>8666</v>
      </c>
      <c r="C194" s="31" t="e">
        <f>CONCATENATE(other_instance,"-w01-seg01-","rwr-ire")</f>
        <v>#REF!</v>
      </c>
      <c r="D194" s="13"/>
      <c r="E194" s="13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6">
      <c r="A195" s="27"/>
      <c r="B195" s="27"/>
      <c r="C195" s="7"/>
      <c r="D195" s="7"/>
      <c r="E195" s="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31.5" customHeight="1">
      <c r="A196" s="27"/>
      <c r="B196" s="218" t="s">
        <v>8387</v>
      </c>
      <c r="C196" s="183"/>
      <c r="D196" s="183"/>
      <c r="E196" s="181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6">
      <c r="A197" s="27"/>
      <c r="B197" s="27"/>
      <c r="C197" s="7"/>
      <c r="D197" s="7"/>
      <c r="E197" s="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31.5" customHeight="1">
      <c r="A198" s="27"/>
      <c r="B198" s="218" t="s">
        <v>8667</v>
      </c>
      <c r="C198" s="183"/>
      <c r="D198" s="183"/>
      <c r="E198" s="181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9.5" customHeight="1">
      <c r="A199" s="27"/>
      <c r="B199" s="213"/>
      <c r="C199" s="183"/>
      <c r="D199" s="183"/>
      <c r="E199" s="181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9.5" customHeight="1">
      <c r="A200" s="27"/>
      <c r="B200" s="81" t="s">
        <v>8389</v>
      </c>
      <c r="C200" s="81" t="s">
        <v>8390</v>
      </c>
      <c r="D200" s="81" t="s">
        <v>6943</v>
      </c>
      <c r="E200" s="81" t="s">
        <v>8181</v>
      </c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9.5" customHeight="1">
      <c r="A201" s="27"/>
      <c r="B201" s="30" t="s">
        <v>8424</v>
      </c>
      <c r="C201" s="31" t="e">
        <f>sample_wld_rwr_vc_fqdn</f>
        <v>#REF!</v>
      </c>
      <c r="D201" s="13" t="str">
        <f>wld_rwr_vc_fqdn</f>
        <v>Value Missing</v>
      </c>
      <c r="E201" s="13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9.5" customHeight="1">
      <c r="A202" s="27"/>
      <c r="B202" s="30" t="s">
        <v>8176</v>
      </c>
      <c r="C202" s="31" t="e">
        <f>sample_rwr_sso_domain_name</f>
        <v>#REF!</v>
      </c>
      <c r="D202" s="13" t="str">
        <f>rwr_sso_domain_name</f>
        <v>Value Missing</v>
      </c>
      <c r="E202" s="13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9.5" customHeight="1">
      <c r="A203" s="27"/>
      <c r="B203" s="30" t="s">
        <v>8668</v>
      </c>
      <c r="C203" s="31" t="e">
        <f>CONCATENATE(this_instance,"-svc-vcfops-vlsr")</f>
        <v>#REF!</v>
      </c>
      <c r="D203" s="13"/>
      <c r="E203" s="13" t="s">
        <v>8546</v>
      </c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9.5" customHeight="1">
      <c r="A204" s="27"/>
      <c r="B204" s="30" t="s">
        <v>8669</v>
      </c>
      <c r="C204" s="31" t="s">
        <v>6709</v>
      </c>
      <c r="D204" s="13"/>
      <c r="E204" s="13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9.5" customHeight="1">
      <c r="A205" s="27"/>
      <c r="B205" s="30" t="s">
        <v>8426</v>
      </c>
      <c r="C205" s="31" t="e">
        <f>CONCATENATE(this_instance,"-svc-vcfops-vr")</f>
        <v>#REF!</v>
      </c>
      <c r="D205" s="13"/>
      <c r="E205" s="13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9.5" customHeight="1">
      <c r="A206" s="27"/>
      <c r="B206" s="30" t="s">
        <v>8427</v>
      </c>
      <c r="C206" s="31" t="s">
        <v>6709</v>
      </c>
      <c r="D206" s="13"/>
      <c r="E206" s="13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6">
      <c r="A207" s="27"/>
      <c r="B207" s="27"/>
      <c r="C207" s="7"/>
      <c r="D207" s="7"/>
      <c r="E207" s="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31.5" customHeight="1">
      <c r="A208" s="27"/>
      <c r="B208" s="218" t="s">
        <v>8670</v>
      </c>
      <c r="C208" s="183"/>
      <c r="D208" s="183"/>
      <c r="E208" s="181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9.5" customHeight="1">
      <c r="A209" s="27"/>
      <c r="B209" s="213"/>
      <c r="C209" s="183"/>
      <c r="D209" s="183"/>
      <c r="E209" s="181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9.5" customHeight="1">
      <c r="A210" s="27"/>
      <c r="B210" s="81" t="s">
        <v>8389</v>
      </c>
      <c r="C210" s="81" t="s">
        <v>8390</v>
      </c>
      <c r="D210" s="81" t="s">
        <v>6943</v>
      </c>
      <c r="E210" s="81" t="s">
        <v>8181</v>
      </c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9.5" customHeight="1">
      <c r="A211" s="27"/>
      <c r="B211" s="30" t="s">
        <v>8424</v>
      </c>
      <c r="C211" s="31" t="e">
        <f>sample_wld_rwr_vc_fqdn</f>
        <v>#REF!</v>
      </c>
      <c r="D211" s="13" t="str">
        <f>wld_rwr_vc_fqdn</f>
        <v>Value Missing</v>
      </c>
      <c r="E211" s="13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9.5" customHeight="1">
      <c r="A212" s="27"/>
      <c r="B212" s="30" t="s">
        <v>8176</v>
      </c>
      <c r="C212" s="31" t="e">
        <f>sample_rwr_sso_domain_name</f>
        <v>#REF!</v>
      </c>
      <c r="D212" s="13" t="str">
        <f>rwr_sso_domain_name</f>
        <v>Value Missing</v>
      </c>
      <c r="E212" s="13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9.5" customHeight="1">
      <c r="A213" s="27"/>
      <c r="B213" s="30" t="s">
        <v>8671</v>
      </c>
      <c r="C213" s="31" t="s">
        <v>8546</v>
      </c>
      <c r="D213" s="13"/>
      <c r="E213" s="13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9.5" customHeight="1">
      <c r="A214" s="27"/>
      <c r="B214" s="30" t="s">
        <v>8672</v>
      </c>
      <c r="C214" s="31" t="s">
        <v>8554</v>
      </c>
      <c r="D214" s="13"/>
      <c r="E214" s="13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9.5" customHeight="1">
      <c r="A215" s="27"/>
      <c r="B215" s="30" t="s">
        <v>8673</v>
      </c>
      <c r="C215" s="31" t="s">
        <v>8549</v>
      </c>
      <c r="D215" s="13"/>
      <c r="E215" s="13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9.5" customHeight="1">
      <c r="A216" s="27"/>
      <c r="B216" s="30" t="s">
        <v>8674</v>
      </c>
      <c r="C216" s="31" t="s">
        <v>8557</v>
      </c>
      <c r="D216" s="13"/>
      <c r="E216" s="13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6">
      <c r="A217" s="27"/>
      <c r="B217" s="27"/>
      <c r="C217" s="7"/>
      <c r="D217" s="7"/>
      <c r="E217" s="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31.5" customHeight="1">
      <c r="A218" s="27"/>
      <c r="B218" s="218" t="s">
        <v>8675</v>
      </c>
      <c r="C218" s="183"/>
      <c r="D218" s="183"/>
      <c r="E218" s="181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9.5" customHeight="1">
      <c r="A219" s="27"/>
      <c r="B219" s="213"/>
      <c r="C219" s="183"/>
      <c r="D219" s="183"/>
      <c r="E219" s="181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9.5" customHeight="1">
      <c r="A220" s="27"/>
      <c r="B220" s="81" t="s">
        <v>8389</v>
      </c>
      <c r="C220" s="81" t="s">
        <v>8390</v>
      </c>
      <c r="D220" s="81" t="s">
        <v>6943</v>
      </c>
      <c r="E220" s="81" t="s">
        <v>8181</v>
      </c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9.5" customHeight="1">
      <c r="A221" s="27"/>
      <c r="B221" s="30" t="s">
        <v>8405</v>
      </c>
      <c r="C221" s="31" t="e">
        <f>sample_xreg_vrops_virtual_fqdn</f>
        <v>#REF!</v>
      </c>
      <c r="D221" s="13"/>
      <c r="E221" s="13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9.5" customHeight="1">
      <c r="A222" s="27"/>
      <c r="B222" s="30" t="s">
        <v>8676</v>
      </c>
      <c r="C222" s="31" t="s">
        <v>8561</v>
      </c>
      <c r="D222" s="13"/>
      <c r="E222" s="13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6">
      <c r="A223" s="27"/>
      <c r="B223" s="27"/>
      <c r="C223" s="7"/>
      <c r="D223" s="7"/>
      <c r="E223" s="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31.5" customHeight="1">
      <c r="A224" s="27"/>
      <c r="B224" s="218" t="s">
        <v>8677</v>
      </c>
      <c r="C224" s="183"/>
      <c r="D224" s="183"/>
      <c r="E224" s="181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9.5" customHeight="1">
      <c r="A225" s="27"/>
      <c r="B225" s="213"/>
      <c r="C225" s="183"/>
      <c r="D225" s="183"/>
      <c r="E225" s="181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9.5" customHeight="1">
      <c r="A226" s="27"/>
      <c r="B226" s="81" t="s">
        <v>8389</v>
      </c>
      <c r="C226" s="81" t="s">
        <v>8390</v>
      </c>
      <c r="D226" s="81" t="s">
        <v>6943</v>
      </c>
      <c r="E226" s="81" t="s">
        <v>8181</v>
      </c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9.5" customHeight="1">
      <c r="A227" s="27"/>
      <c r="B227" s="30" t="s">
        <v>8405</v>
      </c>
      <c r="C227" s="31" t="e">
        <f>sample_xreg_vrops_virtual_fqdn</f>
        <v>#REF!</v>
      </c>
      <c r="D227" s="13"/>
      <c r="E227" s="13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9.5" customHeight="1">
      <c r="A228" s="27"/>
      <c r="B228" s="30" t="s">
        <v>6780</v>
      </c>
      <c r="C228" s="31" t="e">
        <f>CONCATENATE(sample_wld_sddc_domain,"-vlsr")</f>
        <v>#REF!</v>
      </c>
      <c r="D228" s="13"/>
      <c r="E228" s="13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9.5" customHeight="1">
      <c r="A229" s="27"/>
      <c r="B229" s="30" t="s">
        <v>8678</v>
      </c>
      <c r="C229" s="31" t="e">
        <f>sample_wld_vlr_fqdn</f>
        <v>#REF!</v>
      </c>
      <c r="D229" s="13"/>
      <c r="E229" s="13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9.5" customHeight="1">
      <c r="A230" s="27"/>
      <c r="B230" s="30" t="s">
        <v>8679</v>
      </c>
      <c r="C230" s="31">
        <v>443</v>
      </c>
      <c r="D230" s="13"/>
      <c r="E230" s="13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9.5" customHeight="1">
      <c r="A231" s="27"/>
      <c r="B231" s="30" t="s">
        <v>8680</v>
      </c>
      <c r="C231" s="31" t="e">
        <f>sample_wld_rwr_vcfops_vlsr_username</f>
        <v>#REF!</v>
      </c>
      <c r="D231" s="13" t="str">
        <f>CONCATENATE(wld_rwr_vcfops_vlsr_username,"-cred")</f>
        <v>Value Missing-cred</v>
      </c>
      <c r="E231" s="13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9.5" customHeight="1">
      <c r="A232" s="27"/>
      <c r="B232" s="30" t="s">
        <v>8318</v>
      </c>
      <c r="C232" s="31" t="e">
        <f>CONCATENATE(sample_wld_rwr_vcfops_vlsr_username,"@",this_instance,"-w01.local")</f>
        <v>#REF!</v>
      </c>
      <c r="D232" s="13"/>
      <c r="E232" s="13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9.5" customHeight="1">
      <c r="A233" s="27"/>
      <c r="B233" s="30" t="s">
        <v>6792</v>
      </c>
      <c r="C233" s="31" t="s">
        <v>6709</v>
      </c>
      <c r="D233" s="13"/>
      <c r="E233" s="13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9.5" customHeight="1">
      <c r="A234" s="27"/>
      <c r="B234" s="30" t="s">
        <v>8681</v>
      </c>
      <c r="C234" s="31" t="e">
        <f>CONCATENATE(sample_xreg_vrops_collector_fqdn, " or ", this_instance,"-m01-collector-group")</f>
        <v>#REF!</v>
      </c>
      <c r="D234" s="13"/>
      <c r="E234" s="13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6">
      <c r="A235" s="27"/>
      <c r="B235" s="27"/>
      <c r="C235" s="7"/>
      <c r="D235" s="7"/>
      <c r="E235" s="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31.5" customHeight="1">
      <c r="A236" s="27"/>
      <c r="B236" s="218" t="s">
        <v>8682</v>
      </c>
      <c r="C236" s="183"/>
      <c r="D236" s="183"/>
      <c r="E236" s="181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9.5" customHeight="1">
      <c r="A237" s="27"/>
      <c r="B237" s="213"/>
      <c r="C237" s="183"/>
      <c r="D237" s="183"/>
      <c r="E237" s="181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9.5" customHeight="1">
      <c r="A238" s="27"/>
      <c r="B238" s="81" t="s">
        <v>8389</v>
      </c>
      <c r="C238" s="81" t="s">
        <v>8390</v>
      </c>
      <c r="D238" s="81" t="s">
        <v>6943</v>
      </c>
      <c r="E238" s="81" t="s">
        <v>8181</v>
      </c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9.5" customHeight="1">
      <c r="A239" s="27"/>
      <c r="B239" s="30" t="s">
        <v>8405</v>
      </c>
      <c r="C239" s="31" t="e">
        <f>sample_xreg_vrops_virtual_fqdn</f>
        <v>#REF!</v>
      </c>
      <c r="D239" s="13"/>
      <c r="E239" s="13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9.5" customHeight="1">
      <c r="A240" s="27"/>
      <c r="B240" s="30" t="s">
        <v>6780</v>
      </c>
      <c r="C240" s="31" t="e">
        <f>CONCATENATE(sample_wld_sddc_domain,"-vr")</f>
        <v>#REF!</v>
      </c>
      <c r="D240" s="13"/>
      <c r="E240" s="13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9.5" customHeight="1">
      <c r="A241" s="27"/>
      <c r="B241" s="30" t="s">
        <v>8683</v>
      </c>
      <c r="C241" s="31" t="e">
        <f>sample_wld_vc_fqdn</f>
        <v>#REF!</v>
      </c>
      <c r="D241" s="13"/>
      <c r="E241" s="13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9.5" customHeight="1">
      <c r="A242" s="27"/>
      <c r="B242" s="30" t="s">
        <v>8680</v>
      </c>
      <c r="C242" s="31" t="e">
        <f>sample_wld_rwr_vcfops_vr_username</f>
        <v>#REF!</v>
      </c>
      <c r="D242" s="13" t="str">
        <f>CONCATENATE(wld_rwr_vcfops_vr_username,"-cred")</f>
        <v>Value Missing-cred</v>
      </c>
      <c r="E242" s="13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9.5" customHeight="1">
      <c r="A243" s="27"/>
      <c r="B243" s="30" t="s">
        <v>8318</v>
      </c>
      <c r="C243" s="31" t="e">
        <f>CONCATENATE(sample_wld_rwr_vcfops_vr_username,,"@",this_instance,"-w01.local")</f>
        <v>#REF!</v>
      </c>
      <c r="D243" s="13"/>
      <c r="E243" s="13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9.5" customHeight="1">
      <c r="A244" s="27"/>
      <c r="B244" s="30" t="s">
        <v>6792</v>
      </c>
      <c r="C244" s="31" t="s">
        <v>6709</v>
      </c>
      <c r="D244" s="13"/>
      <c r="E244" s="13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9.5" customHeight="1">
      <c r="A245" s="27"/>
      <c r="B245" s="30" t="s">
        <v>8681</v>
      </c>
      <c r="C245" s="31" t="e">
        <f>CONCATENATE(sample_xreg_vrops_collector_fqdn, " or ", this_instance,"-m01-collector-group")</f>
        <v>#REF!</v>
      </c>
      <c r="D245" s="13"/>
      <c r="E245" s="13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6">
      <c r="A246" s="27"/>
      <c r="B246" s="27"/>
      <c r="C246" s="7"/>
      <c r="D246" s="7"/>
      <c r="E246" s="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31.5" customHeight="1">
      <c r="A247" s="27"/>
      <c r="B247" s="218" t="s">
        <v>8684</v>
      </c>
      <c r="C247" s="183"/>
      <c r="D247" s="183"/>
      <c r="E247" s="181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9.5" customHeight="1">
      <c r="A248" s="27"/>
      <c r="B248" s="213"/>
      <c r="C248" s="183"/>
      <c r="D248" s="183"/>
      <c r="E248" s="181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9.5" customHeight="1">
      <c r="A249" s="27"/>
      <c r="B249" s="81" t="s">
        <v>8389</v>
      </c>
      <c r="C249" s="81" t="s">
        <v>8390</v>
      </c>
      <c r="D249" s="81" t="s">
        <v>6943</v>
      </c>
      <c r="E249" s="81" t="s">
        <v>8181</v>
      </c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9.5" customHeight="1">
      <c r="A250" s="27"/>
      <c r="B250" s="30" t="s">
        <v>8405</v>
      </c>
      <c r="C250" s="31" t="e">
        <f>sample_xreg_vrops_virtual_fqdn</f>
        <v>#REF!</v>
      </c>
      <c r="D250" s="13"/>
      <c r="E250" s="13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6">
      <c r="A251" s="27"/>
      <c r="B251" s="27"/>
      <c r="C251" s="7"/>
      <c r="D251" s="7"/>
      <c r="E251" s="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6">
      <c r="A252" s="27"/>
      <c r="B252" s="27"/>
      <c r="C252" s="7"/>
      <c r="D252" s="7"/>
      <c r="E252" s="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6">
      <c r="A253" s="27"/>
      <c r="B253" s="27"/>
      <c r="C253" s="7"/>
      <c r="D253" s="7"/>
      <c r="E253" s="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6">
      <c r="A254" s="27"/>
      <c r="B254" s="27"/>
      <c r="C254" s="7"/>
      <c r="D254" s="7"/>
      <c r="E254" s="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6">
      <c r="A255" s="27"/>
      <c r="B255" s="27"/>
      <c r="C255" s="7"/>
      <c r="D255" s="7"/>
      <c r="E255" s="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6">
      <c r="A256" s="27"/>
      <c r="B256" s="27"/>
      <c r="C256" s="7"/>
      <c r="D256" s="7"/>
      <c r="E256" s="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6">
      <c r="A257" s="27"/>
      <c r="B257" s="27"/>
      <c r="C257" s="7"/>
      <c r="D257" s="7"/>
      <c r="E257" s="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6">
      <c r="A258" s="27"/>
      <c r="B258" s="27"/>
      <c r="C258" s="7"/>
      <c r="D258" s="7"/>
      <c r="E258" s="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6">
      <c r="A259" s="27"/>
      <c r="B259" s="27"/>
      <c r="C259" s="7"/>
      <c r="D259" s="7"/>
      <c r="E259" s="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6">
      <c r="A260" s="27"/>
      <c r="B260" s="27"/>
      <c r="C260" s="7"/>
      <c r="D260" s="7"/>
      <c r="E260" s="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6">
      <c r="A261" s="27"/>
      <c r="B261" s="27"/>
      <c r="C261" s="7"/>
      <c r="D261" s="7"/>
      <c r="E261" s="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6">
      <c r="A262" s="27"/>
      <c r="B262" s="27"/>
      <c r="C262" s="7"/>
      <c r="D262" s="7"/>
      <c r="E262" s="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6">
      <c r="A263" s="27"/>
      <c r="B263" s="27"/>
      <c r="C263" s="7"/>
      <c r="D263" s="7"/>
      <c r="E263" s="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6">
      <c r="A264" s="27"/>
      <c r="B264" s="27"/>
      <c r="C264" s="7"/>
      <c r="D264" s="7"/>
      <c r="E264" s="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6">
      <c r="A265" s="27"/>
      <c r="B265" s="27"/>
      <c r="C265" s="7"/>
      <c r="D265" s="7"/>
      <c r="E265" s="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6">
      <c r="A266" s="27"/>
      <c r="B266" s="27"/>
      <c r="C266" s="7"/>
      <c r="D266" s="7"/>
      <c r="E266" s="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6">
      <c r="A267" s="27"/>
      <c r="B267" s="27"/>
      <c r="C267" s="7"/>
      <c r="D267" s="7"/>
      <c r="E267" s="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6">
      <c r="A268" s="27"/>
      <c r="B268" s="27"/>
      <c r="C268" s="7"/>
      <c r="D268" s="7"/>
      <c r="E268" s="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6">
      <c r="A269" s="27"/>
      <c r="B269" s="27"/>
      <c r="C269" s="7"/>
      <c r="D269" s="7"/>
      <c r="E269" s="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6">
      <c r="A270" s="27"/>
      <c r="B270" s="27"/>
      <c r="C270" s="7"/>
      <c r="D270" s="7"/>
      <c r="E270" s="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6">
      <c r="A271" s="27"/>
      <c r="B271" s="27"/>
      <c r="C271" s="7"/>
      <c r="D271" s="7"/>
      <c r="E271" s="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6">
      <c r="A272" s="27"/>
      <c r="B272" s="27"/>
      <c r="C272" s="7"/>
      <c r="D272" s="7"/>
      <c r="E272" s="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6">
      <c r="A273" s="27"/>
      <c r="B273" s="27"/>
      <c r="C273" s="7"/>
      <c r="D273" s="7"/>
      <c r="E273" s="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6">
      <c r="A274" s="27"/>
      <c r="B274" s="27"/>
      <c r="C274" s="7"/>
      <c r="D274" s="7"/>
      <c r="E274" s="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6">
      <c r="A275" s="27"/>
      <c r="B275" s="27"/>
      <c r="C275" s="7"/>
      <c r="D275" s="7"/>
      <c r="E275" s="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6">
      <c r="A276" s="27"/>
      <c r="B276" s="27"/>
      <c r="C276" s="7"/>
      <c r="D276" s="7"/>
      <c r="E276" s="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6">
      <c r="A277" s="27"/>
      <c r="B277" s="27"/>
      <c r="C277" s="7"/>
      <c r="D277" s="7"/>
      <c r="E277" s="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6">
      <c r="A278" s="27"/>
      <c r="B278" s="27"/>
      <c r="C278" s="7"/>
      <c r="D278" s="7"/>
      <c r="E278" s="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6">
      <c r="A279" s="27"/>
      <c r="B279" s="27"/>
      <c r="C279" s="7"/>
      <c r="D279" s="7"/>
      <c r="E279" s="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6">
      <c r="A280" s="27"/>
      <c r="B280" s="27"/>
      <c r="C280" s="7"/>
      <c r="D280" s="7"/>
      <c r="E280" s="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6">
      <c r="A281" s="27"/>
      <c r="B281" s="27"/>
      <c r="C281" s="7"/>
      <c r="D281" s="7"/>
      <c r="E281" s="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6">
      <c r="A282" s="27"/>
      <c r="B282" s="27"/>
      <c r="C282" s="7"/>
      <c r="D282" s="7"/>
      <c r="E282" s="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6">
      <c r="A283" s="27"/>
      <c r="B283" s="27"/>
      <c r="C283" s="7"/>
      <c r="D283" s="7"/>
      <c r="E283" s="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6">
      <c r="A284" s="27"/>
      <c r="B284" s="27"/>
      <c r="C284" s="7"/>
      <c r="D284" s="7"/>
      <c r="E284" s="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6">
      <c r="A285" s="27"/>
      <c r="B285" s="27"/>
      <c r="C285" s="7"/>
      <c r="D285" s="7"/>
      <c r="E285" s="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6">
      <c r="A286" s="27"/>
      <c r="B286" s="27"/>
      <c r="C286" s="7"/>
      <c r="D286" s="7"/>
      <c r="E286" s="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6">
      <c r="A287" s="27"/>
      <c r="B287" s="27"/>
      <c r="C287" s="7"/>
      <c r="D287" s="7"/>
      <c r="E287" s="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6">
      <c r="A288" s="27"/>
      <c r="B288" s="27"/>
      <c r="C288" s="7"/>
      <c r="D288" s="7"/>
      <c r="E288" s="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6">
      <c r="A289" s="27"/>
      <c r="B289" s="27"/>
      <c r="C289" s="7"/>
      <c r="D289" s="7"/>
      <c r="E289" s="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6">
      <c r="A290" s="27"/>
      <c r="B290" s="27"/>
      <c r="C290" s="7"/>
      <c r="D290" s="7"/>
      <c r="E290" s="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6">
      <c r="A291" s="27"/>
      <c r="B291" s="27"/>
      <c r="C291" s="7"/>
      <c r="D291" s="7"/>
      <c r="E291" s="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6">
      <c r="A292" s="27"/>
      <c r="B292" s="27"/>
      <c r="C292" s="7"/>
      <c r="D292" s="7"/>
      <c r="E292" s="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6">
      <c r="A293" s="27"/>
      <c r="B293" s="27"/>
      <c r="C293" s="7"/>
      <c r="D293" s="7"/>
      <c r="E293" s="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6">
      <c r="A294" s="27"/>
      <c r="B294" s="27"/>
      <c r="C294" s="7"/>
      <c r="D294" s="7"/>
      <c r="E294" s="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6">
      <c r="A295" s="27"/>
      <c r="B295" s="27"/>
      <c r="C295" s="7"/>
      <c r="D295" s="7"/>
      <c r="E295" s="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6">
      <c r="A296" s="27"/>
      <c r="B296" s="27"/>
      <c r="C296" s="7"/>
      <c r="D296" s="7"/>
      <c r="E296" s="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6">
      <c r="A297" s="27"/>
      <c r="B297" s="27"/>
      <c r="C297" s="7"/>
      <c r="D297" s="7"/>
      <c r="E297" s="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6">
      <c r="A298" s="27"/>
      <c r="B298" s="27"/>
      <c r="C298" s="7"/>
      <c r="D298" s="7"/>
      <c r="E298" s="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6">
      <c r="A299" s="27"/>
      <c r="B299" s="27"/>
      <c r="C299" s="7"/>
      <c r="D299" s="7"/>
      <c r="E299" s="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6">
      <c r="A300" s="27"/>
      <c r="B300" s="27"/>
      <c r="C300" s="7"/>
      <c r="D300" s="7"/>
      <c r="E300" s="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6">
      <c r="A301" s="27"/>
      <c r="B301" s="27"/>
      <c r="C301" s="7"/>
      <c r="D301" s="7"/>
      <c r="E301" s="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6">
      <c r="A302" s="27"/>
      <c r="B302" s="27"/>
      <c r="C302" s="7"/>
      <c r="D302" s="7"/>
      <c r="E302" s="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6">
      <c r="A303" s="27"/>
      <c r="B303" s="27"/>
      <c r="C303" s="7"/>
      <c r="D303" s="7"/>
      <c r="E303" s="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6">
      <c r="A304" s="27"/>
      <c r="B304" s="27"/>
      <c r="C304" s="7"/>
      <c r="D304" s="7"/>
      <c r="E304" s="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6">
      <c r="A305" s="27"/>
      <c r="B305" s="27"/>
      <c r="C305" s="7"/>
      <c r="D305" s="7"/>
      <c r="E305" s="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6">
      <c r="A306" s="27"/>
      <c r="B306" s="27"/>
      <c r="C306" s="7"/>
      <c r="D306" s="7"/>
      <c r="E306" s="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6">
      <c r="A307" s="27"/>
      <c r="B307" s="27"/>
      <c r="C307" s="7"/>
      <c r="D307" s="7"/>
      <c r="E307" s="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6">
      <c r="A308" s="27"/>
      <c r="B308" s="27"/>
      <c r="C308" s="7"/>
      <c r="D308" s="7"/>
      <c r="E308" s="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6">
      <c r="A309" s="27"/>
      <c r="B309" s="27"/>
      <c r="C309" s="7"/>
      <c r="D309" s="7"/>
      <c r="E309" s="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6">
      <c r="A310" s="27"/>
      <c r="B310" s="27"/>
      <c r="C310" s="7"/>
      <c r="D310" s="7"/>
      <c r="E310" s="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6">
      <c r="A311" s="27"/>
      <c r="B311" s="27"/>
      <c r="C311" s="7"/>
      <c r="D311" s="7"/>
      <c r="E311" s="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6">
      <c r="A312" s="27"/>
      <c r="B312" s="27"/>
      <c r="C312" s="7"/>
      <c r="D312" s="7"/>
      <c r="E312" s="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6">
      <c r="A313" s="27"/>
      <c r="B313" s="27"/>
      <c r="C313" s="7"/>
      <c r="D313" s="7"/>
      <c r="E313" s="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6">
      <c r="A314" s="27"/>
      <c r="B314" s="27"/>
      <c r="C314" s="7"/>
      <c r="D314" s="7"/>
      <c r="E314" s="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6">
      <c r="A315" s="27"/>
      <c r="B315" s="27"/>
      <c r="C315" s="7"/>
      <c r="D315" s="7"/>
      <c r="E315" s="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6">
      <c r="A316" s="27"/>
      <c r="B316" s="27"/>
      <c r="C316" s="7"/>
      <c r="D316" s="7"/>
      <c r="E316" s="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6">
      <c r="A317" s="27"/>
      <c r="B317" s="27"/>
      <c r="C317" s="7"/>
      <c r="D317" s="7"/>
      <c r="E317" s="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6">
      <c r="A318" s="27"/>
      <c r="B318" s="27"/>
      <c r="C318" s="7"/>
      <c r="D318" s="7"/>
      <c r="E318" s="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6">
      <c r="A319" s="27"/>
      <c r="B319" s="27"/>
      <c r="C319" s="7"/>
      <c r="D319" s="7"/>
      <c r="E319" s="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6">
      <c r="A320" s="27"/>
      <c r="B320" s="27"/>
      <c r="C320" s="7"/>
      <c r="D320" s="7"/>
      <c r="E320" s="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6">
      <c r="A321" s="27"/>
      <c r="B321" s="27"/>
      <c r="C321" s="7"/>
      <c r="D321" s="7"/>
      <c r="E321" s="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6">
      <c r="A322" s="27"/>
      <c r="B322" s="27"/>
      <c r="C322" s="7"/>
      <c r="D322" s="7"/>
      <c r="E322" s="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6">
      <c r="A323" s="27"/>
      <c r="B323" s="27"/>
      <c r="C323" s="7"/>
      <c r="D323" s="7"/>
      <c r="E323" s="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6">
      <c r="A324" s="27"/>
      <c r="B324" s="27"/>
      <c r="C324" s="7"/>
      <c r="D324" s="7"/>
      <c r="E324" s="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6">
      <c r="A325" s="27"/>
      <c r="B325" s="27"/>
      <c r="C325" s="7"/>
      <c r="D325" s="7"/>
      <c r="E325" s="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6">
      <c r="A326" s="27"/>
      <c r="B326" s="27"/>
      <c r="C326" s="7"/>
      <c r="D326" s="7"/>
      <c r="E326" s="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6">
      <c r="A327" s="27"/>
      <c r="B327" s="27"/>
      <c r="C327" s="7"/>
      <c r="D327" s="7"/>
      <c r="E327" s="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6">
      <c r="A328" s="27"/>
      <c r="B328" s="27"/>
      <c r="C328" s="7"/>
      <c r="D328" s="7"/>
      <c r="E328" s="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6">
      <c r="A329" s="27"/>
      <c r="B329" s="27"/>
      <c r="C329" s="7"/>
      <c r="D329" s="7"/>
      <c r="E329" s="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6">
      <c r="A330" s="27"/>
      <c r="B330" s="27"/>
      <c r="C330" s="7"/>
      <c r="D330" s="7"/>
      <c r="E330" s="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6">
      <c r="A331" s="27"/>
      <c r="B331" s="27"/>
      <c r="C331" s="7"/>
      <c r="D331" s="7"/>
      <c r="E331" s="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6">
      <c r="A332" s="27"/>
      <c r="B332" s="27"/>
      <c r="C332" s="7"/>
      <c r="D332" s="7"/>
      <c r="E332" s="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6">
      <c r="A333" s="27"/>
      <c r="B333" s="27"/>
      <c r="C333" s="7"/>
      <c r="D333" s="7"/>
      <c r="E333" s="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6">
      <c r="A334" s="27"/>
      <c r="B334" s="27"/>
      <c r="C334" s="7"/>
      <c r="D334" s="7"/>
      <c r="E334" s="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6">
      <c r="A335" s="27"/>
      <c r="B335" s="27"/>
      <c r="C335" s="7"/>
      <c r="D335" s="7"/>
      <c r="E335" s="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6">
      <c r="A336" s="27"/>
      <c r="B336" s="27"/>
      <c r="C336" s="7"/>
      <c r="D336" s="7"/>
      <c r="E336" s="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6">
      <c r="A337" s="27"/>
      <c r="B337" s="27"/>
      <c r="C337" s="7"/>
      <c r="D337" s="7"/>
      <c r="E337" s="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6">
      <c r="A338" s="27"/>
      <c r="B338" s="27"/>
      <c r="C338" s="7"/>
      <c r="D338" s="7"/>
      <c r="E338" s="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6">
      <c r="A339" s="27"/>
      <c r="B339" s="27"/>
      <c r="C339" s="7"/>
      <c r="D339" s="7"/>
      <c r="E339" s="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6">
      <c r="A340" s="27"/>
      <c r="B340" s="27"/>
      <c r="C340" s="7"/>
      <c r="D340" s="7"/>
      <c r="E340" s="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6">
      <c r="A341" s="27"/>
      <c r="B341" s="27"/>
      <c r="C341" s="7"/>
      <c r="D341" s="7"/>
      <c r="E341" s="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6">
      <c r="A342" s="27"/>
      <c r="B342" s="27"/>
      <c r="C342" s="7"/>
      <c r="D342" s="7"/>
      <c r="E342" s="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6">
      <c r="A343" s="27"/>
      <c r="B343" s="27"/>
      <c r="C343" s="7"/>
      <c r="D343" s="7"/>
      <c r="E343" s="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6">
      <c r="A344" s="27"/>
      <c r="B344" s="27"/>
      <c r="C344" s="7"/>
      <c r="D344" s="7"/>
      <c r="E344" s="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6">
      <c r="A345" s="27"/>
      <c r="B345" s="27"/>
      <c r="C345" s="7"/>
      <c r="D345" s="7"/>
      <c r="E345" s="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6">
      <c r="A346" s="27"/>
      <c r="B346" s="27"/>
      <c r="C346" s="7"/>
      <c r="D346" s="7"/>
      <c r="E346" s="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6">
      <c r="A347" s="27"/>
      <c r="B347" s="27"/>
      <c r="C347" s="7"/>
      <c r="D347" s="7"/>
      <c r="E347" s="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6">
      <c r="A348" s="27"/>
      <c r="B348" s="27"/>
      <c r="C348" s="7"/>
      <c r="D348" s="7"/>
      <c r="E348" s="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6">
      <c r="A349" s="27"/>
      <c r="B349" s="27"/>
      <c r="C349" s="7"/>
      <c r="D349" s="7"/>
      <c r="E349" s="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6">
      <c r="A350" s="27"/>
      <c r="B350" s="27"/>
      <c r="C350" s="7"/>
      <c r="D350" s="7"/>
      <c r="E350" s="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6">
      <c r="A351" s="27"/>
      <c r="B351" s="27"/>
      <c r="C351" s="7"/>
      <c r="D351" s="7"/>
      <c r="E351" s="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6">
      <c r="A352" s="27"/>
      <c r="B352" s="27"/>
      <c r="C352" s="7"/>
      <c r="D352" s="7"/>
      <c r="E352" s="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6">
      <c r="A353" s="27"/>
      <c r="B353" s="27"/>
      <c r="C353" s="7"/>
      <c r="D353" s="7"/>
      <c r="E353" s="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6">
      <c r="A354" s="27"/>
      <c r="B354" s="27"/>
      <c r="C354" s="7"/>
      <c r="D354" s="7"/>
      <c r="E354" s="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6">
      <c r="A355" s="27"/>
      <c r="B355" s="27"/>
      <c r="C355" s="7"/>
      <c r="D355" s="7"/>
      <c r="E355" s="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6">
      <c r="A356" s="27"/>
      <c r="B356" s="27"/>
      <c r="C356" s="7"/>
      <c r="D356" s="7"/>
      <c r="E356" s="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6">
      <c r="A357" s="27"/>
      <c r="B357" s="27"/>
      <c r="C357" s="7"/>
      <c r="D357" s="7"/>
      <c r="E357" s="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6">
      <c r="A358" s="27"/>
      <c r="B358" s="27"/>
      <c r="C358" s="7"/>
      <c r="D358" s="7"/>
      <c r="E358" s="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6">
      <c r="A359" s="27"/>
      <c r="B359" s="27"/>
      <c r="C359" s="7"/>
      <c r="D359" s="7"/>
      <c r="E359" s="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6">
      <c r="A360" s="27"/>
      <c r="B360" s="27"/>
      <c r="C360" s="7"/>
      <c r="D360" s="7"/>
      <c r="E360" s="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6">
      <c r="A361" s="27"/>
      <c r="B361" s="27"/>
      <c r="C361" s="7"/>
      <c r="D361" s="7"/>
      <c r="E361" s="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6">
      <c r="A362" s="27"/>
      <c r="B362" s="27"/>
      <c r="C362" s="7"/>
      <c r="D362" s="7"/>
      <c r="E362" s="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6">
      <c r="A363" s="27"/>
      <c r="B363" s="27"/>
      <c r="C363" s="7"/>
      <c r="D363" s="7"/>
      <c r="E363" s="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6">
      <c r="A364" s="27"/>
      <c r="B364" s="27"/>
      <c r="C364" s="7"/>
      <c r="D364" s="7"/>
      <c r="E364" s="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6">
      <c r="A365" s="27"/>
      <c r="B365" s="27"/>
      <c r="C365" s="7"/>
      <c r="D365" s="7"/>
      <c r="E365" s="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6">
      <c r="A366" s="27"/>
      <c r="B366" s="27"/>
      <c r="C366" s="7"/>
      <c r="D366" s="7"/>
      <c r="E366" s="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6">
      <c r="A367" s="27"/>
      <c r="B367" s="27"/>
      <c r="C367" s="7"/>
      <c r="D367" s="7"/>
      <c r="E367" s="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6">
      <c r="A368" s="27"/>
      <c r="B368" s="27"/>
      <c r="C368" s="7"/>
      <c r="D368" s="7"/>
      <c r="E368" s="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6">
      <c r="A369" s="27"/>
      <c r="B369" s="27"/>
      <c r="C369" s="7"/>
      <c r="D369" s="7"/>
      <c r="E369" s="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6">
      <c r="A370" s="27"/>
      <c r="B370" s="27"/>
      <c r="C370" s="7"/>
      <c r="D370" s="7"/>
      <c r="E370" s="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6">
      <c r="A371" s="27"/>
      <c r="B371" s="27"/>
      <c r="C371" s="7"/>
      <c r="D371" s="7"/>
      <c r="E371" s="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6">
      <c r="A372" s="27"/>
      <c r="B372" s="27"/>
      <c r="C372" s="7"/>
      <c r="D372" s="7"/>
      <c r="E372" s="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6">
      <c r="A373" s="27"/>
      <c r="B373" s="27"/>
      <c r="C373" s="7"/>
      <c r="D373" s="7"/>
      <c r="E373" s="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6">
      <c r="A374" s="27"/>
      <c r="B374" s="27"/>
      <c r="C374" s="7"/>
      <c r="D374" s="7"/>
      <c r="E374" s="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6">
      <c r="A375" s="27"/>
      <c r="B375" s="27"/>
      <c r="C375" s="7"/>
      <c r="D375" s="7"/>
      <c r="E375" s="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6">
      <c r="A376" s="27"/>
      <c r="B376" s="27"/>
      <c r="C376" s="7"/>
      <c r="D376" s="7"/>
      <c r="E376" s="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6">
      <c r="A377" s="27"/>
      <c r="B377" s="27"/>
      <c r="C377" s="7"/>
      <c r="D377" s="7"/>
      <c r="E377" s="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6">
      <c r="A378" s="27"/>
      <c r="B378" s="27"/>
      <c r="C378" s="7"/>
      <c r="D378" s="7"/>
      <c r="E378" s="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6">
      <c r="A379" s="27"/>
      <c r="B379" s="27"/>
      <c r="C379" s="7"/>
      <c r="D379" s="7"/>
      <c r="E379" s="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6">
      <c r="A380" s="27"/>
      <c r="B380" s="27"/>
      <c r="C380" s="7"/>
      <c r="D380" s="7"/>
      <c r="E380" s="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6">
      <c r="A381" s="27"/>
      <c r="B381" s="27"/>
      <c r="C381" s="7"/>
      <c r="D381" s="7"/>
      <c r="E381" s="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6">
      <c r="A382" s="27"/>
      <c r="B382" s="27"/>
      <c r="C382" s="7"/>
      <c r="D382" s="7"/>
      <c r="E382" s="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6">
      <c r="A383" s="27"/>
      <c r="B383" s="27"/>
      <c r="C383" s="7"/>
      <c r="D383" s="7"/>
      <c r="E383" s="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6">
      <c r="A384" s="27"/>
      <c r="B384" s="27"/>
      <c r="C384" s="7"/>
      <c r="D384" s="7"/>
      <c r="E384" s="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6">
      <c r="A385" s="27"/>
      <c r="B385" s="27"/>
      <c r="C385" s="7"/>
      <c r="D385" s="7"/>
      <c r="E385" s="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6">
      <c r="A386" s="27"/>
      <c r="B386" s="27"/>
      <c r="C386" s="7"/>
      <c r="D386" s="7"/>
      <c r="E386" s="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6">
      <c r="A387" s="27"/>
      <c r="B387" s="27"/>
      <c r="C387" s="7"/>
      <c r="D387" s="7"/>
      <c r="E387" s="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6">
      <c r="A388" s="27"/>
      <c r="B388" s="27"/>
      <c r="C388" s="7"/>
      <c r="D388" s="7"/>
      <c r="E388" s="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6">
      <c r="A389" s="27"/>
      <c r="B389" s="27"/>
      <c r="C389" s="7"/>
      <c r="D389" s="7"/>
      <c r="E389" s="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6">
      <c r="A390" s="27"/>
      <c r="B390" s="27"/>
      <c r="C390" s="7"/>
      <c r="D390" s="7"/>
      <c r="E390" s="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6">
      <c r="A391" s="27"/>
      <c r="B391" s="27"/>
      <c r="C391" s="7"/>
      <c r="D391" s="7"/>
      <c r="E391" s="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6">
      <c r="A392" s="27"/>
      <c r="B392" s="27"/>
      <c r="C392" s="7"/>
      <c r="D392" s="7"/>
      <c r="E392" s="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6">
      <c r="A393" s="27"/>
      <c r="B393" s="27"/>
      <c r="C393" s="7"/>
      <c r="D393" s="7"/>
      <c r="E393" s="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6">
      <c r="A394" s="27"/>
      <c r="B394" s="27"/>
      <c r="C394" s="7"/>
      <c r="D394" s="7"/>
      <c r="E394" s="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6">
      <c r="A395" s="27"/>
      <c r="B395" s="27"/>
      <c r="C395" s="7"/>
      <c r="D395" s="7"/>
      <c r="E395" s="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6">
      <c r="A396" s="27"/>
      <c r="B396" s="27"/>
      <c r="C396" s="7"/>
      <c r="D396" s="7"/>
      <c r="E396" s="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6">
      <c r="A397" s="27"/>
      <c r="B397" s="27"/>
      <c r="C397" s="7"/>
      <c r="D397" s="7"/>
      <c r="E397" s="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6">
      <c r="A398" s="27"/>
      <c r="B398" s="27"/>
      <c r="C398" s="7"/>
      <c r="D398" s="7"/>
      <c r="E398" s="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6">
      <c r="A399" s="27"/>
      <c r="B399" s="27"/>
      <c r="C399" s="7"/>
      <c r="D399" s="7"/>
      <c r="E399" s="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6">
      <c r="A400" s="27"/>
      <c r="B400" s="27"/>
      <c r="C400" s="7"/>
      <c r="D400" s="7"/>
      <c r="E400" s="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6">
      <c r="A401" s="27"/>
      <c r="B401" s="27"/>
      <c r="C401" s="7"/>
      <c r="D401" s="7"/>
      <c r="E401" s="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6">
      <c r="A402" s="27"/>
      <c r="B402" s="27"/>
      <c r="C402" s="7"/>
      <c r="D402" s="7"/>
      <c r="E402" s="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6">
      <c r="A403" s="27"/>
      <c r="B403" s="27"/>
      <c r="C403" s="7"/>
      <c r="D403" s="7"/>
      <c r="E403" s="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6">
      <c r="A404" s="27"/>
      <c r="B404" s="27"/>
      <c r="C404" s="7"/>
      <c r="D404" s="7"/>
      <c r="E404" s="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6">
      <c r="A405" s="27"/>
      <c r="B405" s="27"/>
      <c r="C405" s="7"/>
      <c r="D405" s="7"/>
      <c r="E405" s="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6">
      <c r="A406" s="27"/>
      <c r="B406" s="27"/>
      <c r="C406" s="7"/>
      <c r="D406" s="7"/>
      <c r="E406" s="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6">
      <c r="A407" s="27"/>
      <c r="B407" s="27"/>
      <c r="C407" s="7"/>
      <c r="D407" s="7"/>
      <c r="E407" s="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6">
      <c r="A408" s="27"/>
      <c r="B408" s="27"/>
      <c r="C408" s="7"/>
      <c r="D408" s="7"/>
      <c r="E408" s="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6">
      <c r="A409" s="27"/>
      <c r="B409" s="27"/>
      <c r="C409" s="7"/>
      <c r="D409" s="7"/>
      <c r="E409" s="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6">
      <c r="A410" s="27"/>
      <c r="B410" s="27"/>
      <c r="C410" s="7"/>
      <c r="D410" s="7"/>
      <c r="E410" s="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6">
      <c r="A411" s="27"/>
      <c r="B411" s="27"/>
      <c r="C411" s="7"/>
      <c r="D411" s="7"/>
      <c r="E411" s="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6">
      <c r="A412" s="27"/>
      <c r="B412" s="27"/>
      <c r="C412" s="7"/>
      <c r="D412" s="7"/>
      <c r="E412" s="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6">
      <c r="A413" s="27"/>
      <c r="B413" s="27"/>
      <c r="C413" s="7"/>
      <c r="D413" s="7"/>
      <c r="E413" s="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6">
      <c r="A414" s="27"/>
      <c r="B414" s="27"/>
      <c r="C414" s="7"/>
      <c r="D414" s="7"/>
      <c r="E414" s="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6">
      <c r="A415" s="27"/>
      <c r="B415" s="27"/>
      <c r="C415" s="7"/>
      <c r="D415" s="7"/>
      <c r="E415" s="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6">
      <c r="A416" s="27"/>
      <c r="B416" s="27"/>
      <c r="C416" s="7"/>
      <c r="D416" s="7"/>
      <c r="E416" s="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6">
      <c r="A417" s="27"/>
      <c r="B417" s="27"/>
      <c r="C417" s="7"/>
      <c r="D417" s="7"/>
      <c r="E417" s="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6">
      <c r="A418" s="27"/>
      <c r="B418" s="27"/>
      <c r="C418" s="7"/>
      <c r="D418" s="7"/>
      <c r="E418" s="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6">
      <c r="A419" s="27"/>
      <c r="B419" s="27"/>
      <c r="C419" s="7"/>
      <c r="D419" s="7"/>
      <c r="E419" s="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6">
      <c r="A420" s="27"/>
      <c r="B420" s="27"/>
      <c r="C420" s="7"/>
      <c r="D420" s="7"/>
      <c r="E420" s="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6">
      <c r="A421" s="27"/>
      <c r="B421" s="27"/>
      <c r="C421" s="7"/>
      <c r="D421" s="7"/>
      <c r="E421" s="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6">
      <c r="A422" s="27"/>
      <c r="B422" s="27"/>
      <c r="C422" s="7"/>
      <c r="D422" s="7"/>
      <c r="E422" s="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6">
      <c r="A423" s="27"/>
      <c r="B423" s="27"/>
      <c r="C423" s="7"/>
      <c r="D423" s="7"/>
      <c r="E423" s="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6">
      <c r="A424" s="27"/>
      <c r="B424" s="27"/>
      <c r="C424" s="7"/>
      <c r="D424" s="7"/>
      <c r="E424" s="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6">
      <c r="A425" s="27"/>
      <c r="B425" s="27"/>
      <c r="C425" s="7"/>
      <c r="D425" s="7"/>
      <c r="E425" s="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6">
      <c r="A426" s="27"/>
      <c r="B426" s="27"/>
      <c r="C426" s="7"/>
      <c r="D426" s="7"/>
      <c r="E426" s="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6">
      <c r="A427" s="27"/>
      <c r="B427" s="27"/>
      <c r="C427" s="7"/>
      <c r="D427" s="7"/>
      <c r="E427" s="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6">
      <c r="A428" s="27"/>
      <c r="B428" s="27"/>
      <c r="C428" s="7"/>
      <c r="D428" s="7"/>
      <c r="E428" s="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6">
      <c r="A429" s="27"/>
      <c r="B429" s="27"/>
      <c r="C429" s="7"/>
      <c r="D429" s="7"/>
      <c r="E429" s="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6">
      <c r="A430" s="27"/>
      <c r="B430" s="27"/>
      <c r="C430" s="7"/>
      <c r="D430" s="7"/>
      <c r="E430" s="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6">
      <c r="A431" s="27"/>
      <c r="B431" s="27"/>
      <c r="C431" s="7"/>
      <c r="D431" s="7"/>
      <c r="E431" s="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6">
      <c r="A432" s="27"/>
      <c r="B432" s="27"/>
      <c r="C432" s="7"/>
      <c r="D432" s="7"/>
      <c r="E432" s="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6">
      <c r="A433" s="27"/>
      <c r="B433" s="27"/>
      <c r="C433" s="7"/>
      <c r="D433" s="7"/>
      <c r="E433" s="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6">
      <c r="A434" s="27"/>
      <c r="B434" s="27"/>
      <c r="C434" s="7"/>
      <c r="D434" s="7"/>
      <c r="E434" s="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6">
      <c r="A435" s="27"/>
      <c r="B435" s="27"/>
      <c r="C435" s="7"/>
      <c r="D435" s="7"/>
      <c r="E435" s="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6">
      <c r="A436" s="27"/>
      <c r="B436" s="27"/>
      <c r="C436" s="7"/>
      <c r="D436" s="7"/>
      <c r="E436" s="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6">
      <c r="A437" s="27"/>
      <c r="B437" s="27"/>
      <c r="C437" s="7"/>
      <c r="D437" s="7"/>
      <c r="E437" s="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6">
      <c r="A438" s="27"/>
      <c r="B438" s="27"/>
      <c r="C438" s="7"/>
      <c r="D438" s="7"/>
      <c r="E438" s="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6">
      <c r="A439" s="27"/>
      <c r="B439" s="27"/>
      <c r="C439" s="7"/>
      <c r="D439" s="7"/>
      <c r="E439" s="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6">
      <c r="A440" s="27"/>
      <c r="B440" s="27"/>
      <c r="C440" s="7"/>
      <c r="D440" s="7"/>
      <c r="E440" s="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6">
      <c r="A441" s="27"/>
      <c r="B441" s="27"/>
      <c r="C441" s="7"/>
      <c r="D441" s="7"/>
      <c r="E441" s="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6">
      <c r="A442" s="27"/>
      <c r="B442" s="27"/>
      <c r="C442" s="7"/>
      <c r="D442" s="7"/>
      <c r="E442" s="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6">
      <c r="A443" s="27"/>
      <c r="B443" s="27"/>
      <c r="C443" s="7"/>
      <c r="D443" s="7"/>
      <c r="E443" s="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6">
      <c r="A444" s="27"/>
      <c r="B444" s="27"/>
      <c r="C444" s="7"/>
      <c r="D444" s="7"/>
      <c r="E444" s="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6">
      <c r="A445" s="27"/>
      <c r="B445" s="27"/>
      <c r="C445" s="7"/>
      <c r="D445" s="7"/>
      <c r="E445" s="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6">
      <c r="A446" s="27"/>
      <c r="B446" s="27"/>
      <c r="C446" s="7"/>
      <c r="D446" s="7"/>
      <c r="E446" s="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6">
      <c r="A447" s="27"/>
      <c r="B447" s="27"/>
      <c r="C447" s="7"/>
      <c r="D447" s="7"/>
      <c r="E447" s="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6">
      <c r="A448" s="27"/>
      <c r="B448" s="27"/>
      <c r="C448" s="7"/>
      <c r="D448" s="7"/>
      <c r="E448" s="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6">
      <c r="A449" s="27"/>
      <c r="B449" s="27"/>
      <c r="C449" s="7"/>
      <c r="D449" s="7"/>
      <c r="E449" s="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6">
      <c r="A450" s="27"/>
      <c r="B450" s="27"/>
      <c r="C450" s="7"/>
      <c r="D450" s="7"/>
      <c r="E450" s="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6">
      <c r="A451" s="27"/>
      <c r="B451" s="27"/>
      <c r="C451" s="7"/>
      <c r="D451" s="7"/>
      <c r="E451" s="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6">
      <c r="A452" s="27"/>
      <c r="B452" s="27"/>
      <c r="C452" s="7"/>
      <c r="D452" s="7"/>
      <c r="E452" s="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6">
      <c r="A453" s="27"/>
      <c r="B453" s="27"/>
      <c r="C453" s="7"/>
      <c r="D453" s="7"/>
      <c r="E453" s="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6">
      <c r="A454" s="27"/>
      <c r="B454" s="27"/>
      <c r="C454" s="7"/>
      <c r="D454" s="7"/>
      <c r="E454" s="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6">
      <c r="A455" s="27"/>
      <c r="B455" s="27"/>
      <c r="C455" s="7"/>
      <c r="D455" s="7"/>
      <c r="E455" s="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6">
      <c r="A456" s="27"/>
      <c r="B456" s="27"/>
      <c r="C456" s="7"/>
      <c r="D456" s="7"/>
      <c r="E456" s="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6">
      <c r="A457" s="27"/>
      <c r="B457" s="27"/>
      <c r="C457" s="7"/>
      <c r="D457" s="7"/>
      <c r="E457" s="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6">
      <c r="A458" s="27"/>
      <c r="B458" s="27"/>
      <c r="C458" s="7"/>
      <c r="D458" s="7"/>
      <c r="E458" s="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6">
      <c r="A459" s="27"/>
      <c r="B459" s="27"/>
      <c r="C459" s="7"/>
      <c r="D459" s="7"/>
      <c r="E459" s="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6">
      <c r="A460" s="27"/>
      <c r="B460" s="27"/>
      <c r="C460" s="7"/>
      <c r="D460" s="7"/>
      <c r="E460" s="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6">
      <c r="A461" s="27"/>
      <c r="B461" s="27"/>
      <c r="C461" s="7"/>
      <c r="D461" s="7"/>
      <c r="E461" s="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6">
      <c r="A462" s="27"/>
      <c r="B462" s="27"/>
      <c r="C462" s="7"/>
      <c r="D462" s="7"/>
      <c r="E462" s="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6">
      <c r="A463" s="27"/>
      <c r="B463" s="27"/>
      <c r="C463" s="7"/>
      <c r="D463" s="7"/>
      <c r="E463" s="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6">
      <c r="A464" s="27"/>
      <c r="B464" s="27"/>
      <c r="C464" s="7"/>
      <c r="D464" s="7"/>
      <c r="E464" s="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6">
      <c r="A465" s="27"/>
      <c r="B465" s="27"/>
      <c r="C465" s="7"/>
      <c r="D465" s="7"/>
      <c r="E465" s="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6">
      <c r="A466" s="27"/>
      <c r="B466" s="27"/>
      <c r="C466" s="7"/>
      <c r="D466" s="7"/>
      <c r="E466" s="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6">
      <c r="A467" s="27"/>
      <c r="B467" s="27"/>
      <c r="C467" s="7"/>
      <c r="D467" s="7"/>
      <c r="E467" s="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6">
      <c r="A468" s="27"/>
      <c r="B468" s="27"/>
      <c r="C468" s="7"/>
      <c r="D468" s="7"/>
      <c r="E468" s="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6">
      <c r="A469" s="27"/>
      <c r="B469" s="27"/>
      <c r="C469" s="7"/>
      <c r="D469" s="7"/>
      <c r="E469" s="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6">
      <c r="A470" s="27"/>
      <c r="B470" s="27"/>
      <c r="C470" s="7"/>
      <c r="D470" s="7"/>
      <c r="E470" s="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6">
      <c r="A471" s="27"/>
      <c r="B471" s="27"/>
      <c r="C471" s="7"/>
      <c r="D471" s="7"/>
      <c r="E471" s="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6">
      <c r="A472" s="27"/>
      <c r="B472" s="27"/>
      <c r="C472" s="7"/>
      <c r="D472" s="7"/>
      <c r="E472" s="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6">
      <c r="A473" s="27"/>
      <c r="B473" s="27"/>
      <c r="C473" s="7"/>
      <c r="D473" s="7"/>
      <c r="E473" s="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6">
      <c r="A474" s="27"/>
      <c r="B474" s="27"/>
      <c r="C474" s="7"/>
      <c r="D474" s="7"/>
      <c r="E474" s="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6">
      <c r="A475" s="27"/>
      <c r="B475" s="27"/>
      <c r="C475" s="7"/>
      <c r="D475" s="7"/>
      <c r="E475" s="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6">
      <c r="A476" s="27"/>
      <c r="B476" s="27"/>
      <c r="C476" s="7"/>
      <c r="D476" s="7"/>
      <c r="E476" s="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6">
      <c r="A477" s="27"/>
      <c r="B477" s="27"/>
      <c r="C477" s="7"/>
      <c r="D477" s="7"/>
      <c r="E477" s="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6">
      <c r="A478" s="27"/>
      <c r="B478" s="27"/>
      <c r="C478" s="7"/>
      <c r="D478" s="7"/>
      <c r="E478" s="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6">
      <c r="A479" s="27"/>
      <c r="B479" s="27"/>
      <c r="C479" s="7"/>
      <c r="D479" s="7"/>
      <c r="E479" s="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6">
      <c r="A480" s="27"/>
      <c r="B480" s="27"/>
      <c r="C480" s="7"/>
      <c r="D480" s="7"/>
      <c r="E480" s="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6">
      <c r="A481" s="27"/>
      <c r="B481" s="27"/>
      <c r="C481" s="7"/>
      <c r="D481" s="7"/>
      <c r="E481" s="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6">
      <c r="A482" s="27"/>
      <c r="B482" s="27"/>
      <c r="C482" s="7"/>
      <c r="D482" s="7"/>
      <c r="E482" s="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6">
      <c r="A483" s="27"/>
      <c r="B483" s="27"/>
      <c r="C483" s="7"/>
      <c r="D483" s="7"/>
      <c r="E483" s="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6">
      <c r="A484" s="27"/>
      <c r="B484" s="27"/>
      <c r="C484" s="7"/>
      <c r="D484" s="7"/>
      <c r="E484" s="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6">
      <c r="A485" s="27"/>
      <c r="B485" s="27"/>
      <c r="C485" s="7"/>
      <c r="D485" s="7"/>
      <c r="E485" s="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6">
      <c r="A486" s="27"/>
      <c r="B486" s="27"/>
      <c r="C486" s="7"/>
      <c r="D486" s="7"/>
      <c r="E486" s="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6">
      <c r="A487" s="27"/>
      <c r="B487" s="27"/>
      <c r="C487" s="7"/>
      <c r="D487" s="7"/>
      <c r="E487" s="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6">
      <c r="A488" s="27"/>
      <c r="B488" s="27"/>
      <c r="C488" s="7"/>
      <c r="D488" s="7"/>
      <c r="E488" s="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6">
      <c r="A489" s="27"/>
      <c r="B489" s="27"/>
      <c r="C489" s="7"/>
      <c r="D489" s="7"/>
      <c r="E489" s="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6">
      <c r="A490" s="27"/>
      <c r="B490" s="27"/>
      <c r="C490" s="7"/>
      <c r="D490" s="7"/>
      <c r="E490" s="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6">
      <c r="A491" s="27"/>
      <c r="B491" s="27"/>
      <c r="C491" s="7"/>
      <c r="D491" s="7"/>
      <c r="E491" s="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6">
      <c r="A492" s="27"/>
      <c r="B492" s="27"/>
      <c r="C492" s="7"/>
      <c r="D492" s="7"/>
      <c r="E492" s="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6">
      <c r="A493" s="27"/>
      <c r="B493" s="27"/>
      <c r="C493" s="7"/>
      <c r="D493" s="7"/>
      <c r="E493" s="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6">
      <c r="A494" s="27"/>
      <c r="B494" s="27"/>
      <c r="C494" s="7"/>
      <c r="D494" s="7"/>
      <c r="E494" s="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6">
      <c r="A495" s="27"/>
      <c r="B495" s="27"/>
      <c r="C495" s="7"/>
      <c r="D495" s="7"/>
      <c r="E495" s="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6">
      <c r="A496" s="27"/>
      <c r="B496" s="27"/>
      <c r="C496" s="7"/>
      <c r="D496" s="7"/>
      <c r="E496" s="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6">
      <c r="A497" s="27"/>
      <c r="B497" s="27"/>
      <c r="C497" s="7"/>
      <c r="D497" s="7"/>
      <c r="E497" s="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6">
      <c r="A498" s="27"/>
      <c r="B498" s="27"/>
      <c r="C498" s="7"/>
      <c r="D498" s="7"/>
      <c r="E498" s="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6">
      <c r="A499" s="27"/>
      <c r="B499" s="27"/>
      <c r="C499" s="7"/>
      <c r="D499" s="7"/>
      <c r="E499" s="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6">
      <c r="A500" s="27"/>
      <c r="B500" s="27"/>
      <c r="C500" s="7"/>
      <c r="D500" s="7"/>
      <c r="E500" s="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6">
      <c r="A501" s="27"/>
      <c r="B501" s="27"/>
      <c r="C501" s="7"/>
      <c r="D501" s="7"/>
      <c r="E501" s="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6">
      <c r="A502" s="27"/>
      <c r="B502" s="27"/>
      <c r="C502" s="7"/>
      <c r="D502" s="7"/>
      <c r="E502" s="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6">
      <c r="A503" s="27"/>
      <c r="B503" s="27"/>
      <c r="C503" s="7"/>
      <c r="D503" s="7"/>
      <c r="E503" s="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6">
      <c r="A504" s="27"/>
      <c r="B504" s="27"/>
      <c r="C504" s="7"/>
      <c r="D504" s="7"/>
      <c r="E504" s="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6">
      <c r="A505" s="27"/>
      <c r="B505" s="27"/>
      <c r="C505" s="7"/>
      <c r="D505" s="7"/>
      <c r="E505" s="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6">
      <c r="A506" s="27"/>
      <c r="B506" s="27"/>
      <c r="C506" s="7"/>
      <c r="D506" s="7"/>
      <c r="E506" s="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6">
      <c r="A507" s="27"/>
      <c r="B507" s="27"/>
      <c r="C507" s="7"/>
      <c r="D507" s="7"/>
      <c r="E507" s="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6">
      <c r="A508" s="27"/>
      <c r="B508" s="27"/>
      <c r="C508" s="7"/>
      <c r="D508" s="7"/>
      <c r="E508" s="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6">
      <c r="A509" s="27"/>
      <c r="B509" s="27"/>
      <c r="C509" s="7"/>
      <c r="D509" s="7"/>
      <c r="E509" s="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6">
      <c r="A510" s="27"/>
      <c r="B510" s="27"/>
      <c r="C510" s="7"/>
      <c r="D510" s="7"/>
      <c r="E510" s="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6">
      <c r="A511" s="27"/>
      <c r="B511" s="27"/>
      <c r="C511" s="7"/>
      <c r="D511" s="7"/>
      <c r="E511" s="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6">
      <c r="A512" s="27"/>
      <c r="B512" s="27"/>
      <c r="C512" s="7"/>
      <c r="D512" s="7"/>
      <c r="E512" s="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6">
      <c r="A513" s="27"/>
      <c r="B513" s="27"/>
      <c r="C513" s="7"/>
      <c r="D513" s="7"/>
      <c r="E513" s="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6">
      <c r="A514" s="27"/>
      <c r="B514" s="27"/>
      <c r="C514" s="7"/>
      <c r="D514" s="7"/>
      <c r="E514" s="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6">
      <c r="A515" s="27"/>
      <c r="B515" s="27"/>
      <c r="C515" s="7"/>
      <c r="D515" s="7"/>
      <c r="E515" s="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6">
      <c r="A516" s="27"/>
      <c r="B516" s="27"/>
      <c r="C516" s="7"/>
      <c r="D516" s="7"/>
      <c r="E516" s="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6">
      <c r="A517" s="27"/>
      <c r="B517" s="27"/>
      <c r="C517" s="7"/>
      <c r="D517" s="7"/>
      <c r="E517" s="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6">
      <c r="A518" s="27"/>
      <c r="B518" s="27"/>
      <c r="C518" s="7"/>
      <c r="D518" s="7"/>
      <c r="E518" s="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6">
      <c r="A519" s="27"/>
      <c r="B519" s="27"/>
      <c r="C519" s="7"/>
      <c r="D519" s="7"/>
      <c r="E519" s="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6">
      <c r="A520" s="27"/>
      <c r="B520" s="27"/>
      <c r="C520" s="7"/>
      <c r="D520" s="7"/>
      <c r="E520" s="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6">
      <c r="A521" s="27"/>
      <c r="B521" s="27"/>
      <c r="C521" s="7"/>
      <c r="D521" s="7"/>
      <c r="E521" s="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6">
      <c r="A522" s="27"/>
      <c r="B522" s="27"/>
      <c r="C522" s="7"/>
      <c r="D522" s="7"/>
      <c r="E522" s="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6">
      <c r="A523" s="27"/>
      <c r="B523" s="27"/>
      <c r="C523" s="7"/>
      <c r="D523" s="7"/>
      <c r="E523" s="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6">
      <c r="A524" s="27"/>
      <c r="B524" s="27"/>
      <c r="C524" s="7"/>
      <c r="D524" s="7"/>
      <c r="E524" s="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6">
      <c r="A525" s="27"/>
      <c r="B525" s="27"/>
      <c r="C525" s="7"/>
      <c r="D525" s="7"/>
      <c r="E525" s="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6">
      <c r="A526" s="27"/>
      <c r="B526" s="27"/>
      <c r="C526" s="7"/>
      <c r="D526" s="7"/>
      <c r="E526" s="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6">
      <c r="A527" s="27"/>
      <c r="B527" s="27"/>
      <c r="C527" s="7"/>
      <c r="D527" s="7"/>
      <c r="E527" s="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6">
      <c r="A528" s="27"/>
      <c r="B528" s="27"/>
      <c r="C528" s="7"/>
      <c r="D528" s="7"/>
      <c r="E528" s="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6">
      <c r="A529" s="27"/>
      <c r="B529" s="27"/>
      <c r="C529" s="7"/>
      <c r="D529" s="7"/>
      <c r="E529" s="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6">
      <c r="A530" s="27"/>
      <c r="B530" s="27"/>
      <c r="C530" s="7"/>
      <c r="D530" s="7"/>
      <c r="E530" s="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6">
      <c r="A531" s="27"/>
      <c r="B531" s="27"/>
      <c r="C531" s="7"/>
      <c r="D531" s="7"/>
      <c r="E531" s="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6">
      <c r="A532" s="27"/>
      <c r="B532" s="27"/>
      <c r="C532" s="7"/>
      <c r="D532" s="7"/>
      <c r="E532" s="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6">
      <c r="A533" s="27"/>
      <c r="B533" s="27"/>
      <c r="C533" s="7"/>
      <c r="D533" s="7"/>
      <c r="E533" s="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6">
      <c r="A534" s="27"/>
      <c r="B534" s="27"/>
      <c r="C534" s="7"/>
      <c r="D534" s="7"/>
      <c r="E534" s="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6">
      <c r="A535" s="27"/>
      <c r="B535" s="27"/>
      <c r="C535" s="7"/>
      <c r="D535" s="7"/>
      <c r="E535" s="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6">
      <c r="A536" s="27"/>
      <c r="B536" s="27"/>
      <c r="C536" s="7"/>
      <c r="D536" s="7"/>
      <c r="E536" s="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6">
      <c r="A537" s="27"/>
      <c r="B537" s="27"/>
      <c r="C537" s="7"/>
      <c r="D537" s="7"/>
      <c r="E537" s="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6">
      <c r="A538" s="27"/>
      <c r="B538" s="27"/>
      <c r="C538" s="7"/>
      <c r="D538" s="7"/>
      <c r="E538" s="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6">
      <c r="A539" s="27"/>
      <c r="B539" s="27"/>
      <c r="C539" s="7"/>
      <c r="D539" s="7"/>
      <c r="E539" s="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6">
      <c r="A540" s="27"/>
      <c r="B540" s="27"/>
      <c r="C540" s="7"/>
      <c r="D540" s="7"/>
      <c r="E540" s="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6">
      <c r="A541" s="27"/>
      <c r="B541" s="27"/>
      <c r="C541" s="7"/>
      <c r="D541" s="7"/>
      <c r="E541" s="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6">
      <c r="A542" s="27"/>
      <c r="B542" s="27"/>
      <c r="C542" s="7"/>
      <c r="D542" s="7"/>
      <c r="E542" s="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6">
      <c r="A543" s="27"/>
      <c r="B543" s="27"/>
      <c r="C543" s="7"/>
      <c r="D543" s="7"/>
      <c r="E543" s="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6">
      <c r="A544" s="27"/>
      <c r="B544" s="27"/>
      <c r="C544" s="7"/>
      <c r="D544" s="7"/>
      <c r="E544" s="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6">
      <c r="A545" s="27"/>
      <c r="B545" s="27"/>
      <c r="C545" s="7"/>
      <c r="D545" s="7"/>
      <c r="E545" s="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6">
      <c r="A546" s="27"/>
      <c r="B546" s="27"/>
      <c r="C546" s="7"/>
      <c r="D546" s="7"/>
      <c r="E546" s="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6">
      <c r="A547" s="27"/>
      <c r="B547" s="27"/>
      <c r="C547" s="7"/>
      <c r="D547" s="7"/>
      <c r="E547" s="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6">
      <c r="A548" s="27"/>
      <c r="B548" s="27"/>
      <c r="C548" s="7"/>
      <c r="D548" s="7"/>
      <c r="E548" s="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6">
      <c r="A549" s="27"/>
      <c r="B549" s="27"/>
      <c r="C549" s="7"/>
      <c r="D549" s="7"/>
      <c r="E549" s="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6">
      <c r="A550" s="27"/>
      <c r="B550" s="27"/>
      <c r="C550" s="7"/>
      <c r="D550" s="7"/>
      <c r="E550" s="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6">
      <c r="A551" s="27"/>
      <c r="B551" s="27"/>
      <c r="C551" s="7"/>
      <c r="D551" s="7"/>
      <c r="E551" s="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6">
      <c r="A552" s="27"/>
      <c r="B552" s="27"/>
      <c r="C552" s="7"/>
      <c r="D552" s="7"/>
      <c r="E552" s="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6">
      <c r="A553" s="27"/>
      <c r="B553" s="27"/>
      <c r="C553" s="7"/>
      <c r="D553" s="7"/>
      <c r="E553" s="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6">
      <c r="A554" s="27"/>
      <c r="B554" s="27"/>
      <c r="C554" s="7"/>
      <c r="D554" s="7"/>
      <c r="E554" s="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6">
      <c r="A555" s="27"/>
      <c r="B555" s="27"/>
      <c r="C555" s="7"/>
      <c r="D555" s="7"/>
      <c r="E555" s="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6">
      <c r="A556" s="27"/>
      <c r="B556" s="27"/>
      <c r="C556" s="7"/>
      <c r="D556" s="7"/>
      <c r="E556" s="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6">
      <c r="A557" s="27"/>
      <c r="B557" s="27"/>
      <c r="C557" s="7"/>
      <c r="D557" s="7"/>
      <c r="E557" s="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6">
      <c r="A558" s="27"/>
      <c r="B558" s="27"/>
      <c r="C558" s="7"/>
      <c r="D558" s="7"/>
      <c r="E558" s="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6">
      <c r="A559" s="27"/>
      <c r="B559" s="27"/>
      <c r="C559" s="7"/>
      <c r="D559" s="7"/>
      <c r="E559" s="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6">
      <c r="A560" s="27"/>
      <c r="B560" s="27"/>
      <c r="C560" s="7"/>
      <c r="D560" s="7"/>
      <c r="E560" s="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6">
      <c r="A561" s="27"/>
      <c r="B561" s="27"/>
      <c r="C561" s="7"/>
      <c r="D561" s="7"/>
      <c r="E561" s="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6">
      <c r="A562" s="27"/>
      <c r="B562" s="27"/>
      <c r="C562" s="7"/>
      <c r="D562" s="7"/>
      <c r="E562" s="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6">
      <c r="A563" s="27"/>
      <c r="B563" s="27"/>
      <c r="C563" s="7"/>
      <c r="D563" s="7"/>
      <c r="E563" s="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6">
      <c r="A564" s="27"/>
      <c r="B564" s="27"/>
      <c r="C564" s="7"/>
      <c r="D564" s="7"/>
      <c r="E564" s="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6">
      <c r="A565" s="27"/>
      <c r="B565" s="27"/>
      <c r="C565" s="7"/>
      <c r="D565" s="7"/>
      <c r="E565" s="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6">
      <c r="A566" s="27"/>
      <c r="B566" s="27"/>
      <c r="C566" s="7"/>
      <c r="D566" s="7"/>
      <c r="E566" s="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6">
      <c r="A567" s="27"/>
      <c r="B567" s="27"/>
      <c r="C567" s="7"/>
      <c r="D567" s="7"/>
      <c r="E567" s="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6">
      <c r="A568" s="27"/>
      <c r="B568" s="27"/>
      <c r="C568" s="7"/>
      <c r="D568" s="7"/>
      <c r="E568" s="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6">
      <c r="A569" s="27"/>
      <c r="B569" s="27"/>
      <c r="C569" s="7"/>
      <c r="D569" s="7"/>
      <c r="E569" s="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6">
      <c r="A570" s="27"/>
      <c r="B570" s="27"/>
      <c r="C570" s="7"/>
      <c r="D570" s="7"/>
      <c r="E570" s="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6">
      <c r="A571" s="27"/>
      <c r="B571" s="27"/>
      <c r="C571" s="7"/>
      <c r="D571" s="7"/>
      <c r="E571" s="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6">
      <c r="A572" s="27"/>
      <c r="B572" s="27"/>
      <c r="C572" s="7"/>
      <c r="D572" s="7"/>
      <c r="E572" s="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6">
      <c r="A573" s="27"/>
      <c r="B573" s="27"/>
      <c r="C573" s="7"/>
      <c r="D573" s="7"/>
      <c r="E573" s="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6">
      <c r="A574" s="27"/>
      <c r="B574" s="27"/>
      <c r="C574" s="7"/>
      <c r="D574" s="7"/>
      <c r="E574" s="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6">
      <c r="A575" s="27"/>
      <c r="B575" s="27"/>
      <c r="C575" s="7"/>
      <c r="D575" s="7"/>
      <c r="E575" s="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6">
      <c r="A576" s="27"/>
      <c r="B576" s="27"/>
      <c r="C576" s="7"/>
      <c r="D576" s="7"/>
      <c r="E576" s="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6">
      <c r="A577" s="27"/>
      <c r="B577" s="27"/>
      <c r="C577" s="7"/>
      <c r="D577" s="7"/>
      <c r="E577" s="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6">
      <c r="A578" s="27"/>
      <c r="B578" s="27"/>
      <c r="C578" s="7"/>
      <c r="D578" s="7"/>
      <c r="E578" s="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6">
      <c r="A579" s="27"/>
      <c r="B579" s="27"/>
      <c r="C579" s="7"/>
      <c r="D579" s="7"/>
      <c r="E579" s="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6">
      <c r="A580" s="27"/>
      <c r="B580" s="27"/>
      <c r="C580" s="7"/>
      <c r="D580" s="7"/>
      <c r="E580" s="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6">
      <c r="A581" s="27"/>
      <c r="B581" s="27"/>
      <c r="C581" s="7"/>
      <c r="D581" s="7"/>
      <c r="E581" s="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6">
      <c r="A582" s="27"/>
      <c r="B582" s="27"/>
      <c r="C582" s="7"/>
      <c r="D582" s="7"/>
      <c r="E582" s="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6">
      <c r="A583" s="27"/>
      <c r="B583" s="27"/>
      <c r="C583" s="7"/>
      <c r="D583" s="7"/>
      <c r="E583" s="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6">
      <c r="A584" s="27"/>
      <c r="B584" s="27"/>
      <c r="C584" s="7"/>
      <c r="D584" s="7"/>
      <c r="E584" s="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6">
      <c r="A585" s="27"/>
      <c r="B585" s="27"/>
      <c r="C585" s="7"/>
      <c r="D585" s="7"/>
      <c r="E585" s="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6">
      <c r="A586" s="27"/>
      <c r="B586" s="27"/>
      <c r="C586" s="7"/>
      <c r="D586" s="7"/>
      <c r="E586" s="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6">
      <c r="A587" s="27"/>
      <c r="B587" s="27"/>
      <c r="C587" s="7"/>
      <c r="D587" s="7"/>
      <c r="E587" s="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6">
      <c r="A588" s="27"/>
      <c r="B588" s="27"/>
      <c r="C588" s="7"/>
      <c r="D588" s="7"/>
      <c r="E588" s="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6">
      <c r="A589" s="27"/>
      <c r="B589" s="27"/>
      <c r="C589" s="7"/>
      <c r="D589" s="7"/>
      <c r="E589" s="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6">
      <c r="A590" s="27"/>
      <c r="B590" s="27"/>
      <c r="C590" s="7"/>
      <c r="D590" s="7"/>
      <c r="E590" s="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6">
      <c r="A591" s="27"/>
      <c r="B591" s="27"/>
      <c r="C591" s="7"/>
      <c r="D591" s="7"/>
      <c r="E591" s="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6">
      <c r="A592" s="27"/>
      <c r="B592" s="27"/>
      <c r="C592" s="7"/>
      <c r="D592" s="7"/>
      <c r="E592" s="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6">
      <c r="A593" s="27"/>
      <c r="B593" s="27"/>
      <c r="C593" s="7"/>
      <c r="D593" s="7"/>
      <c r="E593" s="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6">
      <c r="A594" s="27"/>
      <c r="B594" s="27"/>
      <c r="C594" s="7"/>
      <c r="D594" s="7"/>
      <c r="E594" s="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6">
      <c r="A595" s="27"/>
      <c r="B595" s="27"/>
      <c r="C595" s="7"/>
      <c r="D595" s="7"/>
      <c r="E595" s="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6">
      <c r="A596" s="27"/>
      <c r="B596" s="27"/>
      <c r="C596" s="7"/>
      <c r="D596" s="7"/>
      <c r="E596" s="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6">
      <c r="A597" s="27"/>
      <c r="B597" s="27"/>
      <c r="C597" s="7"/>
      <c r="D597" s="7"/>
      <c r="E597" s="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6">
      <c r="A598" s="27"/>
      <c r="B598" s="27"/>
      <c r="C598" s="7"/>
      <c r="D598" s="7"/>
      <c r="E598" s="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6">
      <c r="A599" s="27"/>
      <c r="B599" s="27"/>
      <c r="C599" s="7"/>
      <c r="D599" s="7"/>
      <c r="E599" s="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6">
      <c r="A600" s="27"/>
      <c r="B600" s="27"/>
      <c r="C600" s="7"/>
      <c r="D600" s="7"/>
      <c r="E600" s="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6">
      <c r="A601" s="27"/>
      <c r="B601" s="27"/>
      <c r="C601" s="7"/>
      <c r="D601" s="7"/>
      <c r="E601" s="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6">
      <c r="A602" s="27"/>
      <c r="B602" s="27"/>
      <c r="C602" s="7"/>
      <c r="D602" s="7"/>
      <c r="E602" s="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6">
      <c r="A603" s="27"/>
      <c r="B603" s="27"/>
      <c r="C603" s="7"/>
      <c r="D603" s="7"/>
      <c r="E603" s="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6">
      <c r="A604" s="27"/>
      <c r="B604" s="27"/>
      <c r="C604" s="7"/>
      <c r="D604" s="7"/>
      <c r="E604" s="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6">
      <c r="A605" s="27"/>
      <c r="B605" s="27"/>
      <c r="C605" s="7"/>
      <c r="D605" s="7"/>
      <c r="E605" s="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6">
      <c r="A606" s="27"/>
      <c r="B606" s="27"/>
      <c r="C606" s="7"/>
      <c r="D606" s="7"/>
      <c r="E606" s="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6">
      <c r="A607" s="27"/>
      <c r="B607" s="27"/>
      <c r="C607" s="7"/>
      <c r="D607" s="7"/>
      <c r="E607" s="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6">
      <c r="A608" s="27"/>
      <c r="B608" s="27"/>
      <c r="C608" s="7"/>
      <c r="D608" s="7"/>
      <c r="E608" s="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6">
      <c r="A609" s="27"/>
      <c r="B609" s="27"/>
      <c r="C609" s="7"/>
      <c r="D609" s="7"/>
      <c r="E609" s="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6">
      <c r="A610" s="27"/>
      <c r="B610" s="27"/>
      <c r="C610" s="7"/>
      <c r="D610" s="7"/>
      <c r="E610" s="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6">
      <c r="A611" s="27"/>
      <c r="B611" s="27"/>
      <c r="C611" s="7"/>
      <c r="D611" s="7"/>
      <c r="E611" s="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6">
      <c r="A612" s="27"/>
      <c r="B612" s="27"/>
      <c r="C612" s="7"/>
      <c r="D612" s="7"/>
      <c r="E612" s="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6">
      <c r="A613" s="27"/>
      <c r="B613" s="27"/>
      <c r="C613" s="7"/>
      <c r="D613" s="7"/>
      <c r="E613" s="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6">
      <c r="A614" s="27"/>
      <c r="B614" s="27"/>
      <c r="C614" s="7"/>
      <c r="D614" s="7"/>
      <c r="E614" s="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6">
      <c r="A615" s="27"/>
      <c r="B615" s="27"/>
      <c r="C615" s="7"/>
      <c r="D615" s="7"/>
      <c r="E615" s="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6">
      <c r="A616" s="27"/>
      <c r="B616" s="27"/>
      <c r="C616" s="7"/>
      <c r="D616" s="7"/>
      <c r="E616" s="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6">
      <c r="A617" s="27"/>
      <c r="B617" s="27"/>
      <c r="C617" s="7"/>
      <c r="D617" s="7"/>
      <c r="E617" s="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6">
      <c r="A618" s="27"/>
      <c r="B618" s="27"/>
      <c r="C618" s="7"/>
      <c r="D618" s="7"/>
      <c r="E618" s="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6">
      <c r="A619" s="27"/>
      <c r="B619" s="27"/>
      <c r="C619" s="7"/>
      <c r="D619" s="7"/>
      <c r="E619" s="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6">
      <c r="A620" s="27"/>
      <c r="B620" s="27"/>
      <c r="C620" s="7"/>
      <c r="D620" s="7"/>
      <c r="E620" s="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6">
      <c r="A621" s="27"/>
      <c r="B621" s="27"/>
      <c r="C621" s="7"/>
      <c r="D621" s="7"/>
      <c r="E621" s="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6">
      <c r="A622" s="27"/>
      <c r="B622" s="27"/>
      <c r="C622" s="7"/>
      <c r="D622" s="7"/>
      <c r="E622" s="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6">
      <c r="A623" s="27"/>
      <c r="B623" s="27"/>
      <c r="C623" s="7"/>
      <c r="D623" s="7"/>
      <c r="E623" s="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6">
      <c r="A624" s="27"/>
      <c r="B624" s="27"/>
      <c r="C624" s="7"/>
      <c r="D624" s="7"/>
      <c r="E624" s="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6">
      <c r="A625" s="27"/>
      <c r="B625" s="27"/>
      <c r="C625" s="7"/>
      <c r="D625" s="7"/>
      <c r="E625" s="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6">
      <c r="A626" s="27"/>
      <c r="B626" s="27"/>
      <c r="C626" s="7"/>
      <c r="D626" s="7"/>
      <c r="E626" s="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6">
      <c r="A627" s="27"/>
      <c r="B627" s="27"/>
      <c r="C627" s="7"/>
      <c r="D627" s="7"/>
      <c r="E627" s="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6">
      <c r="A628" s="27"/>
      <c r="B628" s="27"/>
      <c r="C628" s="7"/>
      <c r="D628" s="7"/>
      <c r="E628" s="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6">
      <c r="A629" s="27"/>
      <c r="B629" s="27"/>
      <c r="C629" s="7"/>
      <c r="D629" s="7"/>
      <c r="E629" s="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6">
      <c r="A630" s="27"/>
      <c r="B630" s="27"/>
      <c r="C630" s="7"/>
      <c r="D630" s="7"/>
      <c r="E630" s="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6">
      <c r="A631" s="27"/>
      <c r="B631" s="27"/>
      <c r="C631" s="7"/>
      <c r="D631" s="7"/>
      <c r="E631" s="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6">
      <c r="A632" s="27"/>
      <c r="B632" s="27"/>
      <c r="C632" s="7"/>
      <c r="D632" s="7"/>
      <c r="E632" s="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6">
      <c r="A633" s="27"/>
      <c r="B633" s="27"/>
      <c r="C633" s="7"/>
      <c r="D633" s="7"/>
      <c r="E633" s="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6">
      <c r="A634" s="27"/>
      <c r="B634" s="27"/>
      <c r="C634" s="7"/>
      <c r="D634" s="7"/>
      <c r="E634" s="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6">
      <c r="A635" s="27"/>
      <c r="B635" s="27"/>
      <c r="C635" s="7"/>
      <c r="D635" s="7"/>
      <c r="E635" s="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6">
      <c r="A636" s="27"/>
      <c r="B636" s="27"/>
      <c r="C636" s="7"/>
      <c r="D636" s="7"/>
      <c r="E636" s="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6">
      <c r="A637" s="27"/>
      <c r="B637" s="27"/>
      <c r="C637" s="7"/>
      <c r="D637" s="7"/>
      <c r="E637" s="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6">
      <c r="A638" s="27"/>
      <c r="B638" s="27"/>
      <c r="C638" s="7"/>
      <c r="D638" s="7"/>
      <c r="E638" s="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6">
      <c r="A639" s="27"/>
      <c r="B639" s="27"/>
      <c r="C639" s="7"/>
      <c r="D639" s="7"/>
      <c r="E639" s="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6">
      <c r="A640" s="27"/>
      <c r="B640" s="27"/>
      <c r="C640" s="7"/>
      <c r="D640" s="7"/>
      <c r="E640" s="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6">
      <c r="A641" s="27"/>
      <c r="B641" s="27"/>
      <c r="C641" s="7"/>
      <c r="D641" s="7"/>
      <c r="E641" s="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6">
      <c r="A642" s="27"/>
      <c r="B642" s="27"/>
      <c r="C642" s="7"/>
      <c r="D642" s="7"/>
      <c r="E642" s="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6">
      <c r="A643" s="27"/>
      <c r="B643" s="27"/>
      <c r="C643" s="7"/>
      <c r="D643" s="7"/>
      <c r="E643" s="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6">
      <c r="A644" s="27"/>
      <c r="B644" s="27"/>
      <c r="C644" s="7"/>
      <c r="D644" s="7"/>
      <c r="E644" s="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6">
      <c r="A645" s="27"/>
      <c r="B645" s="27"/>
      <c r="C645" s="7"/>
      <c r="D645" s="7"/>
      <c r="E645" s="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6">
      <c r="A646" s="27"/>
      <c r="B646" s="27"/>
      <c r="C646" s="7"/>
      <c r="D646" s="7"/>
      <c r="E646" s="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6">
      <c r="A647" s="27"/>
      <c r="B647" s="27"/>
      <c r="C647" s="7"/>
      <c r="D647" s="7"/>
      <c r="E647" s="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6">
      <c r="A648" s="27"/>
      <c r="B648" s="27"/>
      <c r="C648" s="7"/>
      <c r="D648" s="7"/>
      <c r="E648" s="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6">
      <c r="A649" s="27"/>
      <c r="B649" s="27"/>
      <c r="C649" s="7"/>
      <c r="D649" s="7"/>
      <c r="E649" s="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6">
      <c r="A650" s="27"/>
      <c r="B650" s="27"/>
      <c r="C650" s="7"/>
      <c r="D650" s="7"/>
      <c r="E650" s="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6">
      <c r="A651" s="27"/>
      <c r="B651" s="27"/>
      <c r="C651" s="7"/>
      <c r="D651" s="7"/>
      <c r="E651" s="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6">
      <c r="A652" s="27"/>
      <c r="B652" s="27"/>
      <c r="C652" s="7"/>
      <c r="D652" s="7"/>
      <c r="E652" s="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6">
      <c r="A653" s="27"/>
      <c r="B653" s="27"/>
      <c r="C653" s="7"/>
      <c r="D653" s="7"/>
      <c r="E653" s="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6">
      <c r="A654" s="27"/>
      <c r="B654" s="27"/>
      <c r="C654" s="7"/>
      <c r="D654" s="7"/>
      <c r="E654" s="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6">
      <c r="A655" s="27"/>
      <c r="B655" s="27"/>
      <c r="C655" s="7"/>
      <c r="D655" s="7"/>
      <c r="E655" s="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6">
      <c r="A656" s="27"/>
      <c r="B656" s="27"/>
      <c r="C656" s="7"/>
      <c r="D656" s="7"/>
      <c r="E656" s="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6">
      <c r="A657" s="27"/>
      <c r="B657" s="27"/>
      <c r="C657" s="7"/>
      <c r="D657" s="7"/>
      <c r="E657" s="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6">
      <c r="A658" s="27"/>
      <c r="B658" s="27"/>
      <c r="C658" s="7"/>
      <c r="D658" s="7"/>
      <c r="E658" s="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6">
      <c r="A659" s="27"/>
      <c r="B659" s="27"/>
      <c r="C659" s="7"/>
      <c r="D659" s="7"/>
      <c r="E659" s="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6">
      <c r="A660" s="27"/>
      <c r="B660" s="27"/>
      <c r="C660" s="7"/>
      <c r="D660" s="7"/>
      <c r="E660" s="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6">
      <c r="A661" s="27"/>
      <c r="B661" s="27"/>
      <c r="C661" s="7"/>
      <c r="D661" s="7"/>
      <c r="E661" s="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6">
      <c r="A662" s="27"/>
      <c r="B662" s="27"/>
      <c r="C662" s="7"/>
      <c r="D662" s="7"/>
      <c r="E662" s="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6">
      <c r="A663" s="27"/>
      <c r="B663" s="27"/>
      <c r="C663" s="7"/>
      <c r="D663" s="7"/>
      <c r="E663" s="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6">
      <c r="A664" s="27"/>
      <c r="B664" s="27"/>
      <c r="C664" s="7"/>
      <c r="D664" s="7"/>
      <c r="E664" s="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6">
      <c r="A665" s="27"/>
      <c r="B665" s="27"/>
      <c r="C665" s="7"/>
      <c r="D665" s="7"/>
      <c r="E665" s="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6">
      <c r="A666" s="27"/>
      <c r="B666" s="27"/>
      <c r="C666" s="7"/>
      <c r="D666" s="7"/>
      <c r="E666" s="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6">
      <c r="A667" s="27"/>
      <c r="B667" s="27"/>
      <c r="C667" s="7"/>
      <c r="D667" s="7"/>
      <c r="E667" s="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6">
      <c r="A668" s="27"/>
      <c r="B668" s="27"/>
      <c r="C668" s="7"/>
      <c r="D668" s="7"/>
      <c r="E668" s="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6">
      <c r="A669" s="27"/>
      <c r="B669" s="27"/>
      <c r="C669" s="7"/>
      <c r="D669" s="7"/>
      <c r="E669" s="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6">
      <c r="A670" s="27"/>
      <c r="B670" s="27"/>
      <c r="C670" s="7"/>
      <c r="D670" s="7"/>
      <c r="E670" s="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6">
      <c r="A671" s="27"/>
      <c r="B671" s="27"/>
      <c r="C671" s="7"/>
      <c r="D671" s="7"/>
      <c r="E671" s="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6">
      <c r="A672" s="27"/>
      <c r="B672" s="27"/>
      <c r="C672" s="7"/>
      <c r="D672" s="7"/>
      <c r="E672" s="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6">
      <c r="A673" s="27"/>
      <c r="B673" s="27"/>
      <c r="C673" s="7"/>
      <c r="D673" s="7"/>
      <c r="E673" s="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6">
      <c r="A674" s="27"/>
      <c r="B674" s="27"/>
      <c r="C674" s="7"/>
      <c r="D674" s="7"/>
      <c r="E674" s="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6">
      <c r="A675" s="27"/>
      <c r="B675" s="27"/>
      <c r="C675" s="7"/>
      <c r="D675" s="7"/>
      <c r="E675" s="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6">
      <c r="A676" s="27"/>
      <c r="B676" s="27"/>
      <c r="C676" s="7"/>
      <c r="D676" s="7"/>
      <c r="E676" s="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6">
      <c r="A677" s="27"/>
      <c r="B677" s="27"/>
      <c r="C677" s="7"/>
      <c r="D677" s="7"/>
      <c r="E677" s="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6">
      <c r="A678" s="27"/>
      <c r="B678" s="27"/>
      <c r="C678" s="7"/>
      <c r="D678" s="7"/>
      <c r="E678" s="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6">
      <c r="A679" s="27"/>
      <c r="B679" s="27"/>
      <c r="C679" s="7"/>
      <c r="D679" s="7"/>
      <c r="E679" s="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6">
      <c r="A680" s="27"/>
      <c r="B680" s="27"/>
      <c r="C680" s="7"/>
      <c r="D680" s="7"/>
      <c r="E680" s="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6">
      <c r="A681" s="27"/>
      <c r="B681" s="27"/>
      <c r="C681" s="7"/>
      <c r="D681" s="7"/>
      <c r="E681" s="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6">
      <c r="A682" s="27"/>
      <c r="B682" s="27"/>
      <c r="C682" s="7"/>
      <c r="D682" s="7"/>
      <c r="E682" s="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6">
      <c r="A683" s="27"/>
      <c r="B683" s="27"/>
      <c r="C683" s="7"/>
      <c r="D683" s="7"/>
      <c r="E683" s="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6">
      <c r="A684" s="27"/>
      <c r="B684" s="27"/>
      <c r="C684" s="7"/>
      <c r="D684" s="7"/>
      <c r="E684" s="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6">
      <c r="A685" s="27"/>
      <c r="B685" s="27"/>
      <c r="C685" s="7"/>
      <c r="D685" s="7"/>
      <c r="E685" s="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6">
      <c r="A686" s="27"/>
      <c r="B686" s="27"/>
      <c r="C686" s="7"/>
      <c r="D686" s="7"/>
      <c r="E686" s="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6">
      <c r="A687" s="27"/>
      <c r="B687" s="27"/>
      <c r="C687" s="7"/>
      <c r="D687" s="7"/>
      <c r="E687" s="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6">
      <c r="A688" s="27"/>
      <c r="B688" s="27"/>
      <c r="C688" s="7"/>
      <c r="D688" s="7"/>
      <c r="E688" s="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6">
      <c r="A689" s="27"/>
      <c r="B689" s="27"/>
      <c r="C689" s="7"/>
      <c r="D689" s="7"/>
      <c r="E689" s="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6">
      <c r="A690" s="27"/>
      <c r="B690" s="27"/>
      <c r="C690" s="7"/>
      <c r="D690" s="7"/>
      <c r="E690" s="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6">
      <c r="A691" s="27"/>
      <c r="B691" s="27"/>
      <c r="C691" s="7"/>
      <c r="D691" s="7"/>
      <c r="E691" s="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6">
      <c r="A692" s="27"/>
      <c r="B692" s="27"/>
      <c r="C692" s="7"/>
      <c r="D692" s="7"/>
      <c r="E692" s="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6">
      <c r="A693" s="27"/>
      <c r="B693" s="27"/>
      <c r="C693" s="7"/>
      <c r="D693" s="7"/>
      <c r="E693" s="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6">
      <c r="A694" s="27"/>
      <c r="B694" s="27"/>
      <c r="C694" s="7"/>
      <c r="D694" s="7"/>
      <c r="E694" s="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6">
      <c r="A695" s="27"/>
      <c r="B695" s="27"/>
      <c r="C695" s="7"/>
      <c r="D695" s="7"/>
      <c r="E695" s="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6">
      <c r="A696" s="27"/>
      <c r="B696" s="27"/>
      <c r="C696" s="7"/>
      <c r="D696" s="7"/>
      <c r="E696" s="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6">
      <c r="A697" s="27"/>
      <c r="B697" s="27"/>
      <c r="C697" s="7"/>
      <c r="D697" s="7"/>
      <c r="E697" s="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6">
      <c r="A698" s="27"/>
      <c r="B698" s="27"/>
      <c r="C698" s="7"/>
      <c r="D698" s="7"/>
      <c r="E698" s="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6">
      <c r="A699" s="27"/>
      <c r="B699" s="27"/>
      <c r="C699" s="7"/>
      <c r="D699" s="7"/>
      <c r="E699" s="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6">
      <c r="A700" s="27"/>
      <c r="B700" s="27"/>
      <c r="C700" s="7"/>
      <c r="D700" s="7"/>
      <c r="E700" s="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6">
      <c r="A701" s="27"/>
      <c r="B701" s="27"/>
      <c r="C701" s="7"/>
      <c r="D701" s="7"/>
      <c r="E701" s="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6">
      <c r="A702" s="27"/>
      <c r="B702" s="27"/>
      <c r="C702" s="7"/>
      <c r="D702" s="7"/>
      <c r="E702" s="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6">
      <c r="A703" s="27"/>
      <c r="B703" s="27"/>
      <c r="C703" s="7"/>
      <c r="D703" s="7"/>
      <c r="E703" s="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6">
      <c r="A704" s="27"/>
      <c r="B704" s="27"/>
      <c r="C704" s="7"/>
      <c r="D704" s="7"/>
      <c r="E704" s="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6">
      <c r="A705" s="27"/>
      <c r="B705" s="27"/>
      <c r="C705" s="7"/>
      <c r="D705" s="7"/>
      <c r="E705" s="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6">
      <c r="A706" s="27"/>
      <c r="B706" s="27"/>
      <c r="C706" s="7"/>
      <c r="D706" s="7"/>
      <c r="E706" s="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6">
      <c r="A707" s="27"/>
      <c r="B707" s="27"/>
      <c r="C707" s="7"/>
      <c r="D707" s="7"/>
      <c r="E707" s="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6">
      <c r="A708" s="27"/>
      <c r="B708" s="27"/>
      <c r="C708" s="7"/>
      <c r="D708" s="7"/>
      <c r="E708" s="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6">
      <c r="A709" s="27"/>
      <c r="B709" s="27"/>
      <c r="C709" s="7"/>
      <c r="D709" s="7"/>
      <c r="E709" s="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6">
      <c r="A710" s="27"/>
      <c r="B710" s="27"/>
      <c r="C710" s="7"/>
      <c r="D710" s="7"/>
      <c r="E710" s="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6">
      <c r="A711" s="27"/>
      <c r="B711" s="27"/>
      <c r="C711" s="7"/>
      <c r="D711" s="7"/>
      <c r="E711" s="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6">
      <c r="A712" s="27"/>
      <c r="B712" s="27"/>
      <c r="C712" s="7"/>
      <c r="D712" s="7"/>
      <c r="E712" s="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6">
      <c r="A713" s="27"/>
      <c r="B713" s="27"/>
      <c r="C713" s="7"/>
      <c r="D713" s="7"/>
      <c r="E713" s="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6">
      <c r="A714" s="27"/>
      <c r="B714" s="27"/>
      <c r="C714" s="7"/>
      <c r="D714" s="7"/>
      <c r="E714" s="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6">
      <c r="A715" s="27"/>
      <c r="B715" s="27"/>
      <c r="C715" s="7"/>
      <c r="D715" s="7"/>
      <c r="E715" s="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6">
      <c r="A716" s="27"/>
      <c r="B716" s="27"/>
      <c r="C716" s="7"/>
      <c r="D716" s="7"/>
      <c r="E716" s="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6">
      <c r="A717" s="27"/>
      <c r="B717" s="27"/>
      <c r="C717" s="7"/>
      <c r="D717" s="7"/>
      <c r="E717" s="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6">
      <c r="A718" s="27"/>
      <c r="B718" s="27"/>
      <c r="C718" s="7"/>
      <c r="D718" s="7"/>
      <c r="E718" s="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6">
      <c r="A719" s="27"/>
      <c r="B719" s="27"/>
      <c r="C719" s="7"/>
      <c r="D719" s="7"/>
      <c r="E719" s="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6">
      <c r="A720" s="27"/>
      <c r="B720" s="27"/>
      <c r="C720" s="7"/>
      <c r="D720" s="7"/>
      <c r="E720" s="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6">
      <c r="A721" s="27"/>
      <c r="B721" s="27"/>
      <c r="C721" s="7"/>
      <c r="D721" s="7"/>
      <c r="E721" s="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6">
      <c r="A722" s="27"/>
      <c r="B722" s="27"/>
      <c r="C722" s="7"/>
      <c r="D722" s="7"/>
      <c r="E722" s="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6">
      <c r="A723" s="27"/>
      <c r="B723" s="27"/>
      <c r="C723" s="7"/>
      <c r="D723" s="7"/>
      <c r="E723" s="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6">
      <c r="A724" s="27"/>
      <c r="B724" s="27"/>
      <c r="C724" s="7"/>
      <c r="D724" s="7"/>
      <c r="E724" s="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6">
      <c r="A725" s="27"/>
      <c r="B725" s="27"/>
      <c r="C725" s="7"/>
      <c r="D725" s="7"/>
      <c r="E725" s="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6">
      <c r="A726" s="27"/>
      <c r="B726" s="27"/>
      <c r="C726" s="7"/>
      <c r="D726" s="7"/>
      <c r="E726" s="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6">
      <c r="A727" s="27"/>
      <c r="B727" s="27"/>
      <c r="C727" s="7"/>
      <c r="D727" s="7"/>
      <c r="E727" s="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6">
      <c r="A728" s="27"/>
      <c r="B728" s="27"/>
      <c r="C728" s="7"/>
      <c r="D728" s="7"/>
      <c r="E728" s="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6">
      <c r="A729" s="27"/>
      <c r="B729" s="27"/>
      <c r="C729" s="7"/>
      <c r="D729" s="7"/>
      <c r="E729" s="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6">
      <c r="A730" s="27"/>
      <c r="B730" s="27"/>
      <c r="C730" s="7"/>
      <c r="D730" s="7"/>
      <c r="E730" s="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6">
      <c r="A731" s="27"/>
      <c r="B731" s="27"/>
      <c r="C731" s="7"/>
      <c r="D731" s="7"/>
      <c r="E731" s="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6">
      <c r="A732" s="27"/>
      <c r="B732" s="27"/>
      <c r="C732" s="7"/>
      <c r="D732" s="7"/>
      <c r="E732" s="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6">
      <c r="A733" s="27"/>
      <c r="B733" s="27"/>
      <c r="C733" s="7"/>
      <c r="D733" s="7"/>
      <c r="E733" s="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6">
      <c r="A734" s="27"/>
      <c r="B734" s="27"/>
      <c r="C734" s="7"/>
      <c r="D734" s="7"/>
      <c r="E734" s="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6">
      <c r="A735" s="27"/>
      <c r="B735" s="27"/>
      <c r="C735" s="7"/>
      <c r="D735" s="7"/>
      <c r="E735" s="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6">
      <c r="A736" s="27"/>
      <c r="B736" s="27"/>
      <c r="C736" s="7"/>
      <c r="D736" s="7"/>
      <c r="E736" s="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6">
      <c r="A737" s="27"/>
      <c r="B737" s="27"/>
      <c r="C737" s="7"/>
      <c r="D737" s="7"/>
      <c r="E737" s="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6">
      <c r="A738" s="27"/>
      <c r="B738" s="27"/>
      <c r="C738" s="7"/>
      <c r="D738" s="7"/>
      <c r="E738" s="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6">
      <c r="A739" s="27"/>
      <c r="B739" s="27"/>
      <c r="C739" s="7"/>
      <c r="D739" s="7"/>
      <c r="E739" s="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6">
      <c r="A740" s="27"/>
      <c r="B740" s="27"/>
      <c r="C740" s="7"/>
      <c r="D740" s="7"/>
      <c r="E740" s="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6">
      <c r="A741" s="27"/>
      <c r="B741" s="27"/>
      <c r="C741" s="7"/>
      <c r="D741" s="7"/>
      <c r="E741" s="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6">
      <c r="A742" s="27"/>
      <c r="B742" s="27"/>
      <c r="C742" s="7"/>
      <c r="D742" s="7"/>
      <c r="E742" s="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6">
      <c r="A743" s="27"/>
      <c r="B743" s="27"/>
      <c r="C743" s="7"/>
      <c r="D743" s="7"/>
      <c r="E743" s="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6">
      <c r="A744" s="27"/>
      <c r="B744" s="27"/>
      <c r="C744" s="7"/>
      <c r="D744" s="7"/>
      <c r="E744" s="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6">
      <c r="A745" s="27"/>
      <c r="B745" s="27"/>
      <c r="C745" s="7"/>
      <c r="D745" s="7"/>
      <c r="E745" s="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6">
      <c r="A746" s="27"/>
      <c r="B746" s="27"/>
      <c r="C746" s="7"/>
      <c r="D746" s="7"/>
      <c r="E746" s="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6">
      <c r="A747" s="27"/>
      <c r="B747" s="27"/>
      <c r="C747" s="7"/>
      <c r="D747" s="7"/>
      <c r="E747" s="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6">
      <c r="A748" s="27"/>
      <c r="B748" s="27"/>
      <c r="C748" s="7"/>
      <c r="D748" s="7"/>
      <c r="E748" s="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6">
      <c r="A749" s="27"/>
      <c r="B749" s="27"/>
      <c r="C749" s="7"/>
      <c r="D749" s="7"/>
      <c r="E749" s="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6">
      <c r="A750" s="27"/>
      <c r="B750" s="27"/>
      <c r="C750" s="7"/>
      <c r="D750" s="7"/>
      <c r="E750" s="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6">
      <c r="A751" s="27"/>
      <c r="B751" s="27"/>
      <c r="C751" s="7"/>
      <c r="D751" s="7"/>
      <c r="E751" s="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6">
      <c r="A752" s="27"/>
      <c r="B752" s="27"/>
      <c r="C752" s="7"/>
      <c r="D752" s="7"/>
      <c r="E752" s="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6">
      <c r="A753" s="27"/>
      <c r="B753" s="27"/>
      <c r="C753" s="7"/>
      <c r="D753" s="7"/>
      <c r="E753" s="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6">
      <c r="A754" s="27"/>
      <c r="B754" s="27"/>
      <c r="C754" s="7"/>
      <c r="D754" s="7"/>
      <c r="E754" s="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6">
      <c r="A755" s="27"/>
      <c r="B755" s="27"/>
      <c r="C755" s="7"/>
      <c r="D755" s="7"/>
      <c r="E755" s="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6">
      <c r="A756" s="27"/>
      <c r="B756" s="27"/>
      <c r="C756" s="7"/>
      <c r="D756" s="7"/>
      <c r="E756" s="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6">
      <c r="A757" s="27"/>
      <c r="B757" s="27"/>
      <c r="C757" s="7"/>
      <c r="D757" s="7"/>
      <c r="E757" s="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6">
      <c r="A758" s="27"/>
      <c r="B758" s="27"/>
      <c r="C758" s="7"/>
      <c r="D758" s="7"/>
      <c r="E758" s="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6">
      <c r="A759" s="27"/>
      <c r="B759" s="27"/>
      <c r="C759" s="7"/>
      <c r="D759" s="7"/>
      <c r="E759" s="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6">
      <c r="A760" s="27"/>
      <c r="B760" s="27"/>
      <c r="C760" s="7"/>
      <c r="D760" s="7"/>
      <c r="E760" s="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6">
      <c r="A761" s="27"/>
      <c r="B761" s="27"/>
      <c r="C761" s="7"/>
      <c r="D761" s="7"/>
      <c r="E761" s="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6">
      <c r="A762" s="27"/>
      <c r="B762" s="27"/>
      <c r="C762" s="7"/>
      <c r="D762" s="7"/>
      <c r="E762" s="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6">
      <c r="A763" s="27"/>
      <c r="B763" s="27"/>
      <c r="C763" s="7"/>
      <c r="D763" s="7"/>
      <c r="E763" s="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6">
      <c r="A764" s="27"/>
      <c r="B764" s="27"/>
      <c r="C764" s="7"/>
      <c r="D764" s="7"/>
      <c r="E764" s="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6">
      <c r="A765" s="27"/>
      <c r="B765" s="27"/>
      <c r="C765" s="7"/>
      <c r="D765" s="7"/>
      <c r="E765" s="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6">
      <c r="A766" s="27"/>
      <c r="B766" s="27"/>
      <c r="C766" s="7"/>
      <c r="D766" s="7"/>
      <c r="E766" s="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6">
      <c r="A767" s="27"/>
      <c r="B767" s="27"/>
      <c r="C767" s="7"/>
      <c r="D767" s="7"/>
      <c r="E767" s="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6">
      <c r="A768" s="27"/>
      <c r="B768" s="27"/>
      <c r="C768" s="7"/>
      <c r="D768" s="7"/>
      <c r="E768" s="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6">
      <c r="A769" s="27"/>
      <c r="B769" s="27"/>
      <c r="C769" s="7"/>
      <c r="D769" s="7"/>
      <c r="E769" s="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6">
      <c r="A770" s="27"/>
      <c r="B770" s="27"/>
      <c r="C770" s="7"/>
      <c r="D770" s="7"/>
      <c r="E770" s="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6">
      <c r="A771" s="27"/>
      <c r="B771" s="27"/>
      <c r="C771" s="7"/>
      <c r="D771" s="7"/>
      <c r="E771" s="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6">
      <c r="A772" s="27"/>
      <c r="B772" s="27"/>
      <c r="C772" s="7"/>
      <c r="D772" s="7"/>
      <c r="E772" s="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6">
      <c r="A773" s="27"/>
      <c r="B773" s="27"/>
      <c r="C773" s="7"/>
      <c r="D773" s="7"/>
      <c r="E773" s="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6">
      <c r="A774" s="27"/>
      <c r="B774" s="27"/>
      <c r="C774" s="7"/>
      <c r="D774" s="7"/>
      <c r="E774" s="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6">
      <c r="A775" s="27"/>
      <c r="B775" s="27"/>
      <c r="C775" s="7"/>
      <c r="D775" s="7"/>
      <c r="E775" s="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6">
      <c r="A776" s="27"/>
      <c r="B776" s="27"/>
      <c r="C776" s="7"/>
      <c r="D776" s="7"/>
      <c r="E776" s="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6">
      <c r="A777" s="27"/>
      <c r="B777" s="27"/>
      <c r="C777" s="7"/>
      <c r="D777" s="7"/>
      <c r="E777" s="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6">
      <c r="A778" s="27"/>
      <c r="B778" s="27"/>
      <c r="C778" s="7"/>
      <c r="D778" s="7"/>
      <c r="E778" s="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6">
      <c r="A779" s="27"/>
      <c r="B779" s="27"/>
      <c r="C779" s="7"/>
      <c r="D779" s="7"/>
      <c r="E779" s="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6">
      <c r="A780" s="27"/>
      <c r="B780" s="27"/>
      <c r="C780" s="7"/>
      <c r="D780" s="7"/>
      <c r="E780" s="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6">
      <c r="A781" s="27"/>
      <c r="B781" s="27"/>
      <c r="C781" s="7"/>
      <c r="D781" s="7"/>
      <c r="E781" s="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6">
      <c r="A782" s="27"/>
      <c r="B782" s="27"/>
      <c r="C782" s="7"/>
      <c r="D782" s="7"/>
      <c r="E782" s="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6">
      <c r="A783" s="27"/>
      <c r="B783" s="27"/>
      <c r="C783" s="7"/>
      <c r="D783" s="7"/>
      <c r="E783" s="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6">
      <c r="A784" s="27"/>
      <c r="B784" s="27"/>
      <c r="C784" s="7"/>
      <c r="D784" s="7"/>
      <c r="E784" s="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6">
      <c r="A785" s="27"/>
      <c r="B785" s="27"/>
      <c r="C785" s="7"/>
      <c r="D785" s="7"/>
      <c r="E785" s="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6">
      <c r="A786" s="27"/>
      <c r="B786" s="27"/>
      <c r="C786" s="7"/>
      <c r="D786" s="7"/>
      <c r="E786" s="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6">
      <c r="A787" s="27"/>
      <c r="B787" s="27"/>
      <c r="C787" s="7"/>
      <c r="D787" s="7"/>
      <c r="E787" s="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6">
      <c r="A788" s="27"/>
      <c r="B788" s="27"/>
      <c r="C788" s="7"/>
      <c r="D788" s="7"/>
      <c r="E788" s="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6">
      <c r="A789" s="27"/>
      <c r="B789" s="27"/>
      <c r="C789" s="7"/>
      <c r="D789" s="7"/>
      <c r="E789" s="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6">
      <c r="A790" s="27"/>
      <c r="B790" s="27"/>
      <c r="C790" s="7"/>
      <c r="D790" s="7"/>
      <c r="E790" s="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6">
      <c r="A791" s="27"/>
      <c r="B791" s="27"/>
      <c r="C791" s="7"/>
      <c r="D791" s="7"/>
      <c r="E791" s="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6">
      <c r="A792" s="27"/>
      <c r="B792" s="27"/>
      <c r="C792" s="7"/>
      <c r="D792" s="7"/>
      <c r="E792" s="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6">
      <c r="A793" s="27"/>
      <c r="B793" s="27"/>
      <c r="C793" s="7"/>
      <c r="D793" s="7"/>
      <c r="E793" s="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6">
      <c r="A794" s="27"/>
      <c r="B794" s="27"/>
      <c r="C794" s="7"/>
      <c r="D794" s="7"/>
      <c r="E794" s="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6">
      <c r="A795" s="27"/>
      <c r="B795" s="27"/>
      <c r="C795" s="7"/>
      <c r="D795" s="7"/>
      <c r="E795" s="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6">
      <c r="A796" s="27"/>
      <c r="B796" s="27"/>
      <c r="C796" s="7"/>
      <c r="D796" s="7"/>
      <c r="E796" s="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6">
      <c r="A797" s="27"/>
      <c r="B797" s="27"/>
      <c r="C797" s="7"/>
      <c r="D797" s="7"/>
      <c r="E797" s="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6">
      <c r="A798" s="27"/>
      <c r="B798" s="27"/>
      <c r="C798" s="7"/>
      <c r="D798" s="7"/>
      <c r="E798" s="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6">
      <c r="A799" s="27"/>
      <c r="B799" s="27"/>
      <c r="C799" s="7"/>
      <c r="D799" s="7"/>
      <c r="E799" s="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6">
      <c r="A800" s="27"/>
      <c r="B800" s="27"/>
      <c r="C800" s="7"/>
      <c r="D800" s="7"/>
      <c r="E800" s="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6">
      <c r="A801" s="27"/>
      <c r="B801" s="27"/>
      <c r="C801" s="7"/>
      <c r="D801" s="7"/>
      <c r="E801" s="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6">
      <c r="A802" s="27"/>
      <c r="B802" s="27"/>
      <c r="C802" s="7"/>
      <c r="D802" s="7"/>
      <c r="E802" s="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6">
      <c r="A803" s="27"/>
      <c r="B803" s="27"/>
      <c r="C803" s="7"/>
      <c r="D803" s="7"/>
      <c r="E803" s="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6">
      <c r="A804" s="27"/>
      <c r="B804" s="27"/>
      <c r="C804" s="7"/>
      <c r="D804" s="7"/>
      <c r="E804" s="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6">
      <c r="A805" s="27"/>
      <c r="B805" s="27"/>
      <c r="C805" s="7"/>
      <c r="D805" s="7"/>
      <c r="E805" s="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6">
      <c r="A806" s="27"/>
      <c r="B806" s="27"/>
      <c r="C806" s="7"/>
      <c r="D806" s="7"/>
      <c r="E806" s="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6">
      <c r="A807" s="27"/>
      <c r="B807" s="27"/>
      <c r="C807" s="7"/>
      <c r="D807" s="7"/>
      <c r="E807" s="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6">
      <c r="A808" s="27"/>
      <c r="B808" s="27"/>
      <c r="C808" s="7"/>
      <c r="D808" s="7"/>
      <c r="E808" s="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6">
      <c r="A809" s="27"/>
      <c r="B809" s="27"/>
      <c r="C809" s="7"/>
      <c r="D809" s="7"/>
      <c r="E809" s="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6">
      <c r="A810" s="27"/>
      <c r="B810" s="27"/>
      <c r="C810" s="7"/>
      <c r="D810" s="7"/>
      <c r="E810" s="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6">
      <c r="A811" s="27"/>
      <c r="B811" s="27"/>
      <c r="C811" s="7"/>
      <c r="D811" s="7"/>
      <c r="E811" s="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6">
      <c r="A812" s="27"/>
      <c r="B812" s="27"/>
      <c r="C812" s="7"/>
      <c r="D812" s="7"/>
      <c r="E812" s="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6">
      <c r="A813" s="27"/>
      <c r="B813" s="27"/>
      <c r="C813" s="7"/>
      <c r="D813" s="7"/>
      <c r="E813" s="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6">
      <c r="A814" s="27"/>
      <c r="B814" s="27"/>
      <c r="C814" s="7"/>
      <c r="D814" s="7"/>
      <c r="E814" s="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6">
      <c r="A815" s="27"/>
      <c r="B815" s="27"/>
      <c r="C815" s="7"/>
      <c r="D815" s="7"/>
      <c r="E815" s="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6">
      <c r="A816" s="27"/>
      <c r="B816" s="27"/>
      <c r="C816" s="7"/>
      <c r="D816" s="7"/>
      <c r="E816" s="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6">
      <c r="A817" s="27"/>
      <c r="B817" s="27"/>
      <c r="C817" s="7"/>
      <c r="D817" s="7"/>
      <c r="E817" s="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6">
      <c r="A818" s="27"/>
      <c r="B818" s="27"/>
      <c r="C818" s="7"/>
      <c r="D818" s="7"/>
      <c r="E818" s="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6">
      <c r="A819" s="27"/>
      <c r="B819" s="27"/>
      <c r="C819" s="7"/>
      <c r="D819" s="7"/>
      <c r="E819" s="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6">
      <c r="A820" s="27"/>
      <c r="B820" s="27"/>
      <c r="C820" s="7"/>
      <c r="D820" s="7"/>
      <c r="E820" s="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6">
      <c r="A821" s="27"/>
      <c r="B821" s="27"/>
      <c r="C821" s="7"/>
      <c r="D821" s="7"/>
      <c r="E821" s="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6">
      <c r="A822" s="27"/>
      <c r="B822" s="27"/>
      <c r="C822" s="7"/>
      <c r="D822" s="7"/>
      <c r="E822" s="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6">
      <c r="A823" s="27"/>
      <c r="B823" s="27"/>
      <c r="C823" s="7"/>
      <c r="D823" s="7"/>
      <c r="E823" s="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6">
      <c r="A824" s="27"/>
      <c r="B824" s="27"/>
      <c r="C824" s="7"/>
      <c r="D824" s="7"/>
      <c r="E824" s="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6">
      <c r="A825" s="27"/>
      <c r="B825" s="27"/>
      <c r="C825" s="7"/>
      <c r="D825" s="7"/>
      <c r="E825" s="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6">
      <c r="A826" s="27"/>
      <c r="B826" s="27"/>
      <c r="C826" s="7"/>
      <c r="D826" s="7"/>
      <c r="E826" s="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6">
      <c r="A827" s="27"/>
      <c r="B827" s="27"/>
      <c r="C827" s="7"/>
      <c r="D827" s="7"/>
      <c r="E827" s="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6">
      <c r="A828" s="27"/>
      <c r="B828" s="27"/>
      <c r="C828" s="7"/>
      <c r="D828" s="7"/>
      <c r="E828" s="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6">
      <c r="A829" s="27"/>
      <c r="B829" s="27"/>
      <c r="C829" s="7"/>
      <c r="D829" s="7"/>
      <c r="E829" s="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6">
      <c r="A830" s="27"/>
      <c r="B830" s="27"/>
      <c r="C830" s="7"/>
      <c r="D830" s="7"/>
      <c r="E830" s="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6">
      <c r="A831" s="27"/>
      <c r="B831" s="27"/>
      <c r="C831" s="7"/>
      <c r="D831" s="7"/>
      <c r="E831" s="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6">
      <c r="A832" s="27"/>
      <c r="B832" s="27"/>
      <c r="C832" s="7"/>
      <c r="D832" s="7"/>
      <c r="E832" s="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6">
      <c r="A833" s="27"/>
      <c r="B833" s="27"/>
      <c r="C833" s="7"/>
      <c r="D833" s="7"/>
      <c r="E833" s="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6">
      <c r="A834" s="27"/>
      <c r="B834" s="27"/>
      <c r="C834" s="7"/>
      <c r="D834" s="7"/>
      <c r="E834" s="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6">
      <c r="A835" s="27"/>
      <c r="B835" s="27"/>
      <c r="C835" s="7"/>
      <c r="D835" s="7"/>
      <c r="E835" s="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6">
      <c r="A836" s="27"/>
      <c r="B836" s="27"/>
      <c r="C836" s="7"/>
      <c r="D836" s="7"/>
      <c r="E836" s="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6">
      <c r="A837" s="27"/>
      <c r="B837" s="27"/>
      <c r="C837" s="7"/>
      <c r="D837" s="7"/>
      <c r="E837" s="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6">
      <c r="A838" s="27"/>
      <c r="B838" s="27"/>
      <c r="C838" s="7"/>
      <c r="D838" s="7"/>
      <c r="E838" s="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6">
      <c r="A839" s="27"/>
      <c r="B839" s="27"/>
      <c r="C839" s="7"/>
      <c r="D839" s="7"/>
      <c r="E839" s="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6">
      <c r="A840" s="27"/>
      <c r="B840" s="27"/>
      <c r="C840" s="7"/>
      <c r="D840" s="7"/>
      <c r="E840" s="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6">
      <c r="A841" s="27"/>
      <c r="B841" s="27"/>
      <c r="C841" s="7"/>
      <c r="D841" s="7"/>
      <c r="E841" s="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6">
      <c r="A842" s="27"/>
      <c r="B842" s="27"/>
      <c r="C842" s="7"/>
      <c r="D842" s="7"/>
      <c r="E842" s="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6">
      <c r="A843" s="27"/>
      <c r="B843" s="27"/>
      <c r="C843" s="7"/>
      <c r="D843" s="7"/>
      <c r="E843" s="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6">
      <c r="A844" s="27"/>
      <c r="B844" s="27"/>
      <c r="C844" s="7"/>
      <c r="D844" s="7"/>
      <c r="E844" s="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6">
      <c r="A845" s="27"/>
      <c r="B845" s="27"/>
      <c r="C845" s="7"/>
      <c r="D845" s="7"/>
      <c r="E845" s="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6">
      <c r="A846" s="27"/>
      <c r="B846" s="27"/>
      <c r="C846" s="7"/>
      <c r="D846" s="7"/>
      <c r="E846" s="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6">
      <c r="A847" s="27"/>
      <c r="B847" s="27"/>
      <c r="C847" s="7"/>
      <c r="D847" s="7"/>
      <c r="E847" s="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6">
      <c r="A848" s="27"/>
      <c r="B848" s="27"/>
      <c r="C848" s="7"/>
      <c r="D848" s="7"/>
      <c r="E848" s="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6">
      <c r="A849" s="27"/>
      <c r="B849" s="27"/>
      <c r="C849" s="7"/>
      <c r="D849" s="7"/>
      <c r="E849" s="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6">
      <c r="A850" s="27"/>
      <c r="B850" s="27"/>
      <c r="C850" s="7"/>
      <c r="D850" s="7"/>
      <c r="E850" s="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6">
      <c r="A851" s="27"/>
      <c r="B851" s="27"/>
      <c r="C851" s="7"/>
      <c r="D851" s="7"/>
      <c r="E851" s="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6">
      <c r="A852" s="27"/>
      <c r="B852" s="27"/>
      <c r="C852" s="7"/>
      <c r="D852" s="7"/>
      <c r="E852" s="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6">
      <c r="A853" s="27"/>
      <c r="B853" s="27"/>
      <c r="C853" s="7"/>
      <c r="D853" s="7"/>
      <c r="E853" s="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6">
      <c r="A854" s="27"/>
      <c r="B854" s="27"/>
      <c r="C854" s="7"/>
      <c r="D854" s="7"/>
      <c r="E854" s="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6">
      <c r="A855" s="27"/>
      <c r="B855" s="27"/>
      <c r="C855" s="7"/>
      <c r="D855" s="7"/>
      <c r="E855" s="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6">
      <c r="A856" s="27"/>
      <c r="B856" s="27"/>
      <c r="C856" s="7"/>
      <c r="D856" s="7"/>
      <c r="E856" s="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6">
      <c r="A857" s="27"/>
      <c r="B857" s="27"/>
      <c r="C857" s="7"/>
      <c r="D857" s="7"/>
      <c r="E857" s="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6">
      <c r="A858" s="27"/>
      <c r="B858" s="27"/>
      <c r="C858" s="7"/>
      <c r="D858" s="7"/>
      <c r="E858" s="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6">
      <c r="A859" s="27"/>
      <c r="B859" s="27"/>
      <c r="C859" s="7"/>
      <c r="D859" s="7"/>
      <c r="E859" s="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6">
      <c r="A860" s="27"/>
      <c r="B860" s="27"/>
      <c r="C860" s="7"/>
      <c r="D860" s="7"/>
      <c r="E860" s="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6">
      <c r="A861" s="27"/>
      <c r="B861" s="27"/>
      <c r="C861" s="7"/>
      <c r="D861" s="7"/>
      <c r="E861" s="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6">
      <c r="A862" s="27"/>
      <c r="B862" s="27"/>
      <c r="C862" s="7"/>
      <c r="D862" s="7"/>
      <c r="E862" s="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6">
      <c r="A863" s="27"/>
      <c r="B863" s="27"/>
      <c r="C863" s="7"/>
      <c r="D863" s="7"/>
      <c r="E863" s="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6">
      <c r="A864" s="27"/>
      <c r="B864" s="27"/>
      <c r="C864" s="7"/>
      <c r="D864" s="7"/>
      <c r="E864" s="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6">
      <c r="A865" s="27"/>
      <c r="B865" s="27"/>
      <c r="C865" s="7"/>
      <c r="D865" s="7"/>
      <c r="E865" s="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6">
      <c r="A866" s="27"/>
      <c r="B866" s="27"/>
      <c r="C866" s="7"/>
      <c r="D866" s="7"/>
      <c r="E866" s="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6">
      <c r="A867" s="27"/>
      <c r="B867" s="27"/>
      <c r="C867" s="7"/>
      <c r="D867" s="7"/>
      <c r="E867" s="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6">
      <c r="A868" s="27"/>
      <c r="B868" s="27"/>
      <c r="C868" s="7"/>
      <c r="D868" s="7"/>
      <c r="E868" s="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6">
      <c r="A869" s="27"/>
      <c r="B869" s="27"/>
      <c r="C869" s="7"/>
      <c r="D869" s="7"/>
      <c r="E869" s="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6">
      <c r="A870" s="27"/>
      <c r="B870" s="27"/>
      <c r="C870" s="7"/>
      <c r="D870" s="7"/>
      <c r="E870" s="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6">
      <c r="A871" s="27"/>
      <c r="B871" s="27"/>
      <c r="C871" s="7"/>
      <c r="D871" s="7"/>
      <c r="E871" s="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6">
      <c r="A872" s="27"/>
      <c r="B872" s="27"/>
      <c r="C872" s="7"/>
      <c r="D872" s="7"/>
      <c r="E872" s="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6">
      <c r="A873" s="27"/>
      <c r="B873" s="27"/>
      <c r="C873" s="7"/>
      <c r="D873" s="7"/>
      <c r="E873" s="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6">
      <c r="A874" s="27"/>
      <c r="B874" s="27"/>
      <c r="C874" s="7"/>
      <c r="D874" s="7"/>
      <c r="E874" s="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6">
      <c r="A875" s="27"/>
      <c r="B875" s="27"/>
      <c r="C875" s="7"/>
      <c r="D875" s="7"/>
      <c r="E875" s="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6">
      <c r="A876" s="27"/>
      <c r="B876" s="27"/>
      <c r="C876" s="7"/>
      <c r="D876" s="7"/>
      <c r="E876" s="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6">
      <c r="A877" s="27"/>
      <c r="B877" s="27"/>
      <c r="C877" s="7"/>
      <c r="D877" s="7"/>
      <c r="E877" s="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6">
      <c r="A878" s="27"/>
      <c r="B878" s="27"/>
      <c r="C878" s="7"/>
      <c r="D878" s="7"/>
      <c r="E878" s="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6">
      <c r="A879" s="27"/>
      <c r="B879" s="27"/>
      <c r="C879" s="7"/>
      <c r="D879" s="7"/>
      <c r="E879" s="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6">
      <c r="A880" s="27"/>
      <c r="B880" s="27"/>
      <c r="C880" s="7"/>
      <c r="D880" s="7"/>
      <c r="E880" s="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6">
      <c r="A881" s="27"/>
      <c r="B881" s="27"/>
      <c r="C881" s="7"/>
      <c r="D881" s="7"/>
      <c r="E881" s="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6">
      <c r="A882" s="27"/>
      <c r="B882" s="27"/>
      <c r="C882" s="7"/>
      <c r="D882" s="7"/>
      <c r="E882" s="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6">
      <c r="A883" s="27"/>
      <c r="B883" s="27"/>
      <c r="C883" s="7"/>
      <c r="D883" s="7"/>
      <c r="E883" s="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6">
      <c r="A884" s="27"/>
      <c r="B884" s="27"/>
      <c r="C884" s="7"/>
      <c r="D884" s="7"/>
      <c r="E884" s="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6">
      <c r="A885" s="27"/>
      <c r="B885" s="27"/>
      <c r="C885" s="7"/>
      <c r="D885" s="7"/>
      <c r="E885" s="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6">
      <c r="A886" s="27"/>
      <c r="B886" s="27"/>
      <c r="C886" s="7"/>
      <c r="D886" s="7"/>
      <c r="E886" s="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6">
      <c r="A887" s="27"/>
      <c r="B887" s="27"/>
      <c r="C887" s="7"/>
      <c r="D887" s="7"/>
      <c r="E887" s="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6">
      <c r="A888" s="27"/>
      <c r="B888" s="27"/>
      <c r="C888" s="7"/>
      <c r="D888" s="7"/>
      <c r="E888" s="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6">
      <c r="A889" s="27"/>
      <c r="B889" s="27"/>
      <c r="C889" s="7"/>
      <c r="D889" s="7"/>
      <c r="E889" s="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6">
      <c r="A890" s="27"/>
      <c r="B890" s="27"/>
      <c r="C890" s="7"/>
      <c r="D890" s="7"/>
      <c r="E890" s="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6">
      <c r="A891" s="27"/>
      <c r="B891" s="27"/>
      <c r="C891" s="7"/>
      <c r="D891" s="7"/>
      <c r="E891" s="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6">
      <c r="A892" s="27"/>
      <c r="B892" s="27"/>
      <c r="C892" s="7"/>
      <c r="D892" s="7"/>
      <c r="E892" s="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6">
      <c r="A893" s="27"/>
      <c r="B893" s="27"/>
      <c r="C893" s="7"/>
      <c r="D893" s="7"/>
      <c r="E893" s="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6">
      <c r="A894" s="27"/>
      <c r="B894" s="27"/>
      <c r="C894" s="7"/>
      <c r="D894" s="7"/>
      <c r="E894" s="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6">
      <c r="A895" s="27"/>
      <c r="B895" s="27"/>
      <c r="C895" s="7"/>
      <c r="D895" s="7"/>
      <c r="E895" s="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6">
      <c r="A896" s="27"/>
      <c r="B896" s="27"/>
      <c r="C896" s="7"/>
      <c r="D896" s="7"/>
      <c r="E896" s="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6">
      <c r="A897" s="27"/>
      <c r="B897" s="27"/>
      <c r="C897" s="7"/>
      <c r="D897" s="7"/>
      <c r="E897" s="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6">
      <c r="A898" s="27"/>
      <c r="B898" s="27"/>
      <c r="C898" s="7"/>
      <c r="D898" s="7"/>
      <c r="E898" s="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6">
      <c r="A899" s="27"/>
      <c r="B899" s="27"/>
      <c r="C899" s="7"/>
      <c r="D899" s="7"/>
      <c r="E899" s="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6">
      <c r="A900" s="27"/>
      <c r="B900" s="27"/>
      <c r="C900" s="7"/>
      <c r="D900" s="7"/>
      <c r="E900" s="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6">
      <c r="A901" s="27"/>
      <c r="B901" s="27"/>
      <c r="C901" s="7"/>
      <c r="D901" s="7"/>
      <c r="E901" s="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6">
      <c r="A902" s="27"/>
      <c r="B902" s="27"/>
      <c r="C902" s="7"/>
      <c r="D902" s="7"/>
      <c r="E902" s="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6">
      <c r="A903" s="27"/>
      <c r="B903" s="27"/>
      <c r="C903" s="7"/>
      <c r="D903" s="7"/>
      <c r="E903" s="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6">
      <c r="A904" s="27"/>
      <c r="B904" s="27"/>
      <c r="C904" s="7"/>
      <c r="D904" s="7"/>
      <c r="E904" s="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6">
      <c r="A905" s="27"/>
      <c r="B905" s="27"/>
      <c r="C905" s="7"/>
      <c r="D905" s="7"/>
      <c r="E905" s="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6">
      <c r="A906" s="27"/>
      <c r="B906" s="27"/>
      <c r="C906" s="7"/>
      <c r="D906" s="7"/>
      <c r="E906" s="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6">
      <c r="A907" s="27"/>
      <c r="B907" s="27"/>
      <c r="C907" s="7"/>
      <c r="D907" s="7"/>
      <c r="E907" s="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6">
      <c r="A908" s="27"/>
      <c r="B908" s="27"/>
      <c r="C908" s="7"/>
      <c r="D908" s="7"/>
      <c r="E908" s="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6">
      <c r="A909" s="27"/>
      <c r="B909" s="27"/>
      <c r="C909" s="7"/>
      <c r="D909" s="7"/>
      <c r="E909" s="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6">
      <c r="A910" s="27"/>
      <c r="B910" s="27"/>
      <c r="C910" s="7"/>
      <c r="D910" s="7"/>
      <c r="E910" s="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6">
      <c r="A911" s="27"/>
      <c r="B911" s="27"/>
      <c r="C911" s="7"/>
      <c r="D911" s="7"/>
      <c r="E911" s="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6">
      <c r="A912" s="27"/>
      <c r="B912" s="27"/>
      <c r="C912" s="7"/>
      <c r="D912" s="7"/>
      <c r="E912" s="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6">
      <c r="A913" s="27"/>
      <c r="B913" s="27"/>
      <c r="C913" s="7"/>
      <c r="D913" s="7"/>
      <c r="E913" s="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6">
      <c r="A914" s="27"/>
      <c r="B914" s="27"/>
      <c r="C914" s="7"/>
      <c r="D914" s="7"/>
      <c r="E914" s="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6">
      <c r="A915" s="27"/>
      <c r="B915" s="27"/>
      <c r="C915" s="7"/>
      <c r="D915" s="7"/>
      <c r="E915" s="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6">
      <c r="A916" s="27"/>
      <c r="B916" s="27"/>
      <c r="C916" s="7"/>
      <c r="D916" s="7"/>
      <c r="E916" s="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6">
      <c r="A917" s="27"/>
      <c r="B917" s="27"/>
      <c r="C917" s="7"/>
      <c r="D917" s="7"/>
      <c r="E917" s="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6">
      <c r="A918" s="27"/>
      <c r="B918" s="27"/>
      <c r="C918" s="7"/>
      <c r="D918" s="7"/>
      <c r="E918" s="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6">
      <c r="A919" s="27"/>
      <c r="B919" s="27"/>
      <c r="C919" s="7"/>
      <c r="D919" s="7"/>
      <c r="E919" s="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6">
      <c r="A920" s="27"/>
      <c r="B920" s="27"/>
      <c r="C920" s="7"/>
      <c r="D920" s="7"/>
      <c r="E920" s="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6">
      <c r="A921" s="27"/>
      <c r="B921" s="27"/>
      <c r="C921" s="7"/>
      <c r="D921" s="7"/>
      <c r="E921" s="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6">
      <c r="A922" s="27"/>
      <c r="B922" s="27"/>
      <c r="C922" s="7"/>
      <c r="D922" s="7"/>
      <c r="E922" s="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6">
      <c r="A923" s="27"/>
      <c r="B923" s="27"/>
      <c r="C923" s="7"/>
      <c r="D923" s="7"/>
      <c r="E923" s="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6">
      <c r="A924" s="27"/>
      <c r="B924" s="27"/>
      <c r="C924" s="7"/>
      <c r="D924" s="7"/>
      <c r="E924" s="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6">
      <c r="A925" s="27"/>
      <c r="B925" s="27"/>
      <c r="C925" s="7"/>
      <c r="D925" s="7"/>
      <c r="E925" s="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6">
      <c r="A926" s="27"/>
      <c r="B926" s="27"/>
      <c r="C926" s="7"/>
      <c r="D926" s="7"/>
      <c r="E926" s="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6">
      <c r="A927" s="27"/>
      <c r="B927" s="27"/>
      <c r="C927" s="7"/>
      <c r="D927" s="7"/>
      <c r="E927" s="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6">
      <c r="A928" s="27"/>
      <c r="B928" s="27"/>
      <c r="C928" s="7"/>
      <c r="D928" s="7"/>
      <c r="E928" s="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6">
      <c r="A929" s="27"/>
      <c r="B929" s="27"/>
      <c r="C929" s="7"/>
      <c r="D929" s="7"/>
      <c r="E929" s="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6">
      <c r="A930" s="27"/>
      <c r="B930" s="27"/>
      <c r="C930" s="7"/>
      <c r="D930" s="7"/>
      <c r="E930" s="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6">
      <c r="A931" s="27"/>
      <c r="B931" s="27"/>
      <c r="C931" s="7"/>
      <c r="D931" s="7"/>
      <c r="E931" s="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6">
      <c r="A932" s="27"/>
      <c r="B932" s="27"/>
      <c r="C932" s="7"/>
      <c r="D932" s="7"/>
      <c r="E932" s="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6">
      <c r="A933" s="27"/>
      <c r="B933" s="27"/>
      <c r="C933" s="7"/>
      <c r="D933" s="7"/>
      <c r="E933" s="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6">
      <c r="A934" s="27"/>
      <c r="B934" s="27"/>
      <c r="C934" s="7"/>
      <c r="D934" s="7"/>
      <c r="E934" s="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6">
      <c r="A935" s="27"/>
      <c r="B935" s="27"/>
      <c r="C935" s="7"/>
      <c r="D935" s="7"/>
      <c r="E935" s="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6">
      <c r="A936" s="27"/>
      <c r="B936" s="27"/>
      <c r="C936" s="7"/>
      <c r="D936" s="7"/>
      <c r="E936" s="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6">
      <c r="A937" s="27"/>
      <c r="B937" s="27"/>
      <c r="C937" s="7"/>
      <c r="D937" s="7"/>
      <c r="E937" s="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6">
      <c r="A938" s="27"/>
      <c r="B938" s="27"/>
      <c r="C938" s="7"/>
      <c r="D938" s="7"/>
      <c r="E938" s="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6">
      <c r="A939" s="27"/>
      <c r="B939" s="27"/>
      <c r="C939" s="7"/>
      <c r="D939" s="7"/>
      <c r="E939" s="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6">
      <c r="A940" s="27"/>
      <c r="B940" s="27"/>
      <c r="C940" s="7"/>
      <c r="D940" s="7"/>
      <c r="E940" s="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6">
      <c r="A941" s="27"/>
      <c r="B941" s="27"/>
      <c r="C941" s="7"/>
      <c r="D941" s="7"/>
      <c r="E941" s="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6">
      <c r="A942" s="27"/>
      <c r="B942" s="27"/>
      <c r="C942" s="7"/>
      <c r="D942" s="7"/>
      <c r="E942" s="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6">
      <c r="A943" s="27"/>
      <c r="B943" s="27"/>
      <c r="C943" s="7"/>
      <c r="D943" s="7"/>
      <c r="E943" s="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6">
      <c r="A944" s="27"/>
      <c r="B944" s="27"/>
      <c r="C944" s="7"/>
      <c r="D944" s="7"/>
      <c r="E944" s="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6">
      <c r="A945" s="27"/>
      <c r="B945" s="27"/>
      <c r="C945" s="7"/>
      <c r="D945" s="7"/>
      <c r="E945" s="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6">
      <c r="A946" s="27"/>
      <c r="B946" s="27"/>
      <c r="C946" s="7"/>
      <c r="D946" s="7"/>
      <c r="E946" s="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6">
      <c r="A947" s="27"/>
      <c r="B947" s="27"/>
      <c r="C947" s="7"/>
      <c r="D947" s="7"/>
      <c r="E947" s="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6">
      <c r="A948" s="27"/>
      <c r="B948" s="27"/>
      <c r="C948" s="7"/>
      <c r="D948" s="7"/>
      <c r="E948" s="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6">
      <c r="A949" s="27"/>
      <c r="B949" s="27"/>
      <c r="C949" s="7"/>
      <c r="D949" s="7"/>
      <c r="E949" s="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6">
      <c r="A950" s="27"/>
      <c r="B950" s="27"/>
      <c r="C950" s="7"/>
      <c r="D950" s="7"/>
      <c r="E950" s="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6">
      <c r="A951" s="27"/>
      <c r="B951" s="27"/>
      <c r="C951" s="7"/>
      <c r="D951" s="7"/>
      <c r="E951" s="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6">
      <c r="A952" s="27"/>
      <c r="B952" s="27"/>
      <c r="C952" s="7"/>
      <c r="D952" s="7"/>
      <c r="E952" s="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6">
      <c r="A953" s="27"/>
      <c r="B953" s="27"/>
      <c r="C953" s="7"/>
      <c r="D953" s="7"/>
      <c r="E953" s="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6">
      <c r="A954" s="27"/>
      <c r="B954" s="27"/>
      <c r="C954" s="7"/>
      <c r="D954" s="7"/>
      <c r="E954" s="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6">
      <c r="A955" s="27"/>
      <c r="B955" s="27"/>
      <c r="C955" s="7"/>
      <c r="D955" s="7"/>
      <c r="E955" s="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6">
      <c r="A956" s="27"/>
      <c r="B956" s="27"/>
      <c r="C956" s="7"/>
      <c r="D956" s="7"/>
      <c r="E956" s="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6">
      <c r="A957" s="27"/>
      <c r="B957" s="27"/>
      <c r="C957" s="7"/>
      <c r="D957" s="7"/>
      <c r="E957" s="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6">
      <c r="A958" s="27"/>
      <c r="B958" s="27"/>
      <c r="C958" s="7"/>
      <c r="D958" s="7"/>
      <c r="E958" s="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6">
      <c r="A959" s="27"/>
      <c r="B959" s="27"/>
      <c r="C959" s="7"/>
      <c r="D959" s="7"/>
      <c r="E959" s="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6">
      <c r="A960" s="27"/>
      <c r="B960" s="27"/>
      <c r="C960" s="7"/>
      <c r="D960" s="7"/>
      <c r="E960" s="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6">
      <c r="A961" s="27"/>
      <c r="B961" s="27"/>
      <c r="C961" s="7"/>
      <c r="D961" s="7"/>
      <c r="E961" s="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6">
      <c r="A962" s="27"/>
      <c r="B962" s="27"/>
      <c r="C962" s="7"/>
      <c r="D962" s="7"/>
      <c r="E962" s="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6">
      <c r="A963" s="27"/>
      <c r="B963" s="27"/>
      <c r="C963" s="7"/>
      <c r="D963" s="7"/>
      <c r="E963" s="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6">
      <c r="A964" s="27"/>
      <c r="B964" s="27"/>
      <c r="C964" s="7"/>
      <c r="D964" s="7"/>
      <c r="E964" s="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6">
      <c r="A965" s="27"/>
      <c r="B965" s="27"/>
      <c r="C965" s="7"/>
      <c r="D965" s="7"/>
      <c r="E965" s="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6">
      <c r="A966" s="27"/>
      <c r="B966" s="27"/>
      <c r="C966" s="7"/>
      <c r="D966" s="7"/>
      <c r="E966" s="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6">
      <c r="A967" s="27"/>
      <c r="B967" s="27"/>
      <c r="C967" s="7"/>
      <c r="D967" s="7"/>
      <c r="E967" s="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6">
      <c r="A968" s="27"/>
      <c r="B968" s="27"/>
      <c r="C968" s="7"/>
      <c r="D968" s="7"/>
      <c r="E968" s="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6">
      <c r="A969" s="27"/>
      <c r="B969" s="27"/>
      <c r="C969" s="7"/>
      <c r="D969" s="7"/>
      <c r="E969" s="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6">
      <c r="A970" s="27"/>
      <c r="B970" s="27"/>
      <c r="C970" s="7"/>
      <c r="D970" s="7"/>
      <c r="E970" s="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6">
      <c r="A971" s="27"/>
      <c r="B971" s="27"/>
      <c r="C971" s="7"/>
      <c r="D971" s="7"/>
      <c r="E971" s="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6">
      <c r="A972" s="27"/>
      <c r="B972" s="27"/>
      <c r="C972" s="7"/>
      <c r="D972" s="7"/>
      <c r="E972" s="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6">
      <c r="A973" s="27"/>
      <c r="B973" s="27"/>
      <c r="C973" s="7"/>
      <c r="D973" s="7"/>
      <c r="E973" s="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6">
      <c r="A974" s="27"/>
      <c r="B974" s="27"/>
      <c r="C974" s="7"/>
      <c r="D974" s="7"/>
      <c r="E974" s="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6">
      <c r="A975" s="27"/>
      <c r="B975" s="27"/>
      <c r="C975" s="7"/>
      <c r="D975" s="7"/>
      <c r="E975" s="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6">
      <c r="A976" s="27"/>
      <c r="B976" s="27"/>
      <c r="C976" s="7"/>
      <c r="D976" s="7"/>
      <c r="E976" s="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6">
      <c r="A977" s="27"/>
      <c r="B977" s="27"/>
      <c r="C977" s="7"/>
      <c r="D977" s="7"/>
      <c r="E977" s="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6">
      <c r="A978" s="27"/>
      <c r="B978" s="27"/>
      <c r="C978" s="7"/>
      <c r="D978" s="7"/>
      <c r="E978" s="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6">
      <c r="A979" s="27"/>
      <c r="B979" s="27"/>
      <c r="C979" s="7"/>
      <c r="D979" s="7"/>
      <c r="E979" s="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6">
      <c r="A980" s="27"/>
      <c r="B980" s="27"/>
      <c r="C980" s="7"/>
      <c r="D980" s="7"/>
      <c r="E980" s="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6">
      <c r="A981" s="27"/>
      <c r="B981" s="27"/>
      <c r="C981" s="7"/>
      <c r="D981" s="7"/>
      <c r="E981" s="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6">
      <c r="A982" s="27"/>
      <c r="B982" s="27"/>
      <c r="C982" s="7"/>
      <c r="D982" s="7"/>
      <c r="E982" s="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6">
      <c r="A983" s="27"/>
      <c r="B983" s="27"/>
      <c r="C983" s="7"/>
      <c r="D983" s="7"/>
      <c r="E983" s="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6">
      <c r="A984" s="27"/>
      <c r="B984" s="27"/>
      <c r="C984" s="7"/>
      <c r="D984" s="7"/>
      <c r="E984" s="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6">
      <c r="A985" s="27"/>
      <c r="B985" s="27"/>
      <c r="C985" s="7"/>
      <c r="D985" s="7"/>
      <c r="E985" s="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6">
      <c r="A986" s="27"/>
      <c r="B986" s="27"/>
      <c r="C986" s="7"/>
      <c r="D986" s="7"/>
      <c r="E986" s="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6">
      <c r="A987" s="27"/>
      <c r="B987" s="27"/>
      <c r="C987" s="7"/>
      <c r="D987" s="7"/>
      <c r="E987" s="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6">
      <c r="A988" s="27"/>
      <c r="B988" s="27"/>
      <c r="C988" s="7"/>
      <c r="D988" s="7"/>
      <c r="E988" s="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6">
      <c r="A989" s="27"/>
      <c r="B989" s="27"/>
      <c r="C989" s="7"/>
      <c r="D989" s="7"/>
      <c r="E989" s="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6">
      <c r="A990" s="27"/>
      <c r="B990" s="27"/>
      <c r="C990" s="7"/>
      <c r="D990" s="7"/>
      <c r="E990" s="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6">
      <c r="A991" s="27"/>
      <c r="B991" s="27"/>
      <c r="C991" s="7"/>
      <c r="D991" s="7"/>
      <c r="E991" s="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6">
      <c r="A992" s="27"/>
      <c r="B992" s="27"/>
      <c r="C992" s="7"/>
      <c r="D992" s="7"/>
      <c r="E992" s="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6">
      <c r="A993" s="27"/>
      <c r="B993" s="27"/>
      <c r="C993" s="7"/>
      <c r="D993" s="7"/>
      <c r="E993" s="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6">
      <c r="A994" s="27"/>
      <c r="B994" s="27"/>
      <c r="C994" s="7"/>
      <c r="D994" s="7"/>
      <c r="E994" s="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6">
      <c r="A995" s="27"/>
      <c r="B995" s="27"/>
      <c r="C995" s="7"/>
      <c r="D995" s="7"/>
      <c r="E995" s="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6">
      <c r="A996" s="27"/>
      <c r="B996" s="27"/>
      <c r="C996" s="7"/>
      <c r="D996" s="7"/>
      <c r="E996" s="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6">
      <c r="A997" s="27"/>
      <c r="B997" s="27"/>
      <c r="C997" s="7"/>
      <c r="D997" s="7"/>
      <c r="E997" s="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6">
      <c r="A998" s="27"/>
      <c r="B998" s="27"/>
      <c r="C998" s="7"/>
      <c r="D998" s="7"/>
      <c r="E998" s="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6">
      <c r="A999" s="27"/>
      <c r="B999" s="27"/>
      <c r="C999" s="7"/>
      <c r="D999" s="7"/>
      <c r="E999" s="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6">
      <c r="A1000" s="27"/>
      <c r="B1000" s="27"/>
      <c r="C1000" s="7"/>
      <c r="D1000" s="7"/>
      <c r="E1000" s="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50">
    <mergeCell ref="B237:E237"/>
    <mergeCell ref="B247:E247"/>
    <mergeCell ref="B248:E248"/>
    <mergeCell ref="B190:E190"/>
    <mergeCell ref="B191:E191"/>
    <mergeCell ref="B196:E196"/>
    <mergeCell ref="B198:E198"/>
    <mergeCell ref="B199:E199"/>
    <mergeCell ref="B208:E208"/>
    <mergeCell ref="B209:E209"/>
    <mergeCell ref="B218:E218"/>
    <mergeCell ref="B219:E219"/>
    <mergeCell ref="B224:E224"/>
    <mergeCell ref="B225:E225"/>
    <mergeCell ref="B236:E236"/>
    <mergeCell ref="B159:E159"/>
    <mergeCell ref="B166:E166"/>
    <mergeCell ref="B167:E167"/>
    <mergeCell ref="B178:E178"/>
    <mergeCell ref="B179:E179"/>
    <mergeCell ref="B140:E140"/>
    <mergeCell ref="B146:E146"/>
    <mergeCell ref="B148:E148"/>
    <mergeCell ref="B149:E149"/>
    <mergeCell ref="B158:E158"/>
    <mergeCell ref="B119:E119"/>
    <mergeCell ref="B124:E124"/>
    <mergeCell ref="B128:E128"/>
    <mergeCell ref="B133:E133"/>
    <mergeCell ref="B139:E139"/>
    <mergeCell ref="B75:E75"/>
    <mergeCell ref="B93:E93"/>
    <mergeCell ref="B94:E94"/>
    <mergeCell ref="B115:E115"/>
    <mergeCell ref="B116:E116"/>
    <mergeCell ref="B54:E54"/>
    <mergeCell ref="B55:E55"/>
    <mergeCell ref="B66:E66"/>
    <mergeCell ref="B67:E67"/>
    <mergeCell ref="B74:E74"/>
    <mergeCell ref="B27:E27"/>
    <mergeCell ref="B39:E39"/>
    <mergeCell ref="B40:E40"/>
    <mergeCell ref="B47:E47"/>
    <mergeCell ref="B48:E48"/>
    <mergeCell ref="B2:E2"/>
    <mergeCell ref="B3:E3"/>
    <mergeCell ref="B6:E6"/>
    <mergeCell ref="B7:E7"/>
    <mergeCell ref="B26:E26"/>
  </mergeCells>
  <conditionalFormatting sqref="D9:D24">
    <cfRule type="notContainsBlanks" dxfId="128" priority="1">
      <formula>LEN(TRIM(D9))&gt;0</formula>
    </cfRule>
    <cfRule type="containsBlanks" dxfId="127" priority="2">
      <formula>LEN(TRIM(D9))=0</formula>
    </cfRule>
  </conditionalFormatting>
  <conditionalFormatting sqref="D29:D37">
    <cfRule type="notContainsBlanks" dxfId="126" priority="3">
      <formula>LEN(TRIM(D29))&gt;0</formula>
    </cfRule>
    <cfRule type="containsBlanks" dxfId="125" priority="4">
      <formula>LEN(TRIM(D29))=0</formula>
    </cfRule>
  </conditionalFormatting>
  <conditionalFormatting sqref="D42:D45">
    <cfRule type="notContainsBlanks" dxfId="124" priority="5">
      <formula>LEN(TRIM(D42))&gt;0</formula>
    </cfRule>
    <cfRule type="containsBlanks" dxfId="123" priority="6">
      <formula>LEN(TRIM(D42))=0</formula>
    </cfRule>
  </conditionalFormatting>
  <conditionalFormatting sqref="D50:D52">
    <cfRule type="notContainsBlanks" dxfId="122" priority="7">
      <formula>LEN(TRIM(D50))&gt;0</formula>
    </cfRule>
    <cfRule type="containsBlanks" dxfId="121" priority="8">
      <formula>LEN(TRIM(D50))=0</formula>
    </cfRule>
  </conditionalFormatting>
  <conditionalFormatting sqref="D57:D64">
    <cfRule type="notContainsBlanks" dxfId="120" priority="9">
      <formula>LEN(TRIM(D57))&gt;0</formula>
    </cfRule>
    <cfRule type="containsBlanks" dxfId="119" priority="10">
      <formula>LEN(TRIM(D57))=0</formula>
    </cfRule>
  </conditionalFormatting>
  <conditionalFormatting sqref="D69:D72">
    <cfRule type="notContainsBlanks" dxfId="118" priority="11">
      <formula>LEN(TRIM(D69))&gt;0</formula>
    </cfRule>
    <cfRule type="containsBlanks" dxfId="117" priority="12">
      <formula>LEN(TRIM(D69))=0</formula>
    </cfRule>
  </conditionalFormatting>
  <conditionalFormatting sqref="D77:D91">
    <cfRule type="notContainsBlanks" dxfId="116" priority="13">
      <formula>LEN(TRIM(D77))&gt;0</formula>
    </cfRule>
    <cfRule type="containsBlanks" dxfId="115" priority="14">
      <formula>LEN(TRIM(D77))=0</formula>
    </cfRule>
  </conditionalFormatting>
  <conditionalFormatting sqref="D96:D113">
    <cfRule type="containsBlanks" dxfId="114" priority="16">
      <formula>LEN(TRIM(D96))=0</formula>
    </cfRule>
    <cfRule type="notContainsBlanks" dxfId="113" priority="15">
      <formula>LEN(TRIM(D96))&gt;0</formula>
    </cfRule>
  </conditionalFormatting>
  <conditionalFormatting sqref="D118 D120:D123 D125:D132 D134:D137">
    <cfRule type="notContainsBlanks" dxfId="112" priority="17">
      <formula>LEN(TRIM(D118))&gt;0</formula>
    </cfRule>
    <cfRule type="containsBlanks" dxfId="111" priority="18">
      <formula>LEN(TRIM(D118))=0</formula>
    </cfRule>
  </conditionalFormatting>
  <conditionalFormatting sqref="D142:D144">
    <cfRule type="notContainsBlanks" dxfId="110" priority="19">
      <formula>LEN(TRIM(D142))&gt;0</formula>
    </cfRule>
    <cfRule type="containsBlanks" dxfId="109" priority="20">
      <formula>LEN(TRIM(D142))=0</formula>
    </cfRule>
  </conditionalFormatting>
  <conditionalFormatting sqref="D151:D157 D161:D164 D169:D176 D181:D188 D193:D194 D221:D222 D250">
    <cfRule type="notContainsBlanks" dxfId="108" priority="21" stopIfTrue="1">
      <formula>LEN(TRIM(D151))&gt;0</formula>
    </cfRule>
    <cfRule type="containsBlanks" dxfId="107" priority="22">
      <formula>LEN(TRIM(D151))=0</formula>
    </cfRule>
  </conditionalFormatting>
  <conditionalFormatting sqref="D201:D206">
    <cfRule type="notContainsBlanks" dxfId="106" priority="23">
      <formula>LEN(TRIM(D201))&gt;0</formula>
    </cfRule>
    <cfRule type="containsBlanks" dxfId="105" priority="24">
      <formula>LEN(TRIM(D201))=0</formula>
    </cfRule>
  </conditionalFormatting>
  <conditionalFormatting sqref="D211:D216">
    <cfRule type="notContainsBlanks" dxfId="104" priority="25">
      <formula>LEN(TRIM(D211))&gt;0</formula>
    </cfRule>
    <cfRule type="containsBlanks" dxfId="103" priority="26">
      <formula>LEN(TRIM(D211))=0</formula>
    </cfRule>
  </conditionalFormatting>
  <conditionalFormatting sqref="D227:D234">
    <cfRule type="notContainsBlanks" dxfId="102" priority="27">
      <formula>LEN(TRIM(D227))&gt;0</formula>
    </cfRule>
    <cfRule type="containsBlanks" dxfId="101" priority="28">
      <formula>LEN(TRIM(D227))=0</formula>
    </cfRule>
  </conditionalFormatting>
  <conditionalFormatting sqref="D239:D245">
    <cfRule type="notContainsBlanks" dxfId="100" priority="29">
      <formula>LEN(TRIM(D239))&gt;0</formula>
    </cfRule>
    <cfRule type="containsBlanks" dxfId="99" priority="30">
      <formula>LEN(TRIM(D239))=0</formula>
    </cfRule>
  </conditionalFormatting>
  <dataValidations count="1">
    <dataValidation type="list" allowBlank="1" showErrorMessage="1" sqref="D82" xr:uid="{00000000-0002-0000-0D00-000000000000}">
      <formula1>table_masks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0CECE"/>
  </sheetPr>
  <dimension ref="A1:Z1000"/>
  <sheetViews>
    <sheetView showGridLines="0" workbookViewId="0"/>
  </sheetViews>
  <sheetFormatPr baseColWidth="10" defaultColWidth="12.6640625" defaultRowHeight="13"/>
  <cols>
    <col min="1" max="1" width="3.1640625" customWidth="1"/>
    <col min="2" max="2" width="47.1640625" customWidth="1"/>
    <col min="3" max="3" width="40.1640625" customWidth="1"/>
    <col min="4" max="8" width="23.33203125" customWidth="1"/>
    <col min="9" max="9" width="3.1640625" customWidth="1"/>
    <col min="10" max="26" width="11.83203125" customWidth="1"/>
  </cols>
  <sheetData>
    <row r="1" spans="1:26" ht="15" customHeight="1">
      <c r="A1" s="27"/>
      <c r="B1" s="133"/>
      <c r="C1" s="133"/>
      <c r="D1" s="133"/>
      <c r="E1" s="133"/>
      <c r="F1" s="133"/>
      <c r="G1" s="133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54" customHeight="1">
      <c r="A2" s="27"/>
      <c r="B2" s="140" t="s">
        <v>8685</v>
      </c>
      <c r="C2" s="140"/>
      <c r="D2" s="140"/>
      <c r="E2" s="140"/>
      <c r="F2" s="140"/>
      <c r="G2" s="140"/>
      <c r="H2" s="140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5" customHeight="1">
      <c r="A3" s="27"/>
      <c r="B3" s="141" t="s">
        <v>8581</v>
      </c>
      <c r="C3" s="141"/>
      <c r="D3" s="141"/>
      <c r="E3" s="141"/>
      <c r="F3" s="141"/>
      <c r="G3" s="141"/>
      <c r="H3" s="141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6">
      <c r="A4" s="27"/>
      <c r="B4" s="133"/>
      <c r="C4" s="133"/>
      <c r="D4" s="133"/>
      <c r="E4" s="133"/>
      <c r="F4" s="133"/>
      <c r="G4" s="133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6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33.75" customHeight="1">
      <c r="A6" s="27"/>
      <c r="B6" s="142" t="s">
        <v>8686</v>
      </c>
      <c r="C6" s="142"/>
      <c r="D6" s="142"/>
      <c r="E6" s="142"/>
      <c r="F6" s="142"/>
      <c r="G6" s="142"/>
      <c r="H6" s="142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6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33.75" customHeight="1">
      <c r="A8" s="27"/>
      <c r="B8" s="205" t="s">
        <v>8687</v>
      </c>
      <c r="C8" s="183"/>
      <c r="D8" s="183"/>
      <c r="E8" s="183"/>
      <c r="F8" s="183"/>
      <c r="G8" s="183"/>
      <c r="H8" s="200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9.5" customHeight="1">
      <c r="A9" s="27"/>
      <c r="B9" s="219"/>
      <c r="C9" s="183"/>
      <c r="D9" s="183"/>
      <c r="E9" s="183"/>
      <c r="F9" s="183"/>
      <c r="G9" s="183"/>
      <c r="H9" s="200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9.5" customHeight="1">
      <c r="A10" s="27"/>
      <c r="B10" s="88" t="s">
        <v>8688</v>
      </c>
      <c r="C10" s="88" t="s">
        <v>8200</v>
      </c>
      <c r="D10" s="88" t="s">
        <v>8689</v>
      </c>
      <c r="E10" s="88" t="s">
        <v>8690</v>
      </c>
      <c r="F10" s="88" t="s">
        <v>334</v>
      </c>
      <c r="G10" s="88" t="s">
        <v>8691</v>
      </c>
      <c r="H10" s="88" t="s">
        <v>8692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9.5" customHeight="1">
      <c r="A11" s="27"/>
      <c r="B11" s="30" t="s">
        <v>6784</v>
      </c>
      <c r="C11" s="13" t="e">
        <f>mgmt_cl01_az1_mgmt_pg</f>
        <v>#REF!</v>
      </c>
      <c r="D11" s="13" t="e">
        <f>mgmt_az1_mgmt_vm_vlan</f>
        <v>#REF!</v>
      </c>
      <c r="E11" s="13" t="e">
        <f>mgmt_az1_mgmt_vm_cidr</f>
        <v>#REF!</v>
      </c>
      <c r="F11" s="13" t="e">
        <f t="array" ref="F11">mgmt_az1_mgmt_vm_network</f>
        <v>#REF!</v>
      </c>
      <c r="G11" s="13" t="e">
        <f>mgmt_az1_mgmt_vm_gateway_ip</f>
        <v>#REF!</v>
      </c>
      <c r="H11" s="13" t="e">
        <f>mgmt_az1_mgmt_vm_mtu</f>
        <v>#REF!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9.5" customHeight="1">
      <c r="A12" s="27"/>
      <c r="B12" s="30" t="s">
        <v>8693</v>
      </c>
      <c r="C12" s="13" t="e">
        <f>mgmt_cl01_az1_mgmt_pg</f>
        <v>#REF!</v>
      </c>
      <c r="D12" s="13" t="e">
        <f>mgmt_az1_mgmt_vlan</f>
        <v>#REF!</v>
      </c>
      <c r="E12" s="13" t="e">
        <f>mgmt_az1_mgmt_cidr</f>
        <v>#REF!</v>
      </c>
      <c r="F12" s="13" t="e">
        <f t="array" ref="F12">mgmt_az1_mgmt_network</f>
        <v>#REF!</v>
      </c>
      <c r="G12" s="13" t="e">
        <f>mgmt_az1_mgmt_gateway_ip</f>
        <v>#REF!</v>
      </c>
      <c r="H12" s="13" t="e">
        <f>mgmt_az1_mgmt_mtu</f>
        <v>#REF!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9.5" customHeight="1">
      <c r="A13" s="27"/>
      <c r="B13" s="30" t="s">
        <v>6790</v>
      </c>
      <c r="C13" s="13" t="e">
        <f>mgmt_cl01_az1_vmotion_pg</f>
        <v>#REF!</v>
      </c>
      <c r="D13" s="13" t="e">
        <f>mgmt_az1_vmotion_vlan</f>
        <v>#REF!</v>
      </c>
      <c r="E13" s="13" t="e">
        <f>mgmt_az1_vmotion_cidr</f>
        <v>#REF!</v>
      </c>
      <c r="F13" s="13" t="e">
        <f t="array" ref="F13">mgmt_az1_vmotion_network</f>
        <v>#REF!</v>
      </c>
      <c r="G13" s="13" t="e">
        <f>mgmt_az1_vmotion_gateway_ip</f>
        <v>#REF!</v>
      </c>
      <c r="H13" s="13" t="e">
        <f>mgmt_az1_vmotion_mtu</f>
        <v>#REF!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9.5" customHeight="1">
      <c r="A14" s="27"/>
      <c r="B14" s="30" t="s">
        <v>6793</v>
      </c>
      <c r="C14" s="13" t="e">
        <f>mgmt_cl01_az1_vsan_pg</f>
        <v>#REF!</v>
      </c>
      <c r="D14" s="13" t="e">
        <f>mgmt_az1_vsan_vlan</f>
        <v>#REF!</v>
      </c>
      <c r="E14" s="13" t="e">
        <f>mgmt_az1_vsan_cidr</f>
        <v>#REF!</v>
      </c>
      <c r="F14" s="13" t="e">
        <f t="array" ref="F14">mgmt_az1_vsan_network</f>
        <v>#REF!</v>
      </c>
      <c r="G14" s="13" t="e">
        <f>mgmt_az1_vsan_gateway_ip</f>
        <v>#REF!</v>
      </c>
      <c r="H14" s="13" t="e">
        <f>mgmt_az1_vsan_mtu</f>
        <v>#REF!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9.5" customHeight="1">
      <c r="A15" s="27"/>
      <c r="B15" s="30" t="s">
        <v>6795</v>
      </c>
      <c r="C15" s="13" t="str">
        <f t="array" ref="C15">mgmt_az1_host_overlay_pg</f>
        <v>N/A</v>
      </c>
      <c r="D15" s="13" t="e">
        <f>mgmt_az1_host_overlay_vlan</f>
        <v>#REF!</v>
      </c>
      <c r="E15" s="13" t="e">
        <f>mgmt_az1_host_overlay_cidr</f>
        <v>#REF!</v>
      </c>
      <c r="F15" s="13" t="e">
        <f t="array" ref="F15">mgmt_az1_host_overlay_network</f>
        <v>#REF!</v>
      </c>
      <c r="G15" s="13" t="e">
        <f>mgmt_az1_host_overlay_gateway_ip</f>
        <v>#REF!</v>
      </c>
      <c r="H15" s="13" t="e">
        <f>mgmt_az1_host_overlay_mtu</f>
        <v>#REF!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9.5" customHeight="1">
      <c r="A16" s="27"/>
      <c r="B16" s="30" t="s">
        <v>6811</v>
      </c>
      <c r="C16" s="13" t="str">
        <f>mgmt_vrms_pg</f>
        <v>Value Missing</v>
      </c>
      <c r="D16" s="13" t="str">
        <f>mgmt_az1_vrms_vlan</f>
        <v>Value Missing</v>
      </c>
      <c r="E16" s="13">
        <f>mgmt_az1_vrms_cidr</f>
        <v>0</v>
      </c>
      <c r="F16" s="13">
        <f t="array" ref="F16">mgmt_az1_vrms_network</f>
        <v>0</v>
      </c>
      <c r="G16" s="13">
        <f>mgmt_az1_vrms_gateway_ip</f>
        <v>0</v>
      </c>
      <c r="H16" s="13" t="str">
        <f>mgmt_az1_vrms_mtu</f>
        <v>Value Missing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9.5" customHeight="1">
      <c r="A17" s="27"/>
      <c r="B17" s="30" t="s">
        <v>8694</v>
      </c>
      <c r="C17" s="13" t="e">
        <f>mgmt_cl01_az1_uplink01_pg</f>
        <v>#REF!</v>
      </c>
      <c r="D17" s="13" t="e">
        <f>mgmt_az1_uplink01_vlan</f>
        <v>#REF!</v>
      </c>
      <c r="E17" s="13" t="e">
        <f>mgmt_az1_uplink01_cidr</f>
        <v>#REF!</v>
      </c>
      <c r="F17" s="13" t="e">
        <f t="array" ref="F17">mgmt_az1_uplink01_network</f>
        <v>#REF!</v>
      </c>
      <c r="G17" s="13" t="e">
        <f>mgmt_az1_uplink01_gateway_ip</f>
        <v>#REF!</v>
      </c>
      <c r="H17" s="13" t="e">
        <f>mgmt_az1_uplink01_mtu</f>
        <v>#REF!</v>
      </c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9.5" customHeight="1">
      <c r="A18" s="27"/>
      <c r="B18" s="39" t="s">
        <v>8695</v>
      </c>
      <c r="C18" s="13" t="e">
        <f>mgmt_cl01_az1_uplink02_pg</f>
        <v>#REF!</v>
      </c>
      <c r="D18" s="13" t="e">
        <f>mgmt_az1_uplink02_vlan</f>
        <v>#REF!</v>
      </c>
      <c r="E18" s="13" t="e">
        <f>mgmt_az1_uplink02_cidr</f>
        <v>#REF!</v>
      </c>
      <c r="F18" s="13" t="e">
        <f t="array" ref="F18">mgmt_az1_uplink02_network</f>
        <v>#REF!</v>
      </c>
      <c r="G18" s="13" t="e">
        <f>mgmt_az1_uplink02_gateway_ip</f>
        <v>#REF!</v>
      </c>
      <c r="H18" s="13" t="e">
        <f>mgmt_az1_uplink02_mtu</f>
        <v>#REF!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9.5" customHeight="1">
      <c r="A19" s="27"/>
      <c r="B19" s="39" t="s">
        <v>6806</v>
      </c>
      <c r="C19" s="13" t="str">
        <f>mgmt_az1_edge_overlay_pg</f>
        <v>N/A</v>
      </c>
      <c r="D19" s="13" t="e">
        <f>mgmt_az1_edge_overlay_vlan</f>
        <v>#REF!</v>
      </c>
      <c r="E19" s="13" t="e">
        <f>mgmt_az1_edge_overlay_cidr</f>
        <v>#REF!</v>
      </c>
      <c r="F19" s="13" t="e">
        <f>mgmt_az1_edge_overlay_network</f>
        <v>#REF!</v>
      </c>
      <c r="G19" s="13" t="e">
        <f>mgmt_az1_edge_overlay_gateway_ip</f>
        <v>#REF!</v>
      </c>
      <c r="H19" s="13" t="e">
        <f>mgmt_az1_edge_overlay_mtu</f>
        <v>#REF!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9.5" customHeight="1">
      <c r="A20" s="27"/>
      <c r="B20" s="30" t="s">
        <v>6907</v>
      </c>
      <c r="C20" s="13" t="str">
        <f>mgmt_az1_rtep_overlay_pg</f>
        <v>N/A</v>
      </c>
      <c r="D20" s="13" t="e">
        <f>mgmt_az1_rtep_overlay_vlan</f>
        <v>#REF!</v>
      </c>
      <c r="E20" s="13" t="e">
        <f>mgmt_az1_rtep_overlay_cidr</f>
        <v>#REF!</v>
      </c>
      <c r="F20" s="13" t="e">
        <f t="array" ref="F20">mgmt_az1_rtep_overlay_network</f>
        <v>#REF!</v>
      </c>
      <c r="G20" s="13" t="e">
        <f>mgmt_az1_rtep_overlay_gateway_ip</f>
        <v>#REF!</v>
      </c>
      <c r="H20" s="13" t="s">
        <v>6450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6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33.75" customHeight="1">
      <c r="A22" s="27"/>
      <c r="B22" s="205" t="s">
        <v>8696</v>
      </c>
      <c r="C22" s="183"/>
      <c r="D22" s="183"/>
      <c r="E22" s="183"/>
      <c r="F22" s="183"/>
      <c r="G22" s="183"/>
      <c r="H22" s="200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9.5" customHeight="1">
      <c r="A23" s="27"/>
      <c r="B23" s="219"/>
      <c r="C23" s="183"/>
      <c r="D23" s="183"/>
      <c r="E23" s="183"/>
      <c r="F23" s="183"/>
      <c r="G23" s="183"/>
      <c r="H23" s="200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9.5" customHeight="1">
      <c r="A24" s="27"/>
      <c r="B24" s="88" t="s">
        <v>8688</v>
      </c>
      <c r="C24" s="88" t="s">
        <v>6291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9.5" customHeight="1">
      <c r="A25" s="27"/>
      <c r="B25" s="30" t="s">
        <v>6759</v>
      </c>
      <c r="C25" s="13" t="e">
        <f>mgmt_en_asn</f>
        <v>#REF!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9.5" customHeight="1">
      <c r="A26" s="27"/>
      <c r="B26" s="30" t="s">
        <v>6760</v>
      </c>
      <c r="C26" s="13" t="e">
        <f>mgmt_az1_tor1_peer_ip</f>
        <v>#REF!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9.5" customHeight="1">
      <c r="A27" s="27"/>
      <c r="B27" s="30" t="s">
        <v>6761</v>
      </c>
      <c r="C27" s="13" t="e">
        <f>mgmt_az1_tor1_peer_asn</f>
        <v>#REF!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9.5" customHeight="1">
      <c r="A28" s="27"/>
      <c r="B28" s="30" t="s">
        <v>6762</v>
      </c>
      <c r="C28" s="13" t="e">
        <f>mgmt_az1_tor1_peer_bgp_password</f>
        <v>#REF!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9.5" customHeight="1">
      <c r="A29" s="27"/>
      <c r="B29" s="30" t="s">
        <v>6764</v>
      </c>
      <c r="C29" s="13" t="e">
        <f>mgmt_az1_tor2_peer_ip</f>
        <v>#REF!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9.5" customHeight="1">
      <c r="A30" s="27"/>
      <c r="B30" s="30" t="s">
        <v>6765</v>
      </c>
      <c r="C30" s="13" t="e">
        <f>mgmt_az1_tor2_peer_asn</f>
        <v>#REF!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9.5" customHeight="1">
      <c r="A31" s="27"/>
      <c r="B31" s="30" t="s">
        <v>6766</v>
      </c>
      <c r="C31" s="13" t="e">
        <f>mgmt_az1_tor2_peer_bgp_password</f>
        <v>#REF!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6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33.75" customHeight="1">
      <c r="A33" s="27"/>
      <c r="B33" s="205" t="s">
        <v>8697</v>
      </c>
      <c r="C33" s="183"/>
      <c r="D33" s="183"/>
      <c r="E33" s="183"/>
      <c r="F33" s="183"/>
      <c r="G33" s="183"/>
      <c r="H33" s="200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9.5" customHeight="1">
      <c r="A34" s="27"/>
      <c r="B34" s="219"/>
      <c r="C34" s="183"/>
      <c r="D34" s="183"/>
      <c r="E34" s="183"/>
      <c r="F34" s="183"/>
      <c r="G34" s="183"/>
      <c r="H34" s="200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9.5" customHeight="1">
      <c r="A35" s="27"/>
      <c r="B35" s="88" t="s">
        <v>8688</v>
      </c>
      <c r="C35" s="88" t="s">
        <v>8200</v>
      </c>
      <c r="D35" s="88" t="s">
        <v>7175</v>
      </c>
      <c r="E35" s="88" t="s">
        <v>8690</v>
      </c>
      <c r="F35" s="88" t="s">
        <v>334</v>
      </c>
      <c r="G35" s="88" t="s">
        <v>7180</v>
      </c>
      <c r="H35" s="88" t="s">
        <v>7196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9.5" customHeight="1">
      <c r="A36" s="27"/>
      <c r="B36" s="30" t="s">
        <v>6784</v>
      </c>
      <c r="C36" s="13" t="e">
        <f>IF(mgmt_stretched_cluster_result="Excluded","Not Required",mgmt_cl01_az1_mgmt_vm_pg)</f>
        <v>#REF!</v>
      </c>
      <c r="D36" s="13" t="e">
        <f>IF(mgmt_stretched_cluster_result="Excluded","Not Required",mgmt_az1_mgmt_vm_vlan)</f>
        <v>#REF!</v>
      </c>
      <c r="E36" s="13" t="e">
        <f>IF(mgmt_stretched_cluster_result="Excluded","Not Required",mgmt_az1_mgmt_vm_cidr)</f>
        <v>#REF!</v>
      </c>
      <c r="F36" s="13" t="e">
        <f>IF(mgmt_stretched_cluster_result="Excluded","Not Required",mgmt_az1_mgmt_vm_network)</f>
        <v>#REF!</v>
      </c>
      <c r="G36" s="13" t="e">
        <f>IF(mgmt_stretched_cluster_result="Excluded","Not Required",mgmt_az1_mgmt_vm_gateway_ip)</f>
        <v>#REF!</v>
      </c>
      <c r="H36" s="13" t="e">
        <f>IF(mgmt_stretched_cluster_result="Excluded","Not Required",mgmt_az1_mgmt_vm_mtu)</f>
        <v>#REF!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9.5" customHeight="1">
      <c r="A37" s="27"/>
      <c r="B37" s="30" t="s">
        <v>8693</v>
      </c>
      <c r="C37" s="13" t="e">
        <f>mgmt_cl01_az2_mgmt_pg</f>
        <v>#REF!</v>
      </c>
      <c r="D37" s="13" t="e">
        <f>mgmt_az2_mgmt_vlan</f>
        <v>#REF!</v>
      </c>
      <c r="E37" s="13" t="e">
        <f>mgmt_az2_mgmt_cidr</f>
        <v>#REF!</v>
      </c>
      <c r="F37" s="13" t="e">
        <f>mgmt_az2_mgmt_network</f>
        <v>#REF!</v>
      </c>
      <c r="G37" s="13" t="e">
        <f>mgmt_az2_mgmt_gateway_ip</f>
        <v>#REF!</v>
      </c>
      <c r="H37" s="13" t="e">
        <f>mgmt_az2_mgmt_mtu</f>
        <v>#REF!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9.5" customHeight="1">
      <c r="A38" s="27"/>
      <c r="B38" s="30" t="s">
        <v>6790</v>
      </c>
      <c r="C38" s="13" t="e">
        <f>mgmt_cl01_az2_vmotion_pg</f>
        <v>#REF!</v>
      </c>
      <c r="D38" s="13" t="e">
        <f>mgmt_az2_vmotion_vlan</f>
        <v>#REF!</v>
      </c>
      <c r="E38" s="13" t="e">
        <f>mgmt_az2_vmotion_cidr</f>
        <v>#REF!</v>
      </c>
      <c r="F38" s="13" t="e">
        <f t="array" ref="F38">mgmt_az2_vmotion_network</f>
        <v>#REF!</v>
      </c>
      <c r="G38" s="13" t="e">
        <f>mgmt_az2_vmotion_gateway_ip</f>
        <v>#REF!</v>
      </c>
      <c r="H38" s="13" t="e">
        <f>mgmt_az2_vmotion_mtu</f>
        <v>#REF!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9.5" customHeight="1">
      <c r="A39" s="27"/>
      <c r="B39" s="30" t="s">
        <v>6793</v>
      </c>
      <c r="C39" s="13" t="e">
        <f>mgmt_cl01_az2_vsan_pg</f>
        <v>#REF!</v>
      </c>
      <c r="D39" s="13" t="e">
        <f>mgmt_az2_vsan_vlan</f>
        <v>#REF!</v>
      </c>
      <c r="E39" s="13" t="e">
        <f>mgmt_az2_vsan_cidr</f>
        <v>#REF!</v>
      </c>
      <c r="F39" s="13" t="e">
        <f>mgmt_az2_vsan_network</f>
        <v>#REF!</v>
      </c>
      <c r="G39" s="13" t="e">
        <f>mgmt_az2_vsan_gateway_ip</f>
        <v>#REF!</v>
      </c>
      <c r="H39" s="13" t="e">
        <f>mgmt_az2_vsan_mtu</f>
        <v>#REF!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9.5" customHeight="1">
      <c r="A40" s="27"/>
      <c r="B40" s="30" t="s">
        <v>6795</v>
      </c>
      <c r="C40" s="13" t="str">
        <f>mgmt_az2_host_overlay_pg</f>
        <v>N/A</v>
      </c>
      <c r="D40" s="13" t="e">
        <f>mgmt_az2_host_overlay_vlan</f>
        <v>#REF!</v>
      </c>
      <c r="E40" s="13" t="e">
        <f>mgmt_az2_host_overlay_cidr</f>
        <v>#REF!</v>
      </c>
      <c r="F40" s="13" t="e">
        <f>mgmt_az2_host_overlay_network</f>
        <v>#REF!</v>
      </c>
      <c r="G40" s="13" t="e">
        <f>mgmt_az2_host_overlay_gateway_ip</f>
        <v>#REF!</v>
      </c>
      <c r="H40" s="13" t="e">
        <f>IF(mgmt_stretched_cluster_result="Excluded","Not Required",mgmt_az2_host_overlay_mtu)</f>
        <v>#REF!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9.5" customHeight="1">
      <c r="A41" s="27"/>
      <c r="B41" s="30" t="s">
        <v>8698</v>
      </c>
      <c r="C41" s="13" t="str">
        <f>mgmt_vrms_pg</f>
        <v>Value Missing</v>
      </c>
      <c r="D41" s="13" t="str">
        <f>mgmt_az2_vrms_vlan</f>
        <v>Value Missing</v>
      </c>
      <c r="E41" s="13">
        <f>mgmt_az2_vrms_cidr</f>
        <v>0</v>
      </c>
      <c r="F41" s="13">
        <f t="array" ref="F41">mgmt_az2_vrms_network</f>
        <v>0</v>
      </c>
      <c r="G41" s="13">
        <f>mgmt_az2_vrms_gateway_ip</f>
        <v>0</v>
      </c>
      <c r="H41" s="13">
        <f>mgmt_az2_vrms_mtu</f>
        <v>0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9.5" customHeight="1">
      <c r="A42" s="27"/>
      <c r="B42" s="30" t="s">
        <v>8694</v>
      </c>
      <c r="C42" s="13" t="e">
        <f>IF(mgmt_stretched_cluster_result="Excluded","Not Required",mgmt_cl01_az1_uplink01_pg)</f>
        <v>#REF!</v>
      </c>
      <c r="D42" s="13" t="e">
        <f>IF(mgmt_stretched_cluster_result="Excluded","Not Required",mgmt_az2_uplink01_vlan)</f>
        <v>#REF!</v>
      </c>
      <c r="E42" s="13" t="e">
        <f>IF(mgmt_stretched_cluster_result="Excluded","Not Required",mgmt_az2_uplink01_cidr)</f>
        <v>#REF!</v>
      </c>
      <c r="F42" s="13" t="e">
        <f>IF(mgmt_stretched_cluster_result="Excluded","Not Required",mgmt_az2_uplink01_network)</f>
        <v>#REF!</v>
      </c>
      <c r="G42" s="13" t="e">
        <f>IF(mgmt_stretched_cluster_result="Excluded","Not Required",mgmt_az2_uplink01_gateway_ip)</f>
        <v>#REF!</v>
      </c>
      <c r="H42" s="13" t="e">
        <f>IF(mgmt_stretched_cluster_result="Excluded","Not Required",mgmt_az2_uplink01_mtu)</f>
        <v>#REF!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9.5" customHeight="1">
      <c r="A43" s="27"/>
      <c r="B43" s="39" t="s">
        <v>8695</v>
      </c>
      <c r="C43" s="13" t="e">
        <f>mgmt_cl01_az2_uplink01_pg</f>
        <v>#REF!</v>
      </c>
      <c r="D43" s="13" t="e">
        <f>mgmt_az2_uplink02_vlan</f>
        <v>#REF!</v>
      </c>
      <c r="E43" s="13" t="e">
        <f>IF(mgmt_stretched_cluster_result="Excluded","Not Required",mgmt_az2_uplink02_cidr)</f>
        <v>#REF!</v>
      </c>
      <c r="F43" s="13" t="e">
        <f>IF(mgmt_stretched_cluster_result="Excluded","Not Required",mgmt_az2_uplink02_network)</f>
        <v>#REF!</v>
      </c>
      <c r="G43" s="13" t="e">
        <f>IF(mgmt_stretched_cluster_result="Excluded","Not Required",mgmt_az2_uplink02_gateway_ip)</f>
        <v>#REF!</v>
      </c>
      <c r="H43" s="13" t="e">
        <f>IF(mgmt_stretched_cluster_result="Excluded","Not Required",mgmt_az2_uplink02_mtu)</f>
        <v>#REF!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9.5" customHeight="1">
      <c r="A44" s="27"/>
      <c r="B44" s="39" t="s">
        <v>6806</v>
      </c>
      <c r="C44" s="13" t="str">
        <f t="array" ref="C44">mgmt_az2_edge_overlay_pg</f>
        <v>N/A</v>
      </c>
      <c r="D44" s="13" t="e">
        <f>mgmt_az2_edge_overlay_vlan</f>
        <v>#REF!</v>
      </c>
      <c r="E44" s="13" t="e">
        <f>IF(mgmt_stretched_cluster_result="Excluded","Not Required",mgmt_az1_edge_overlay_cidr)</f>
        <v>#REF!</v>
      </c>
      <c r="F44" s="13" t="e">
        <f>IF(mgmt_stretched_cluster_result="Excluded","Not Required",mgmt_az1_edge_overlay_network)</f>
        <v>#REF!</v>
      </c>
      <c r="G44" s="13" t="e">
        <f>IF(mgmt_stretched_cluster_result="Excluded","Not Required",mgmt_az1_edge_overlay_gateway_ip)</f>
        <v>#REF!</v>
      </c>
      <c r="H44" s="13" t="e">
        <f>IF(mgmt_stretched_cluster_result="Excluded","Not Required",mgmt_az1_edge_overlay_mtu)</f>
        <v>#REF!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9.5" customHeight="1">
      <c r="A45" s="27"/>
      <c r="B45" s="30" t="s">
        <v>6907</v>
      </c>
      <c r="C45" s="13" t="str">
        <f>mgmt_az1_rtep_overlay_pg</f>
        <v>N/A</v>
      </c>
      <c r="D45" s="13" t="e">
        <f>mgmt_az1_rtep_overlay_vlan</f>
        <v>#REF!</v>
      </c>
      <c r="E45" s="13" t="e">
        <f>mgmt_az1_rtep_overlay_cidr</f>
        <v>#REF!</v>
      </c>
      <c r="F45" s="13" t="e">
        <f>mgmt_az1_rtep_overlay_network</f>
        <v>#REF!</v>
      </c>
      <c r="G45" s="13" t="e">
        <f>mgmt_az2_rtep_overlay_gateway_ip</f>
        <v>#REF!</v>
      </c>
      <c r="H45" s="13" t="s">
        <v>6450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33.75" customHeight="1">
      <c r="A47" s="27"/>
      <c r="B47" s="205" t="s">
        <v>8699</v>
      </c>
      <c r="C47" s="183"/>
      <c r="D47" s="183"/>
      <c r="E47" s="183"/>
      <c r="F47" s="183"/>
      <c r="G47" s="183"/>
      <c r="H47" s="200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9.5" customHeight="1">
      <c r="A48" s="27"/>
      <c r="B48" s="219"/>
      <c r="C48" s="183"/>
      <c r="D48" s="183"/>
      <c r="E48" s="183"/>
      <c r="F48" s="183"/>
      <c r="G48" s="183"/>
      <c r="H48" s="200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9.5" customHeight="1">
      <c r="A49" s="27"/>
      <c r="B49" s="88" t="s">
        <v>8688</v>
      </c>
      <c r="C49" s="88" t="s">
        <v>6291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9.5" customHeight="1">
      <c r="A50" s="27"/>
      <c r="B50" s="30" t="s">
        <v>6759</v>
      </c>
      <c r="C50" s="13" t="e">
        <f>IF(mgmt_stretched_cluster_result="Excluded","Not Required",mgmt_en_asn)</f>
        <v>#REF!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9.5" customHeight="1">
      <c r="A51" s="27"/>
      <c r="B51" s="30" t="s">
        <v>6760</v>
      </c>
      <c r="C51" s="13" t="e">
        <f>IF(mgmt_stretched_cluster_result="Excluded","Not Required",mgmt_az1_tor1_peer_ip)</f>
        <v>#REF!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9.5" customHeight="1">
      <c r="A52" s="27"/>
      <c r="B52" s="30" t="s">
        <v>6761</v>
      </c>
      <c r="C52" s="13" t="e">
        <f>IF(mgmt_stretched_cluster_result="Excluded","Not Required",mgmt_az1_tor1_peer_asn)</f>
        <v>#REF!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9.5" customHeight="1">
      <c r="A53" s="27"/>
      <c r="B53" s="30" t="s">
        <v>6762</v>
      </c>
      <c r="C53" s="13" t="e">
        <f>IF(mgmt_stretched_cluster_result="Excluded","Not Required",mgmt_az1_tor1_peer_bgp_password)</f>
        <v>#REF!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9.5" customHeight="1">
      <c r="A54" s="27"/>
      <c r="B54" s="30" t="s">
        <v>6764</v>
      </c>
      <c r="C54" s="13" t="e">
        <f>IF(mgmt_stretched_cluster_result="Excluded","Not Required",mgmt_az1_tor2_peer_ip)</f>
        <v>#REF!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9.5" customHeight="1">
      <c r="A55" s="27"/>
      <c r="B55" s="30" t="s">
        <v>6765</v>
      </c>
      <c r="C55" s="13" t="e">
        <f>IF(mgmt_stretched_cluster_result="Excluded","Not Required",mgmt_az1_tor2_peer_asn)</f>
        <v>#REF!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9.5" customHeight="1">
      <c r="A56" s="27"/>
      <c r="B56" s="30" t="s">
        <v>6766</v>
      </c>
      <c r="C56" s="13" t="e">
        <f>IF(mgmt_stretched_cluster_result="Excluded","Not Required",mgmt_az1_tor2_peer_bgp_password)</f>
        <v>#REF!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6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33.75" customHeight="1">
      <c r="A58" s="27"/>
      <c r="B58" s="205" t="s">
        <v>8697</v>
      </c>
      <c r="C58" s="183"/>
      <c r="D58" s="183"/>
      <c r="E58" s="183"/>
      <c r="F58" s="183"/>
      <c r="G58" s="183"/>
      <c r="H58" s="200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9.5" customHeight="1">
      <c r="A59" s="27"/>
      <c r="B59" s="219"/>
      <c r="C59" s="183"/>
      <c r="D59" s="183"/>
      <c r="E59" s="183"/>
      <c r="F59" s="183"/>
      <c r="G59" s="183"/>
      <c r="H59" s="200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9.5" customHeight="1">
      <c r="A60" s="27"/>
      <c r="B60" s="88" t="s">
        <v>8688</v>
      </c>
      <c r="C60" s="88" t="s">
        <v>8200</v>
      </c>
      <c r="D60" s="88" t="s">
        <v>7175</v>
      </c>
      <c r="E60" s="88" t="s">
        <v>8690</v>
      </c>
      <c r="F60" s="88" t="s">
        <v>334</v>
      </c>
      <c r="G60" s="88" t="s">
        <v>7180</v>
      </c>
      <c r="H60" s="88" t="s">
        <v>7196</v>
      </c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9.5" customHeight="1">
      <c r="A61" s="27"/>
      <c r="B61" s="30" t="s">
        <v>6784</v>
      </c>
      <c r="C61" s="13" t="e">
        <f>IF(mgmt_stretched_cluster_result="Excluded","Not Required",mgmt_witness_mgmt_pg)</f>
        <v>#REF!</v>
      </c>
      <c r="D61" s="13" t="e">
        <f>IF(mgmt_stretched_cluster_result="Excluded","Not Required",mgmt_witnessaz_mgmt_vlan)</f>
        <v>#REF!</v>
      </c>
      <c r="E61" s="13" t="e">
        <f>IF(mgmt_stretched_cluster_result="Excluded","Not Required",mgmt_witnessaz_mgmt_cidr)</f>
        <v>#REF!</v>
      </c>
      <c r="F61" s="13" t="e">
        <f>IF(mgmt_stretched_cluster_result="Excluded","Not Required",mgmt_witnessaz_mgmt_cidr)</f>
        <v>#REF!</v>
      </c>
      <c r="G61" s="13" t="e">
        <f>IF(mgmt_stretched_cluster_result="Excluded","Not Required",mgmt_witnessaz_mgmt_gateway_ip)</f>
        <v>#REF!</v>
      </c>
      <c r="H61" s="13" t="e">
        <f>IF(mgmt_stretched_cluster_result="Excluded","Not Required",mgmt_witnessaz_mgmt_mtu)</f>
        <v>#REF!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31.5" customHeight="1">
      <c r="A63" s="27"/>
      <c r="B63" s="205" t="s">
        <v>8700</v>
      </c>
      <c r="C63" s="183"/>
      <c r="D63" s="183"/>
      <c r="E63" s="183"/>
      <c r="F63" s="183"/>
      <c r="G63" s="183"/>
      <c r="H63" s="200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9.5" customHeight="1">
      <c r="A64" s="27"/>
      <c r="B64" s="219" t="s">
        <v>8701</v>
      </c>
      <c r="C64" s="183"/>
      <c r="D64" s="183"/>
      <c r="E64" s="183"/>
      <c r="F64" s="183"/>
      <c r="G64" s="183"/>
      <c r="H64" s="200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9.5" customHeight="1">
      <c r="A65" s="27"/>
      <c r="B65" s="88" t="s">
        <v>8688</v>
      </c>
      <c r="C65" s="88" t="s">
        <v>6716</v>
      </c>
      <c r="D65" s="88" t="s">
        <v>6786</v>
      </c>
      <c r="E65" s="88" t="s">
        <v>8702</v>
      </c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9.5" customHeight="1">
      <c r="A66" s="27"/>
      <c r="B66" s="30" t="s">
        <v>7424</v>
      </c>
      <c r="C66" s="13" t="e">
        <f>mgmt_az1_host1_fqdn</f>
        <v>#REF!</v>
      </c>
      <c r="D66" s="13" t="e">
        <f>mgmt_az1_host1_hostname</f>
        <v>#REF!</v>
      </c>
      <c r="E66" s="13" t="e">
        <f>mgmt_az1_host1_mgmt_ip</f>
        <v>#REF!</v>
      </c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9.5" customHeight="1">
      <c r="A67" s="27"/>
      <c r="B67" s="30" t="s">
        <v>7428</v>
      </c>
      <c r="C67" s="13" t="e">
        <f>mgmt_az1_host2_fqdn</f>
        <v>#REF!</v>
      </c>
      <c r="D67" s="13" t="e">
        <f>mgmt_az1_host2_hostname</f>
        <v>#REF!</v>
      </c>
      <c r="E67" s="13" t="e">
        <f>mgmt_az1_host2_mgmt_ip</f>
        <v>#REF!</v>
      </c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9.5" customHeight="1">
      <c r="A68" s="27"/>
      <c r="B68" s="30" t="s">
        <v>7433</v>
      </c>
      <c r="C68" s="13" t="e">
        <f>mgmt_az1_host3_fqdn</f>
        <v>#REF!</v>
      </c>
      <c r="D68" s="13" t="e">
        <f>mgmt_az1_host3_hostname</f>
        <v>#REF!</v>
      </c>
      <c r="E68" s="13" t="e">
        <f>mgmt_az1_host3_mgmt_ip</f>
        <v>#REF!</v>
      </c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9.5" customHeight="1">
      <c r="A69" s="27"/>
      <c r="B69" s="30" t="s">
        <v>7439</v>
      </c>
      <c r="C69" s="13" t="e">
        <f>mgmt_az1_host4_fqdn</f>
        <v>#REF!</v>
      </c>
      <c r="D69" s="13" t="e">
        <f>mgmt_az1_host4_hostname</f>
        <v>#REF!</v>
      </c>
      <c r="E69" s="13" t="e">
        <f>mgmt_az1_host4_mgmt_ip</f>
        <v>#REF!</v>
      </c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9.5" customHeight="1">
      <c r="A70" s="27"/>
      <c r="B70" s="30" t="s">
        <v>7443</v>
      </c>
      <c r="C70" s="13" t="e">
        <f>mgmt_az1_host5_fqdn</f>
        <v>#REF!</v>
      </c>
      <c r="D70" s="13" t="e">
        <f>mgmt_az1_host5_hostname</f>
        <v>#REF!</v>
      </c>
      <c r="E70" s="13" t="e">
        <f>mgmt_az1_host5_mgmt_ip</f>
        <v>#REF!</v>
      </c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9.5" customHeight="1">
      <c r="A71" s="27"/>
      <c r="B71" s="30" t="s">
        <v>7447</v>
      </c>
      <c r="C71" s="13" t="e">
        <f>mgmt_az1_host6_fqdn</f>
        <v>#REF!</v>
      </c>
      <c r="D71" s="13" t="e">
        <f>mgmt_az1_host6_hostname</f>
        <v>#REF!</v>
      </c>
      <c r="E71" s="13" t="e">
        <f>mgmt_az1_host6_mgmt_ip</f>
        <v>#REF!</v>
      </c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9.5" customHeight="1">
      <c r="A72" s="27"/>
      <c r="B72" s="30" t="s">
        <v>7450</v>
      </c>
      <c r="C72" s="13" t="e">
        <f>mgmt_az1_host7_fqdn</f>
        <v>#REF!</v>
      </c>
      <c r="D72" s="13" t="e">
        <f>mgmt_az1_host7_hostname</f>
        <v>#REF!</v>
      </c>
      <c r="E72" s="13" t="e">
        <f>mgmt_az1_host7_mgmt_ip</f>
        <v>#REF!</v>
      </c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9.5" customHeight="1">
      <c r="A73" s="27"/>
      <c r="B73" s="30" t="s">
        <v>7453</v>
      </c>
      <c r="C73" s="13" t="e">
        <f>mgmt_az1_host8_fqdn</f>
        <v>#REF!</v>
      </c>
      <c r="D73" s="13" t="e">
        <f>mgmt_az1_host8_hostname</f>
        <v>#REF!</v>
      </c>
      <c r="E73" s="13" t="e">
        <f>mgmt_az1_host8_mgmt_ip</f>
        <v>#REF!</v>
      </c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9.5" customHeight="1">
      <c r="A74" s="27"/>
      <c r="B74" s="30" t="s">
        <v>7458</v>
      </c>
      <c r="C74" s="13" t="e">
        <f>mgmt_az1_host9_fqdn</f>
        <v>#REF!</v>
      </c>
      <c r="D74" s="13" t="e">
        <f>mgmt_az1_host9_hostname</f>
        <v>#REF!</v>
      </c>
      <c r="E74" s="13" t="e">
        <f>mgmt_az1_host9_mgmt_ip</f>
        <v>#REF!</v>
      </c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9.5" customHeight="1">
      <c r="A75" s="27"/>
      <c r="B75" s="30" t="s">
        <v>7461</v>
      </c>
      <c r="C75" s="13" t="e">
        <f>mgmt_az1_host10_fqdn</f>
        <v>#REF!</v>
      </c>
      <c r="D75" s="13" t="e">
        <f>mgmt_az1_host10_hostname</f>
        <v>#REF!</v>
      </c>
      <c r="E75" s="13" t="e">
        <f>mgmt_az1_host10_mgmt_ip</f>
        <v>#REF!</v>
      </c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9.5" customHeight="1">
      <c r="A76" s="27"/>
      <c r="B76" s="30" t="s">
        <v>7466</v>
      </c>
      <c r="C76" s="13" t="e">
        <f>mgmt_az1_host11_fqdn</f>
        <v>#REF!</v>
      </c>
      <c r="D76" s="13" t="e">
        <f>mgmt_az1_host11_hostname</f>
        <v>#REF!</v>
      </c>
      <c r="E76" s="13" t="e">
        <f>mgmt_az1_host11_mgmt_ip</f>
        <v>#REF!</v>
      </c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9.5" customHeight="1">
      <c r="A77" s="27"/>
      <c r="B77" s="30" t="s">
        <v>7471</v>
      </c>
      <c r="C77" s="13" t="e">
        <f>mgmt_az1_host12_fqdn</f>
        <v>#REF!</v>
      </c>
      <c r="D77" s="13" t="e">
        <f>mgmt_az1_host12_hostname</f>
        <v>#REF!</v>
      </c>
      <c r="E77" s="13" t="e">
        <f>mgmt_az1_host12_mgmt_ip</f>
        <v>#REF!</v>
      </c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9.5" customHeight="1">
      <c r="A78" s="27"/>
      <c r="B78" s="30" t="s">
        <v>7475</v>
      </c>
      <c r="C78" s="13" t="e">
        <f>mgmt_az1_host13_fqdn</f>
        <v>#REF!</v>
      </c>
      <c r="D78" s="13" t="e">
        <f>mgmt_az1_host13_hostname</f>
        <v>#REF!</v>
      </c>
      <c r="E78" s="13" t="e">
        <f>mgmt_az1_host13_mgmt_ip</f>
        <v>#REF!</v>
      </c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9.5" customHeight="1">
      <c r="A79" s="27"/>
      <c r="B79" s="30" t="s">
        <v>7479</v>
      </c>
      <c r="C79" s="13" t="e">
        <f>mgmt_az1_host14_fqdn</f>
        <v>#REF!</v>
      </c>
      <c r="D79" s="13" t="e">
        <f>mgmt_az1_host14_hostname</f>
        <v>#REF!</v>
      </c>
      <c r="E79" s="13" t="e">
        <f>mgmt_az1_host14_mgmt_ip</f>
        <v>#REF!</v>
      </c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9.5" customHeight="1">
      <c r="A80" s="27"/>
      <c r="B80" s="30" t="s">
        <v>7482</v>
      </c>
      <c r="C80" s="13" t="e">
        <f>mgmt_az1_host15_fqdn</f>
        <v>#REF!</v>
      </c>
      <c r="D80" s="13" t="e">
        <f>mgmt_az1_host15_hostname</f>
        <v>#REF!</v>
      </c>
      <c r="E80" s="13" t="e">
        <f>mgmt_az1_host15_mgmt_ip</f>
        <v>#REF!</v>
      </c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9.5" customHeight="1">
      <c r="A81" s="27"/>
      <c r="B81" s="30" t="s">
        <v>7485</v>
      </c>
      <c r="C81" s="13" t="e">
        <f>mgmt_az1_host16_fqdn</f>
        <v>#REF!</v>
      </c>
      <c r="D81" s="13" t="e">
        <f>mgmt_az1_host16_hostname</f>
        <v>#REF!</v>
      </c>
      <c r="E81" s="13" t="e">
        <f>mgmt_az1_host16_mgmt_ip</f>
        <v>#REF!</v>
      </c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33.75" customHeight="1">
      <c r="A83" s="27"/>
      <c r="B83" s="205" t="s">
        <v>8703</v>
      </c>
      <c r="C83" s="183"/>
      <c r="D83" s="183"/>
      <c r="E83" s="183"/>
      <c r="F83" s="183"/>
      <c r="G83" s="183"/>
      <c r="H83" s="200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9.5" customHeight="1">
      <c r="A84" s="27"/>
      <c r="B84" s="219" t="s">
        <v>8467</v>
      </c>
      <c r="C84" s="183"/>
      <c r="D84" s="183"/>
      <c r="E84" s="200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9.5" customHeight="1">
      <c r="A85" s="27"/>
      <c r="B85" s="88" t="s">
        <v>8688</v>
      </c>
      <c r="C85" s="88" t="s">
        <v>6716</v>
      </c>
      <c r="D85" s="88" t="s">
        <v>6786</v>
      </c>
      <c r="E85" s="88" t="s">
        <v>8704</v>
      </c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9.5" customHeight="1">
      <c r="A86" s="27"/>
      <c r="B86" s="30" t="s">
        <v>5983</v>
      </c>
      <c r="C86" s="13" t="e">
        <f>sddc_mgr_fqdn</f>
        <v>#REF!</v>
      </c>
      <c r="D86" s="13" t="e">
        <f>sddc_mgr_hostname</f>
        <v>#REF!</v>
      </c>
      <c r="E86" s="13" t="str">
        <f>sddc_mgr_ip</f>
        <v>#REF!</v>
      </c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9.5" customHeight="1">
      <c r="A87" s="27"/>
      <c r="B87" s="30" t="s">
        <v>6248</v>
      </c>
      <c r="C87" s="13" t="e">
        <f>mgmt_vc_fqdn</f>
        <v>#REF!</v>
      </c>
      <c r="D87" s="13" t="e">
        <f>mgmt_vc_hostname</f>
        <v>#REF!</v>
      </c>
      <c r="E87" s="13" t="str">
        <f>mgmt_vc_ip</f>
        <v>#REF!</v>
      </c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9.5" customHeight="1">
      <c r="A88" s="27"/>
      <c r="B88" s="30" t="s">
        <v>8705</v>
      </c>
      <c r="C88" s="13" t="e">
        <f>mgmt_nsxt_vip_fqdn</f>
        <v>#REF!</v>
      </c>
      <c r="D88" s="13" t="e">
        <f>mgmt_nsxt_hostname</f>
        <v>#REF!</v>
      </c>
      <c r="E88" s="13" t="str">
        <f>mgmt_nsxt_vip_ip</f>
        <v>#REF!</v>
      </c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9.5" customHeight="1">
      <c r="A89" s="27"/>
      <c r="B89" s="30" t="s">
        <v>8706</v>
      </c>
      <c r="C89" s="13" t="e">
        <f>mgmt_nsxt_mgra_fqdn</f>
        <v>#REF!</v>
      </c>
      <c r="D89" s="13" t="e">
        <f>mgmt_nsxt_mgra_hostname</f>
        <v>#REF!</v>
      </c>
      <c r="E89" s="13" t="str">
        <f>mgmt_nsxt_mgra_ip</f>
        <v>#REF!</v>
      </c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9.5" customHeight="1">
      <c r="A90" s="27"/>
      <c r="B90" s="30" t="s">
        <v>8707</v>
      </c>
      <c r="C90" s="13" t="e">
        <f>mgmt_nsxt_mgrb_fqdn</f>
        <v>#REF!</v>
      </c>
      <c r="D90" s="13" t="e">
        <f>mgmt_nsxt_mgrb_hostname</f>
        <v>#REF!</v>
      </c>
      <c r="E90" s="13" t="str">
        <f>mgmt_nsxt_mgrb_ip</f>
        <v>#REF!</v>
      </c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9.5" customHeight="1">
      <c r="A91" s="27"/>
      <c r="B91" s="30" t="s">
        <v>8708</v>
      </c>
      <c r="C91" s="13" t="e">
        <f>mgmt_nsxt_mgrc_fqdn</f>
        <v>#REF!</v>
      </c>
      <c r="D91" s="13" t="e">
        <f>mgmt_nsxt_mgrc_hostname</f>
        <v>#REF!</v>
      </c>
      <c r="E91" s="13" t="str">
        <f>mgmt_nsxt_mgrc_ip</f>
        <v>#REF!</v>
      </c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9.5" customHeight="1">
      <c r="A92" s="27"/>
      <c r="B92" s="30" t="s">
        <v>8709</v>
      </c>
      <c r="C92" s="13" t="e">
        <f>mgmt_az1_en1_fqdn</f>
        <v>#REF!</v>
      </c>
      <c r="D92" s="13" t="e">
        <f>mgmt_az1_en1_hostname</f>
        <v>#REF!</v>
      </c>
      <c r="E92" s="13" t="e">
        <f>mgmt_az1_en1_mgmt_cidr</f>
        <v>#REF!</v>
      </c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9.5" customHeight="1">
      <c r="A93" s="27"/>
      <c r="B93" s="30" t="s">
        <v>8710</v>
      </c>
      <c r="C93" s="13" t="e">
        <f>mgmt_az1_en2_fqdn</f>
        <v>#REF!</v>
      </c>
      <c r="D93" s="13" t="e">
        <f>mgmt_az1_en2_hostname</f>
        <v>#REF!</v>
      </c>
      <c r="E93" s="13" t="e">
        <f>mgmt_az1_en2_mgmt_cidr</f>
        <v>#REF!</v>
      </c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9.5" customHeight="1">
      <c r="A94" s="27"/>
      <c r="B94" s="30" t="s">
        <v>8711</v>
      </c>
      <c r="C94" s="13" t="e">
        <f>xreg_vrops_nodea_fqdn</f>
        <v>#REF!</v>
      </c>
      <c r="D94" s="13" t="e">
        <f>xreg_vrops_nodea_hostname</f>
        <v>#REF!</v>
      </c>
      <c r="E94" s="13" t="e">
        <f>xreg_vrops_nodea_ip</f>
        <v>#REF!</v>
      </c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9.5" customHeight="1">
      <c r="A95" s="27"/>
      <c r="B95" s="30" t="s">
        <v>7505</v>
      </c>
      <c r="C95" s="13" t="e">
        <f>xreg_vrops_nodeb_fqdn</f>
        <v>#REF!</v>
      </c>
      <c r="D95" s="13" t="e">
        <f>xreg_vrops_nodeb_hostname</f>
        <v>#REF!</v>
      </c>
      <c r="E95" s="13" t="e">
        <f>xreg_vrops_nodeb_ip</f>
        <v>#REF!</v>
      </c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9.5" customHeight="1">
      <c r="A96" s="27"/>
      <c r="B96" s="30" t="s">
        <v>7510</v>
      </c>
      <c r="C96" s="13" t="e">
        <f>xreg_vrops_nodec_fqdn</f>
        <v>#REF!</v>
      </c>
      <c r="D96" s="13" t="e">
        <f>xreg_vrops_nodec_hostname</f>
        <v>#REF!</v>
      </c>
      <c r="E96" s="13" t="e">
        <f>xreg_vrops_nodec_ip</f>
        <v>#REF!</v>
      </c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9.5" customHeight="1">
      <c r="A97" s="27"/>
      <c r="B97" s="30" t="s">
        <v>8712</v>
      </c>
      <c r="C97" s="13" t="e">
        <f>xreg_vrops_virtual_fqdn</f>
        <v>#REF!</v>
      </c>
      <c r="D97" s="13" t="e">
        <f>xreg_vrops_virtual_hostname</f>
        <v>#REF!</v>
      </c>
      <c r="E97" s="13" t="e">
        <f>xreg_vrops_virtual_ip</f>
        <v>#REF!</v>
      </c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9.5" customHeight="1">
      <c r="A98" s="27"/>
      <c r="B98" s="30" t="s">
        <v>8148</v>
      </c>
      <c r="C98" s="13" t="e">
        <f>xreg_vra_virtual_fqdn</f>
        <v>#REF!</v>
      </c>
      <c r="D98" s="13" t="e">
        <f>xreg_vra_virtual_hostname</f>
        <v>#REF!</v>
      </c>
      <c r="E98" s="13" t="e">
        <f>xreg_vra_virtual_ip</f>
        <v>#REF!</v>
      </c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9.5" customHeight="1">
      <c r="A99" s="27"/>
      <c r="B99" s="30" t="s">
        <v>8713</v>
      </c>
      <c r="C99" s="13" t="s">
        <v>6450</v>
      </c>
      <c r="D99" s="13" t="s">
        <v>6450</v>
      </c>
      <c r="E99" s="13" t="e">
        <f>xreg_vra_nodea_ip</f>
        <v>#REF!</v>
      </c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9.5" customHeight="1">
      <c r="A100" s="27"/>
      <c r="B100" s="30" t="s">
        <v>8714</v>
      </c>
      <c r="C100" s="13" t="s">
        <v>6450</v>
      </c>
      <c r="D100" s="13" t="s">
        <v>6450</v>
      </c>
      <c r="E100" s="13" t="e">
        <f>xreg_vra_nodeb_ip</f>
        <v>#REF!</v>
      </c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9.5" customHeight="1">
      <c r="A101" s="27"/>
      <c r="B101" s="30" t="s">
        <v>8715</v>
      </c>
      <c r="C101" s="13" t="s">
        <v>6450</v>
      </c>
      <c r="D101" s="13" t="s">
        <v>6450</v>
      </c>
      <c r="E101" s="13" t="e">
        <f>xreg_vra_nodec_ip</f>
        <v>#REF!</v>
      </c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9.5" customHeight="1">
      <c r="A102" s="27"/>
      <c r="B102" s="30" t="s">
        <v>8716</v>
      </c>
      <c r="C102" s="13" t="s">
        <v>6450</v>
      </c>
      <c r="D102" s="13" t="s">
        <v>6450</v>
      </c>
      <c r="E102" s="13" t="e">
        <f>xreg_vra_noded_ip</f>
        <v>#REF!</v>
      </c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9.5" customHeight="1">
      <c r="A103" s="27"/>
      <c r="B103" s="30" t="s">
        <v>8717</v>
      </c>
      <c r="C103" s="13" t="e">
        <f>flt_vidb_vip_fqdn</f>
        <v>#REF!</v>
      </c>
      <c r="D103" s="13" t="e">
        <f t="array" ref="D103">flt_vidb_hostname</f>
        <v>#REF!</v>
      </c>
      <c r="E103" s="13" t="e">
        <f>flt_vidb_vip_ip</f>
        <v>#REF!</v>
      </c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9.5" customHeight="1">
      <c r="A104" s="27"/>
      <c r="B104" s="30" t="s">
        <v>8718</v>
      </c>
      <c r="C104" s="13" t="s">
        <v>6450</v>
      </c>
      <c r="D104" s="13" t="s">
        <v>6450</v>
      </c>
      <c r="E104" s="13" t="e">
        <f>flt_vidb_nodea_ip</f>
        <v>#NAME?</v>
      </c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9.5" customHeight="1">
      <c r="A105" s="27"/>
      <c r="B105" s="30" t="s">
        <v>8719</v>
      </c>
      <c r="C105" s="13" t="s">
        <v>6450</v>
      </c>
      <c r="D105" s="13" t="s">
        <v>6450</v>
      </c>
      <c r="E105" s="13" t="e">
        <f>flt_vidb_nodeb_ip</f>
        <v>#NAME?</v>
      </c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9.5" customHeight="1">
      <c r="A106" s="27"/>
      <c r="B106" s="30" t="s">
        <v>8720</v>
      </c>
      <c r="C106" s="13" t="s">
        <v>6450</v>
      </c>
      <c r="D106" s="13" t="s">
        <v>6450</v>
      </c>
      <c r="E106" s="13" t="e">
        <f>flt_vidb_nodec_ip</f>
        <v>#NAME?</v>
      </c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9.5" customHeight="1">
      <c r="A107" s="27"/>
      <c r="B107" s="30" t="s">
        <v>8721</v>
      </c>
      <c r="C107" s="13" t="s">
        <v>6450</v>
      </c>
      <c r="D107" s="13" t="s">
        <v>6450</v>
      </c>
      <c r="E107" s="13" t="e">
        <f>flt_vidb_noded_ip</f>
        <v>#NAME?</v>
      </c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9.5" customHeight="1">
      <c r="A108" s="27"/>
      <c r="B108" s="30" t="s">
        <v>8722</v>
      </c>
      <c r="C108" s="13" t="s">
        <v>6450</v>
      </c>
      <c r="D108" s="13" t="s">
        <v>6450</v>
      </c>
      <c r="E108" s="13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6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33.75" customHeight="1">
      <c r="A110" s="27"/>
      <c r="B110" s="205" t="s">
        <v>8723</v>
      </c>
      <c r="C110" s="183"/>
      <c r="D110" s="183"/>
      <c r="E110" s="183"/>
      <c r="F110" s="183"/>
      <c r="G110" s="183"/>
      <c r="H110" s="200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9.5" customHeight="1">
      <c r="A111" s="27"/>
      <c r="B111" s="219" t="s">
        <v>8701</v>
      </c>
      <c r="C111" s="183"/>
      <c r="D111" s="183"/>
      <c r="E111" s="183"/>
      <c r="F111" s="183"/>
      <c r="G111" s="183"/>
      <c r="H111" s="200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9.5" customHeight="1">
      <c r="A112" s="27"/>
      <c r="B112" s="88" t="s">
        <v>8688</v>
      </c>
      <c r="C112" s="88" t="s">
        <v>6716</v>
      </c>
      <c r="D112" s="88" t="s">
        <v>6786</v>
      </c>
      <c r="E112" s="88" t="s">
        <v>8702</v>
      </c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9.5" customHeight="1">
      <c r="A113" s="27"/>
      <c r="B113" s="30" t="s">
        <v>7424</v>
      </c>
      <c r="C113" s="13" t="e">
        <f>mgmt_az2_host1_fqdn</f>
        <v>#REF!</v>
      </c>
      <c r="D113" s="13" t="e">
        <f>mgmt_az2_host1_hostname</f>
        <v>#REF!</v>
      </c>
      <c r="E113" s="13" t="e">
        <f>mgmt_az2_host1_mgmt_ip</f>
        <v>#REF!</v>
      </c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9.5" customHeight="1">
      <c r="A114" s="27"/>
      <c r="B114" s="30" t="s">
        <v>7428</v>
      </c>
      <c r="C114" s="13" t="e">
        <f>mgmt_az2_host2_fqdn</f>
        <v>#REF!</v>
      </c>
      <c r="D114" s="13" t="e">
        <f>mgmt_az2_host2_hostname</f>
        <v>#REF!</v>
      </c>
      <c r="E114" s="13" t="e">
        <f>mgmt_az2_host2_mgmt_ip</f>
        <v>#REF!</v>
      </c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9.5" customHeight="1">
      <c r="A115" s="27"/>
      <c r="B115" s="30" t="s">
        <v>7433</v>
      </c>
      <c r="C115" s="13" t="e">
        <f>mgmt_az2_host3_fqdn</f>
        <v>#REF!</v>
      </c>
      <c r="D115" s="13" t="e">
        <f>mgmt_az2_host3_hostname</f>
        <v>#REF!</v>
      </c>
      <c r="E115" s="13" t="e">
        <f>mgmt_az2_host3_mgmt_ip</f>
        <v>#REF!</v>
      </c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9.5" customHeight="1">
      <c r="A116" s="27"/>
      <c r="B116" s="30" t="s">
        <v>7439</v>
      </c>
      <c r="C116" s="13" t="e">
        <f>mgmt_az2_host4_fqdn</f>
        <v>#REF!</v>
      </c>
      <c r="D116" s="13" t="e">
        <f>mgmt_az2_host4_hostname</f>
        <v>#REF!</v>
      </c>
      <c r="E116" s="13" t="e">
        <f>mgmt_az2_host4_mgmt_ip</f>
        <v>#REF!</v>
      </c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9.5" customHeight="1">
      <c r="A117" s="27"/>
      <c r="B117" s="30" t="s">
        <v>7443</v>
      </c>
      <c r="C117" s="13" t="e">
        <f>mgmt_az2_host5_fqdn</f>
        <v>#REF!</v>
      </c>
      <c r="D117" s="13" t="e">
        <f>mgmt_az2_host5_hostname</f>
        <v>#REF!</v>
      </c>
      <c r="E117" s="13" t="e">
        <f>mgmt_az2_host5_mgmt_ip</f>
        <v>#REF!</v>
      </c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9.5" customHeight="1">
      <c r="A118" s="27"/>
      <c r="B118" s="30" t="s">
        <v>7447</v>
      </c>
      <c r="C118" s="13" t="e">
        <f>mgmt_az2_host6_fqdn</f>
        <v>#REF!</v>
      </c>
      <c r="D118" s="13" t="e">
        <f>mgmt_az2_host6_hostname</f>
        <v>#REF!</v>
      </c>
      <c r="E118" s="13" t="e">
        <f>mgmt_az2_host6_mgmt_ip</f>
        <v>#REF!</v>
      </c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9.5" customHeight="1">
      <c r="A119" s="27"/>
      <c r="B119" s="30" t="s">
        <v>7450</v>
      </c>
      <c r="C119" s="13" t="e">
        <f>mgmt_az2_host7_fqdn</f>
        <v>#REF!</v>
      </c>
      <c r="D119" s="13" t="e">
        <f>mgmt_az2_host7_hostname</f>
        <v>#REF!</v>
      </c>
      <c r="E119" s="13" t="e">
        <f>mgmt_az2_host7_mgmt_ip</f>
        <v>#REF!</v>
      </c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9.5" customHeight="1">
      <c r="A120" s="27"/>
      <c r="B120" s="30" t="s">
        <v>7453</v>
      </c>
      <c r="C120" s="13" t="e">
        <f>mgmt_az2_host8_fqdn</f>
        <v>#REF!</v>
      </c>
      <c r="D120" s="13" t="e">
        <f>mgmt_az2_host8_hostname</f>
        <v>#REF!</v>
      </c>
      <c r="E120" s="13" t="e">
        <f>mgmt_az2_host8_mgmt_ip</f>
        <v>#REF!</v>
      </c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9.5" customHeight="1">
      <c r="A121" s="27"/>
      <c r="B121" s="30" t="s">
        <v>7458</v>
      </c>
      <c r="C121" s="13" t="e">
        <f>mgmt_az2_host9_fqdn</f>
        <v>#REF!</v>
      </c>
      <c r="D121" s="13" t="e">
        <f>mgmt_az2_host9_hostname</f>
        <v>#REF!</v>
      </c>
      <c r="E121" s="13" t="e">
        <f>mgmt_az2_host9_mgmt_ip</f>
        <v>#REF!</v>
      </c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9.5" customHeight="1">
      <c r="A122" s="27"/>
      <c r="B122" s="30" t="s">
        <v>7461</v>
      </c>
      <c r="C122" s="13" t="e">
        <f>mgmt_az2_host10_fqdn</f>
        <v>#REF!</v>
      </c>
      <c r="D122" s="13" t="e">
        <f>mgmt_az2_host10_hostname</f>
        <v>#REF!</v>
      </c>
      <c r="E122" s="13" t="e">
        <f>mgmt_az2_host10_mgmt_ip</f>
        <v>#REF!</v>
      </c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9.5" customHeight="1">
      <c r="A123" s="27"/>
      <c r="B123" s="30" t="s">
        <v>7466</v>
      </c>
      <c r="C123" s="13" t="e">
        <f>mgmt_az2_host11_fqdn</f>
        <v>#REF!</v>
      </c>
      <c r="D123" s="13" t="e">
        <f>mgmt_az2_host11_hostname</f>
        <v>#REF!</v>
      </c>
      <c r="E123" s="13" t="e">
        <f>mgmt_az2_host11_mgmt_ip</f>
        <v>#REF!</v>
      </c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9.5" customHeight="1">
      <c r="A124" s="27"/>
      <c r="B124" s="30" t="s">
        <v>7471</v>
      </c>
      <c r="C124" s="13" t="e">
        <f>mgmt_az2_host12_fqdn</f>
        <v>#REF!</v>
      </c>
      <c r="D124" s="13" t="e">
        <f>mgmt_az2_host12_hostname</f>
        <v>#REF!</v>
      </c>
      <c r="E124" s="13" t="e">
        <f>mgmt_az2_host12_mgmt_ip</f>
        <v>#REF!</v>
      </c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9.5" customHeight="1">
      <c r="A125" s="27"/>
      <c r="B125" s="30" t="s">
        <v>7475</v>
      </c>
      <c r="C125" s="13" t="e">
        <f>mgmt_az2_host13_fqdn</f>
        <v>#REF!</v>
      </c>
      <c r="D125" s="13" t="e">
        <f>mgmt_az2_host13_hostname</f>
        <v>#REF!</v>
      </c>
      <c r="E125" s="13" t="e">
        <f>mgmt_az2_host13_mgmt_ip</f>
        <v>#REF!</v>
      </c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9.5" customHeight="1">
      <c r="A126" s="27"/>
      <c r="B126" s="30" t="s">
        <v>7479</v>
      </c>
      <c r="C126" s="13" t="e">
        <f>mgmt_az2_host14_fqdn</f>
        <v>#REF!</v>
      </c>
      <c r="D126" s="13" t="e">
        <f>mgmt_az2_host14_hostname</f>
        <v>#REF!</v>
      </c>
      <c r="E126" s="13" t="e">
        <f>mgmt_az2_host14_mgmt_ip</f>
        <v>#REF!</v>
      </c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9.5" customHeight="1">
      <c r="A127" s="27"/>
      <c r="B127" s="30" t="s">
        <v>7482</v>
      </c>
      <c r="C127" s="13" t="e">
        <f>mgmt_az2_host15_fqdn</f>
        <v>#REF!</v>
      </c>
      <c r="D127" s="13" t="e">
        <f>mgmt_az2_host15_hostname</f>
        <v>#REF!</v>
      </c>
      <c r="E127" s="13" t="e">
        <f>mgmt_az2_host15_mgmt_ip</f>
        <v>#REF!</v>
      </c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9.5" customHeight="1">
      <c r="A128" s="27"/>
      <c r="B128" s="30" t="s">
        <v>7485</v>
      </c>
      <c r="C128" s="13" t="e">
        <f>mgmt_az2_host16_fqdn</f>
        <v>#REF!</v>
      </c>
      <c r="D128" s="13" t="e">
        <f>mgmt_az2_host16_hostname</f>
        <v>#REF!</v>
      </c>
      <c r="E128" s="13" t="e">
        <f>mgmt_az2_host16_mgmt_ip</f>
        <v>#REF!</v>
      </c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6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33.75" customHeight="1">
      <c r="A130" s="27"/>
      <c r="B130" s="230" t="s">
        <v>8724</v>
      </c>
      <c r="C130" s="177"/>
      <c r="D130" s="177"/>
      <c r="E130" s="177"/>
      <c r="F130" s="177"/>
      <c r="G130" s="177"/>
      <c r="H130" s="178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31.5" customHeight="1">
      <c r="A132" s="27"/>
      <c r="B132" s="205" t="s">
        <v>8725</v>
      </c>
      <c r="C132" s="183"/>
      <c r="D132" s="183"/>
      <c r="E132" s="183"/>
      <c r="F132" s="183"/>
      <c r="G132" s="183"/>
      <c r="H132" s="200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9.5" customHeight="1">
      <c r="A133" s="27"/>
      <c r="B133" s="219"/>
      <c r="C133" s="183"/>
      <c r="D133" s="183"/>
      <c r="E133" s="183"/>
      <c r="F133" s="183"/>
      <c r="G133" s="183"/>
      <c r="H133" s="200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9.5" customHeight="1">
      <c r="A134" s="27"/>
      <c r="B134" s="88" t="s">
        <v>8688</v>
      </c>
      <c r="C134" s="88" t="s">
        <v>8200</v>
      </c>
      <c r="D134" s="88" t="s">
        <v>8689</v>
      </c>
      <c r="E134" s="88" t="s">
        <v>8690</v>
      </c>
      <c r="F134" s="88" t="s">
        <v>8726</v>
      </c>
      <c r="G134" s="88" t="s">
        <v>8691</v>
      </c>
      <c r="H134" s="88" t="s">
        <v>8692</v>
      </c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9.5" customHeight="1">
      <c r="A135" s="27"/>
      <c r="B135" s="30" t="s">
        <v>6784</v>
      </c>
      <c r="C135" s="13" t="e">
        <f>wld_cl01_az1_mgmt_vm_pg</f>
        <v>#REF!</v>
      </c>
      <c r="D135" s="13" t="e">
        <f>wld_az1_mgmt_vm_vlan</f>
        <v>#REF!</v>
      </c>
      <c r="E135" s="13" t="e">
        <f>wld_az1_mgmt_vm_cidr</f>
        <v>#REF!</v>
      </c>
      <c r="F135" s="13" t="e">
        <f>wld_az1_mgmt_vm_network</f>
        <v>#REF!</v>
      </c>
      <c r="G135" s="13" t="e">
        <f>wld_az1_mgmt_vm_gateway_ip</f>
        <v>#REF!</v>
      </c>
      <c r="H135" s="13" t="e">
        <f>wld_az1_mgmt_vm_mtu</f>
        <v>#REF!</v>
      </c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9.5" customHeight="1">
      <c r="A136" s="27"/>
      <c r="B136" s="30" t="s">
        <v>8693</v>
      </c>
      <c r="C136" s="13" t="e">
        <f>wld_cl01_az1_mgmt_pg</f>
        <v>#REF!</v>
      </c>
      <c r="D136" s="13" t="e">
        <f>wld_az1_mgmt_vlan</f>
        <v>#REF!</v>
      </c>
      <c r="E136" s="13" t="e">
        <f>wld_az1_mgmt_cidr</f>
        <v>#REF!</v>
      </c>
      <c r="F136" s="13" t="e">
        <f>wld_az1_mgmt_network</f>
        <v>#REF!</v>
      </c>
      <c r="G136" s="13" t="e">
        <f>wld_az1_mgmt_gateway_ip</f>
        <v>#REF!</v>
      </c>
      <c r="H136" s="13" t="e">
        <f>wld_az1_mgmt_mtu</f>
        <v>#REF!</v>
      </c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9.5" customHeight="1">
      <c r="A137" s="27"/>
      <c r="B137" s="30" t="s">
        <v>6790</v>
      </c>
      <c r="C137" s="13" t="e">
        <f>wld_cl01_az1_vmotion_pg</f>
        <v>#REF!</v>
      </c>
      <c r="D137" s="13" t="e">
        <f>wld_az1_vmotion_vlan</f>
        <v>#REF!</v>
      </c>
      <c r="E137" s="13" t="e">
        <f>wld_az1_vmotion_cidr</f>
        <v>#REF!</v>
      </c>
      <c r="F137" s="13" t="e">
        <f>wld_az1_vmotion_network</f>
        <v>#REF!</v>
      </c>
      <c r="G137" s="13" t="e">
        <f>wld_az1_vmotion_gateway_ip</f>
        <v>#REF!</v>
      </c>
      <c r="H137" s="13" t="e">
        <f>wld_az1_vmotion_mtu</f>
        <v>#REF!</v>
      </c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9.5" customHeight="1">
      <c r="A138" s="27"/>
      <c r="B138" s="30" t="s">
        <v>6793</v>
      </c>
      <c r="C138" s="13" t="e">
        <f>wld_cl01_az1_principal_storage_pg</f>
        <v>#REF!</v>
      </c>
      <c r="D138" s="13" t="e">
        <f>wld_az1_principal_storage_vlan</f>
        <v>#REF!</v>
      </c>
      <c r="E138" s="13" t="e">
        <f>wld_az1_principal_storage_cidr</f>
        <v>#REF!</v>
      </c>
      <c r="F138" s="13" t="e">
        <f>wld_az1_principal_storage_network</f>
        <v>#REF!</v>
      </c>
      <c r="G138" s="13" t="e">
        <f>wld_az1_principal_storage_gateway_ip</f>
        <v>#REF!</v>
      </c>
      <c r="H138" s="13" t="e">
        <f>wld_az1_principal_storage_mtu</f>
        <v>#REF!</v>
      </c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9.5" customHeight="1">
      <c r="A139" s="27"/>
      <c r="B139" s="30" t="s">
        <v>6795</v>
      </c>
      <c r="C139" s="13" t="str">
        <f>wld_az1_host_overlay_pg</f>
        <v>N/A</v>
      </c>
      <c r="D139" s="13" t="e">
        <f>wld_az1_host_overlay_vlan</f>
        <v>#REF!</v>
      </c>
      <c r="E139" s="13" t="e">
        <f>wld_az1_host_overlay_cidr</f>
        <v>#REF!</v>
      </c>
      <c r="F139" s="13" t="e">
        <f>wld_az1_host_overlay_network</f>
        <v>#REF!</v>
      </c>
      <c r="G139" s="13" t="e">
        <f>wld_az1_host_overlay_gateway_ip</f>
        <v>#REF!</v>
      </c>
      <c r="H139" s="13" t="e">
        <f>wld_az1_host_overlay_mtu</f>
        <v>#REF!</v>
      </c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9.5" customHeight="1">
      <c r="A140" s="27"/>
      <c r="B140" s="30" t="s">
        <v>8698</v>
      </c>
      <c r="C140" s="13" t="str">
        <f>wld_vrms_pg</f>
        <v>Value Missing</v>
      </c>
      <c r="D140" s="13" t="str">
        <f>wld_az1_vrms_vlan</f>
        <v>Value Missing</v>
      </c>
      <c r="E140" s="13" t="str">
        <f>wld_az1_vrms_cidr</f>
        <v>Value Missing</v>
      </c>
      <c r="F140" s="13" t="str">
        <f>wld_az1_vrms_network</f>
        <v>Value Missing</v>
      </c>
      <c r="G140" s="13" t="str">
        <f>wld_az1_vrms_gateway_ip</f>
        <v>Value Missing</v>
      </c>
      <c r="H140" s="13" t="str">
        <f>wld_az1_vrms_mtu</f>
        <v>Value Missing</v>
      </c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9.5" customHeight="1">
      <c r="A141" s="27"/>
      <c r="B141" s="30" t="s">
        <v>8694</v>
      </c>
      <c r="C141" s="13" t="e">
        <f>wld_cl01_az1_uplink01_pg</f>
        <v>#REF!</v>
      </c>
      <c r="D141" s="13" t="e">
        <f>wld_az1_uplink01_vlan</f>
        <v>#REF!</v>
      </c>
      <c r="E141" s="13" t="e">
        <f>wld_az1_uplink01_cidr</f>
        <v>#REF!</v>
      </c>
      <c r="F141" s="13" t="e">
        <f>wld_az1_uplink01_network</f>
        <v>#REF!</v>
      </c>
      <c r="G141" s="13" t="e">
        <f>wld_az1_uplink01_gateway_ip</f>
        <v>#REF!</v>
      </c>
      <c r="H141" s="13" t="e">
        <f>wld_az1_uplink01_mtu</f>
        <v>#REF!</v>
      </c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9.5" customHeight="1">
      <c r="A142" s="27"/>
      <c r="B142" s="39" t="s">
        <v>8695</v>
      </c>
      <c r="C142" s="13" t="e">
        <f>wld_cl01_az1_uplink02_pg</f>
        <v>#REF!</v>
      </c>
      <c r="D142" s="13" t="e">
        <f>wld_az1_uplink02_vlan</f>
        <v>#REF!</v>
      </c>
      <c r="E142" s="13" t="e">
        <f>wld_az1_uplink02_cidr</f>
        <v>#REF!</v>
      </c>
      <c r="F142" s="13" t="e">
        <f>wld_az1_uplink02_network</f>
        <v>#REF!</v>
      </c>
      <c r="G142" s="13" t="e">
        <f>wld_az1_uplink02_gateway_ip</f>
        <v>#REF!</v>
      </c>
      <c r="H142" s="13" t="e">
        <f>wld_az1_uplink02_mtu</f>
        <v>#REF!</v>
      </c>
      <c r="I142" s="123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9.5" customHeight="1">
      <c r="A143" s="27"/>
      <c r="B143" s="39" t="s">
        <v>6806</v>
      </c>
      <c r="C143" s="13" t="str">
        <f>wld_az1_edge_overlay_pg</f>
        <v>N/A</v>
      </c>
      <c r="D143" s="13" t="e">
        <f>wld_az1_edge_overlay_vlan</f>
        <v>#REF!</v>
      </c>
      <c r="E143" s="13" t="e">
        <f>wld_az1_edge_overlay_cidr</f>
        <v>#REF!</v>
      </c>
      <c r="F143" s="13" t="e">
        <f>wld_az1_edge_overlay_network</f>
        <v>#REF!</v>
      </c>
      <c r="G143" s="13" t="e">
        <f>wld_az1_edge_overlay_gateway_ip</f>
        <v>#REF!</v>
      </c>
      <c r="H143" s="13" t="str">
        <f>wld_az1_edge_overlay_mtu</f>
        <v>N/A</v>
      </c>
      <c r="I143" s="123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9.5" customHeight="1">
      <c r="A144" s="27"/>
      <c r="B144" s="30" t="s">
        <v>6907</v>
      </c>
      <c r="C144" s="13" t="str">
        <f>wld_az1_rtep_overlay_pg</f>
        <v>N/A</v>
      </c>
      <c r="D144" s="13" t="e">
        <f>wld_az1_rtep_overlay_vlan</f>
        <v>#REF!</v>
      </c>
      <c r="E144" s="13" t="e">
        <f>wld_az1_rtep_overlay_cidr</f>
        <v>#REF!</v>
      </c>
      <c r="F144" s="13" t="e">
        <f>wld_az1_rtep_overlay_network</f>
        <v>#REF!</v>
      </c>
      <c r="G144" s="13" t="e">
        <f>wld_az1_rtep_overlay_gateway_ip</f>
        <v>#REF!</v>
      </c>
      <c r="H144" s="13">
        <f>wld_az1_rtep_overlay_mtu</f>
        <v>0</v>
      </c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6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33.75" customHeight="1">
      <c r="A146" s="27"/>
      <c r="B146" s="205" t="s">
        <v>8727</v>
      </c>
      <c r="C146" s="183"/>
      <c r="D146" s="183"/>
      <c r="E146" s="183"/>
      <c r="F146" s="183"/>
      <c r="G146" s="183"/>
      <c r="H146" s="200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9.5" customHeight="1">
      <c r="A147" s="27"/>
      <c r="B147" s="219"/>
      <c r="C147" s="183"/>
      <c r="D147" s="183"/>
      <c r="E147" s="183"/>
      <c r="F147" s="183"/>
      <c r="G147" s="183"/>
      <c r="H147" s="200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9.5" customHeight="1">
      <c r="A148" s="27"/>
      <c r="B148" s="88" t="s">
        <v>8688</v>
      </c>
      <c r="C148" s="88" t="s">
        <v>6291</v>
      </c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9.5" customHeight="1">
      <c r="A149" s="27"/>
      <c r="B149" s="30" t="s">
        <v>6759</v>
      </c>
      <c r="C149" s="13" t="e">
        <f>wld_en_asn</f>
        <v>#REF!</v>
      </c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9.5" customHeight="1">
      <c r="A150" s="27"/>
      <c r="B150" s="30" t="s">
        <v>6760</v>
      </c>
      <c r="C150" s="13" t="e">
        <f>wld_az1_tor1_peer_ip</f>
        <v>#REF!</v>
      </c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9.5" customHeight="1">
      <c r="A151" s="27"/>
      <c r="B151" s="30" t="s">
        <v>6761</v>
      </c>
      <c r="C151" s="13" t="e">
        <f>wld_az1_tor1_peer_asn</f>
        <v>#REF!</v>
      </c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9.5" customHeight="1">
      <c r="A152" s="27"/>
      <c r="B152" s="30" t="s">
        <v>6762</v>
      </c>
      <c r="C152" s="13" t="e">
        <f>wld_az1_tor1_peer_bgp_password</f>
        <v>#REF!</v>
      </c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9.5" customHeight="1">
      <c r="A153" s="27"/>
      <c r="B153" s="30" t="s">
        <v>6764</v>
      </c>
      <c r="C153" s="13" t="e">
        <f>wld_az1_tor2_peer_ip</f>
        <v>#REF!</v>
      </c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9.5" customHeight="1">
      <c r="A154" s="27"/>
      <c r="B154" s="30" t="s">
        <v>6765</v>
      </c>
      <c r="C154" s="13" t="e">
        <f>wld_az1_tor2_peer_asn</f>
        <v>#REF!</v>
      </c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9.5" customHeight="1">
      <c r="A155" s="27"/>
      <c r="B155" s="30" t="s">
        <v>6766</v>
      </c>
      <c r="C155" s="13" t="e">
        <f>wld_az1_tor2_peer_bgp_password</f>
        <v>#REF!</v>
      </c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33.75" customHeight="1">
      <c r="A157" s="27"/>
      <c r="B157" s="205" t="s">
        <v>8728</v>
      </c>
      <c r="C157" s="183"/>
      <c r="D157" s="183"/>
      <c r="E157" s="183"/>
      <c r="F157" s="183"/>
      <c r="G157" s="183"/>
      <c r="H157" s="200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9.5" customHeight="1">
      <c r="A158" s="27"/>
      <c r="B158" s="219"/>
      <c r="C158" s="183"/>
      <c r="D158" s="183"/>
      <c r="E158" s="183"/>
      <c r="F158" s="183"/>
      <c r="G158" s="183"/>
      <c r="H158" s="200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9.5" customHeight="1">
      <c r="A159" s="27"/>
      <c r="B159" s="88" t="s">
        <v>8688</v>
      </c>
      <c r="C159" s="88" t="s">
        <v>8200</v>
      </c>
      <c r="D159" s="88" t="s">
        <v>7175</v>
      </c>
      <c r="E159" s="88" t="s">
        <v>7700</v>
      </c>
      <c r="F159" s="88" t="s">
        <v>334</v>
      </c>
      <c r="G159" s="88" t="s">
        <v>7180</v>
      </c>
      <c r="H159" s="88" t="s">
        <v>7196</v>
      </c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9.5" customHeight="1">
      <c r="A160" s="27"/>
      <c r="B160" s="30" t="s">
        <v>6784</v>
      </c>
      <c r="C160" s="13" t="e">
        <f>IF(wld_stretched_cluster_result="Excluded","Not Required",wld_cl01_az1_mgmt_vm_pg)</f>
        <v>#REF!</v>
      </c>
      <c r="D160" s="13" t="e">
        <f>IF(wld_stretched_cluster_result="Excluded","Not Required",wld_az1_mgmt_vm_vlan)</f>
        <v>#REF!</v>
      </c>
      <c r="E160" s="13" t="e">
        <f>IF(wld_stretched_cluster_result="Excluded","Not Required",wld_az1_mgmt_vm_cidr)</f>
        <v>#REF!</v>
      </c>
      <c r="F160" s="13" t="e">
        <f>IF(wld_stretched_cluster_result="Excluded","Not Required",wld_az1_mgmt_vm_network)</f>
        <v>#REF!</v>
      </c>
      <c r="G160" s="13" t="e">
        <f>IF(wld_stretched_cluster_result="Excluded","Not Required",wld_az1_mgmt_vm_gateway_ip)</f>
        <v>#REF!</v>
      </c>
      <c r="H160" s="13" t="e">
        <f>IF(wld_stretched_cluster_result="Excluded","Not Required",wld_az1_mgmt_vm_mtu)</f>
        <v>#REF!</v>
      </c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9.5" customHeight="1">
      <c r="A161" s="27"/>
      <c r="B161" s="30" t="s">
        <v>8693</v>
      </c>
      <c r="C161" s="13" t="e">
        <f>wld_cl01_az2_mgmt_pg</f>
        <v>#REF!</v>
      </c>
      <c r="D161" s="13" t="e">
        <f>wld_az2_mgmt_vlan</f>
        <v>#REF!</v>
      </c>
      <c r="E161" s="13" t="e">
        <f>wld_az2_mgmt_cidr</f>
        <v>#REF!</v>
      </c>
      <c r="F161" s="13" t="e">
        <f t="array" ref="F161">wld_az2_mgmt_network</f>
        <v>#REF!</v>
      </c>
      <c r="G161" s="13" t="e">
        <f>wld_az2_mgmt_gateway_ip</f>
        <v>#REF!</v>
      </c>
      <c r="H161" s="13" t="e">
        <f>wld_az2_mgmt_mtu</f>
        <v>#REF!</v>
      </c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9.5" customHeight="1">
      <c r="A162" s="27"/>
      <c r="B162" s="30" t="s">
        <v>6790</v>
      </c>
      <c r="C162" s="13" t="e">
        <f>wld_cl01_az2_vmotion_pg</f>
        <v>#REF!</v>
      </c>
      <c r="D162" s="13" t="e">
        <f>wld_az2_vmotion_vlan</f>
        <v>#REF!</v>
      </c>
      <c r="E162" s="13" t="e">
        <f>wld_az2_vmotion_cidr</f>
        <v>#REF!</v>
      </c>
      <c r="F162" s="13" t="e">
        <f>wld_az2_vmotion_network</f>
        <v>#REF!</v>
      </c>
      <c r="G162" s="13" t="e">
        <f>wld_az2_vmotion_gateway_ip</f>
        <v>#REF!</v>
      </c>
      <c r="H162" s="13" t="e">
        <f>wld_az2_vmotion_mtu</f>
        <v>#REF!</v>
      </c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9.5" customHeight="1">
      <c r="A163" s="27"/>
      <c r="B163" s="30" t="s">
        <v>6793</v>
      </c>
      <c r="C163" s="13" t="e">
        <f>wld_cl01_az2_principal_storage_pg</f>
        <v>#REF!</v>
      </c>
      <c r="D163" s="13" t="e">
        <f>wld_az2_principal_storage_vlan</f>
        <v>#REF!</v>
      </c>
      <c r="E163" s="13" t="e">
        <f>wld_az2_principal_storage_cidr</f>
        <v>#REF!</v>
      </c>
      <c r="F163" s="13" t="e">
        <f>wld_az2_principal_storage_network</f>
        <v>#REF!</v>
      </c>
      <c r="G163" s="13" t="e">
        <f>wld_az2_principal_storage_gateway_ip</f>
        <v>#REF!</v>
      </c>
      <c r="H163" s="13" t="e">
        <f>wld_az2_principal_storage_mtu</f>
        <v>#REF!</v>
      </c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9.5" customHeight="1">
      <c r="A164" s="27"/>
      <c r="B164" s="30" t="s">
        <v>6795</v>
      </c>
      <c r="C164" s="13" t="str">
        <f t="array" ref="C164">wld_az2_host_overlay_pg</f>
        <v>N/A</v>
      </c>
      <c r="D164" s="13" t="e">
        <f>wld_az2_host_overlay_vlan</f>
        <v>#REF!</v>
      </c>
      <c r="E164" s="13" t="e">
        <f>wld_az2_host_overlay_cidr</f>
        <v>#REF!</v>
      </c>
      <c r="F164" s="13" t="e">
        <f>wld_az2_host_overlay_network</f>
        <v>#REF!</v>
      </c>
      <c r="G164" s="13" t="e">
        <f>wld_az2_host_overlay_gateway_ip</f>
        <v>#REF!</v>
      </c>
      <c r="H164" s="13" t="e">
        <f>wld_az2_host_overlay_mtu</f>
        <v>#REF!</v>
      </c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9.5" customHeight="1">
      <c r="A165" s="27"/>
      <c r="B165" s="30" t="s">
        <v>8698</v>
      </c>
      <c r="C165" s="13" t="str">
        <f>wld_vrms_pg</f>
        <v>Value Missing</v>
      </c>
      <c r="D165" s="13" t="str">
        <f>wld_az2_vrms_vlan</f>
        <v>Value Missing</v>
      </c>
      <c r="E165" s="13" t="str">
        <f>wld_az2_vrms_cidr</f>
        <v>Value Missing</v>
      </c>
      <c r="F165" s="13" t="str">
        <f>wld_az2_vrms_network</f>
        <v>Value Missing</v>
      </c>
      <c r="G165" s="13" t="str">
        <f>wld_az2_vrms_gateway_ip</f>
        <v>Value Missing</v>
      </c>
      <c r="H165" s="13" t="str">
        <f>wld_az2_vrms_mtu</f>
        <v>Value Missing</v>
      </c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9.5" customHeight="1">
      <c r="A166" s="27"/>
      <c r="B166" s="30" t="s">
        <v>8694</v>
      </c>
      <c r="C166" s="13" t="e">
        <f t="array" ref="C166">wld_cl01_az2_uplink01_pg</f>
        <v>#REF!</v>
      </c>
      <c r="D166" s="13" t="e">
        <f>wld_az2_uplink01_vlan</f>
        <v>#REF!</v>
      </c>
      <c r="E166" s="13" t="e">
        <f>wld_az2_uplink01_cidr</f>
        <v>#REF!</v>
      </c>
      <c r="F166" s="13" t="e">
        <f>wld_az2_uplink02_network</f>
        <v>#REF!</v>
      </c>
      <c r="G166" s="13" t="e">
        <f>wld_az2_uplink01_gateway_ip</f>
        <v>#REF!</v>
      </c>
      <c r="H166" s="13" t="e">
        <f>wld_az2_uplink01_mtu</f>
        <v>#REF!</v>
      </c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9.5" customHeight="1">
      <c r="A167" s="27"/>
      <c r="B167" s="39" t="s">
        <v>8695</v>
      </c>
      <c r="C167" s="13" t="e">
        <f t="array" ref="C167">wld_cl01_az2_uplink02_pg</f>
        <v>#REF!</v>
      </c>
      <c r="D167" s="13" t="e">
        <f>wld_az2_uplink02_vlan</f>
        <v>#REF!</v>
      </c>
      <c r="E167" s="13" t="e">
        <f>wld_az2_uplink02_cidr</f>
        <v>#REF!</v>
      </c>
      <c r="F167" s="13" t="e">
        <f>wld_az2_uplink02_network</f>
        <v>#REF!</v>
      </c>
      <c r="G167" s="13" t="e">
        <f>wld_az2_uplink02_gateway_ip</f>
        <v>#REF!</v>
      </c>
      <c r="H167" s="13" t="e">
        <f>wld_az2_uplink02_mtu</f>
        <v>#REF!</v>
      </c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9.5" customHeight="1">
      <c r="A168" s="27"/>
      <c r="B168" s="39" t="s">
        <v>6806</v>
      </c>
      <c r="C168" s="13" t="str">
        <f t="array" ref="C168">wld_az2_edge_overlay_pg</f>
        <v>N/A</v>
      </c>
      <c r="D168" s="13" t="e">
        <f>wld_az2_edge_overlay_vlan</f>
        <v>#REF!</v>
      </c>
      <c r="E168" s="13" t="e">
        <f>wld_az2_edge_overlay_cidr</f>
        <v>#REF!</v>
      </c>
      <c r="F168" s="13" t="e">
        <f>wld_az2_edge_overlay_network</f>
        <v>#REF!</v>
      </c>
      <c r="G168" s="13" t="e">
        <f>wld_az2_edge_overlay_gateway_ip</f>
        <v>#REF!</v>
      </c>
      <c r="H168" s="13" t="str">
        <f>wld_az2_edge_overlay_mtu</f>
        <v>N/A</v>
      </c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9.5" customHeight="1">
      <c r="A169" s="27"/>
      <c r="B169" s="30" t="s">
        <v>6907</v>
      </c>
      <c r="C169" s="13" t="str">
        <f>wld_az1_rtep_overlay_pg</f>
        <v>N/A</v>
      </c>
      <c r="D169" s="13" t="e">
        <f>wld_az2_rtep_overlay_vlan</f>
        <v>#REF!</v>
      </c>
      <c r="E169" s="13" t="e">
        <f>wld_az2_rtep_overlay_cidr</f>
        <v>#REF!</v>
      </c>
      <c r="F169" s="13" t="e">
        <f>wld_az1_rtep_overlay_network</f>
        <v>#REF!</v>
      </c>
      <c r="G169" s="13" t="e">
        <f>wld_az2_rtep_overlay_gateway_ip</f>
        <v>#REF!</v>
      </c>
      <c r="H169" s="13">
        <f>wld_az2_rtep_overlay_mtu</f>
        <v>0</v>
      </c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6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33.75" customHeight="1">
      <c r="A171" s="27"/>
      <c r="B171" s="205" t="s">
        <v>8729</v>
      </c>
      <c r="C171" s="183"/>
      <c r="D171" s="183"/>
      <c r="E171" s="183"/>
      <c r="F171" s="183"/>
      <c r="G171" s="183"/>
      <c r="H171" s="200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9.5" customHeight="1">
      <c r="A172" s="27"/>
      <c r="B172" s="219"/>
      <c r="C172" s="183"/>
      <c r="D172" s="183"/>
      <c r="E172" s="183"/>
      <c r="F172" s="183"/>
      <c r="G172" s="183"/>
      <c r="H172" s="200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9.5" customHeight="1">
      <c r="A173" s="27"/>
      <c r="B173" s="88" t="s">
        <v>8688</v>
      </c>
      <c r="C173" s="88" t="s">
        <v>6291</v>
      </c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9.5" customHeight="1">
      <c r="A174" s="27"/>
      <c r="B174" s="30" t="s">
        <v>6759</v>
      </c>
      <c r="C174" s="13" t="e">
        <f>wld_en_asn</f>
        <v>#REF!</v>
      </c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9.5" customHeight="1">
      <c r="A175" s="27"/>
      <c r="B175" s="30" t="s">
        <v>6760</v>
      </c>
      <c r="C175" s="13" t="e">
        <f>wld_az1_tor1_peer_ip</f>
        <v>#REF!</v>
      </c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9.5" customHeight="1">
      <c r="A176" s="27"/>
      <c r="B176" s="30" t="s">
        <v>6761</v>
      </c>
      <c r="C176" s="13" t="e">
        <f>wld_az1_tor1_peer_asn</f>
        <v>#REF!</v>
      </c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9.5" customHeight="1">
      <c r="A177" s="27"/>
      <c r="B177" s="30" t="s">
        <v>6762</v>
      </c>
      <c r="C177" s="13" t="e">
        <f>wld_az1_tor1_peer_bgp_password</f>
        <v>#REF!</v>
      </c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9.5" customHeight="1">
      <c r="A178" s="27"/>
      <c r="B178" s="30" t="s">
        <v>6764</v>
      </c>
      <c r="C178" s="13" t="e">
        <f>wld_az1_tor2_peer_ip</f>
        <v>#REF!</v>
      </c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9.5" customHeight="1">
      <c r="A179" s="27"/>
      <c r="B179" s="30" t="s">
        <v>6765</v>
      </c>
      <c r="C179" s="13" t="e">
        <f>wld_az1_tor2_peer_asn</f>
        <v>#REF!</v>
      </c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9.5" customHeight="1">
      <c r="A180" s="27"/>
      <c r="B180" s="30" t="s">
        <v>6766</v>
      </c>
      <c r="C180" s="13" t="e">
        <f>wld_az1_tor2_peer_bgp_password</f>
        <v>#REF!</v>
      </c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6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31.5" customHeight="1">
      <c r="A182" s="27"/>
      <c r="B182" s="205" t="s">
        <v>8730</v>
      </c>
      <c r="C182" s="183"/>
      <c r="D182" s="183"/>
      <c r="E182" s="183"/>
      <c r="F182" s="183"/>
      <c r="G182" s="183"/>
      <c r="H182" s="200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9.5" customHeight="1">
      <c r="A183" s="27"/>
      <c r="B183" s="219" t="s">
        <v>8701</v>
      </c>
      <c r="C183" s="183"/>
      <c r="D183" s="183"/>
      <c r="E183" s="183"/>
      <c r="F183" s="183"/>
      <c r="G183" s="183"/>
      <c r="H183" s="200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9.5" customHeight="1">
      <c r="A184" s="27"/>
      <c r="B184" s="88" t="s">
        <v>8688</v>
      </c>
      <c r="C184" s="88" t="s">
        <v>6716</v>
      </c>
      <c r="D184" s="88" t="s">
        <v>6786</v>
      </c>
      <c r="E184" s="88" t="s">
        <v>8702</v>
      </c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9.5" customHeight="1">
      <c r="A185" s="27"/>
      <c r="B185" s="30" t="s">
        <v>7424</v>
      </c>
      <c r="C185" s="13" t="e">
        <f>wld_az1_host1_fqdn</f>
        <v>#REF!</v>
      </c>
      <c r="D185" s="13" t="e">
        <f>wld_az1_host1_hostname</f>
        <v>#REF!</v>
      </c>
      <c r="E185" s="13" t="e">
        <f>wld_az1_host1_mgmt_ip</f>
        <v>#REF!</v>
      </c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9.5" customHeight="1">
      <c r="A186" s="27"/>
      <c r="B186" s="30" t="s">
        <v>7428</v>
      </c>
      <c r="C186" s="13" t="e">
        <f>wld_az1_host2_fqdn</f>
        <v>#REF!</v>
      </c>
      <c r="D186" s="13" t="e">
        <f>wld_az1_host2_hostname</f>
        <v>#REF!</v>
      </c>
      <c r="E186" s="13" t="e">
        <f>wld_az1_host2_mgmt_ip</f>
        <v>#REF!</v>
      </c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9.5" customHeight="1">
      <c r="A187" s="27"/>
      <c r="B187" s="30" t="s">
        <v>7433</v>
      </c>
      <c r="C187" s="13" t="e">
        <f>wld_az1_host3_fqdn</f>
        <v>#REF!</v>
      </c>
      <c r="D187" s="13" t="e">
        <f>wld_az1_host3_hostname</f>
        <v>#REF!</v>
      </c>
      <c r="E187" s="13" t="e">
        <f>wld_az1_host3_mgmt_ip</f>
        <v>#REF!</v>
      </c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9.5" customHeight="1">
      <c r="A188" s="27"/>
      <c r="B188" s="30" t="s">
        <v>7439</v>
      </c>
      <c r="C188" s="13" t="e">
        <f>wld_az1_host4_fqdn</f>
        <v>#REF!</v>
      </c>
      <c r="D188" s="13" t="e">
        <f>wld_az1_host4_hostname</f>
        <v>#REF!</v>
      </c>
      <c r="E188" s="13" t="e">
        <f>wld_az1_host4_mgmt_ip</f>
        <v>#REF!</v>
      </c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9.5" customHeight="1">
      <c r="A189" s="27"/>
      <c r="B189" s="30" t="s">
        <v>7443</v>
      </c>
      <c r="C189" s="13" t="e">
        <f>wld_az1_host5_fqdn</f>
        <v>#REF!</v>
      </c>
      <c r="D189" s="13" t="e">
        <f>wld_az1_host5_hostname</f>
        <v>#REF!</v>
      </c>
      <c r="E189" s="13" t="e">
        <f>wld_az1_host5_mgmt_ip</f>
        <v>#REF!</v>
      </c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9.5" customHeight="1">
      <c r="A190" s="27"/>
      <c r="B190" s="30" t="s">
        <v>7447</v>
      </c>
      <c r="C190" s="13" t="e">
        <f>wld_az1_host6_fqdn</f>
        <v>#REF!</v>
      </c>
      <c r="D190" s="13" t="e">
        <f>wld_az1_host6_hostname</f>
        <v>#REF!</v>
      </c>
      <c r="E190" s="13" t="e">
        <f>wld_az1_host6_mgmt_ip</f>
        <v>#REF!</v>
      </c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9.5" customHeight="1">
      <c r="A191" s="27"/>
      <c r="B191" s="30" t="s">
        <v>7450</v>
      </c>
      <c r="C191" s="13" t="e">
        <f>wld_az1_host7_fqdn</f>
        <v>#REF!</v>
      </c>
      <c r="D191" s="13" t="e">
        <f>wld_az1_host7_hostname</f>
        <v>#REF!</v>
      </c>
      <c r="E191" s="13" t="e">
        <f>wld_az1_host7_mgmt_ip</f>
        <v>#REF!</v>
      </c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9.5" customHeight="1">
      <c r="A192" s="27"/>
      <c r="B192" s="30" t="s">
        <v>7453</v>
      </c>
      <c r="C192" s="13" t="e">
        <f>wld_az1_host8_fqdn</f>
        <v>#REF!</v>
      </c>
      <c r="D192" s="13" t="e">
        <f>wld_az1_host8_hostname</f>
        <v>#REF!</v>
      </c>
      <c r="E192" s="13" t="e">
        <f>wld_az1_host8_mgmt_ip</f>
        <v>#REF!</v>
      </c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9.5" customHeight="1">
      <c r="A193" s="27"/>
      <c r="B193" s="30" t="s">
        <v>7458</v>
      </c>
      <c r="C193" s="13" t="e">
        <f>wld_az1_host9_fqdn</f>
        <v>#REF!</v>
      </c>
      <c r="D193" s="13" t="e">
        <f>wld_az1_host9_hostname</f>
        <v>#REF!</v>
      </c>
      <c r="E193" s="13" t="e">
        <f>wld_az1_host9_mgmt_ip</f>
        <v>#REF!</v>
      </c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9.5" customHeight="1">
      <c r="A194" s="27"/>
      <c r="B194" s="30" t="s">
        <v>7461</v>
      </c>
      <c r="C194" s="13" t="e">
        <f>wld_az1_host10_fqdn</f>
        <v>#REF!</v>
      </c>
      <c r="D194" s="13" t="e">
        <f>wld_az1_host10_hostname</f>
        <v>#REF!</v>
      </c>
      <c r="E194" s="13" t="e">
        <f>wld_az1_host10_mgmt_ip</f>
        <v>#REF!</v>
      </c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9.5" customHeight="1">
      <c r="A195" s="27"/>
      <c r="B195" s="30" t="s">
        <v>7466</v>
      </c>
      <c r="C195" s="13" t="e">
        <f>wld_az1_host11_fqdn</f>
        <v>#REF!</v>
      </c>
      <c r="D195" s="13" t="e">
        <f>wld_az1_host11_hostname</f>
        <v>#REF!</v>
      </c>
      <c r="E195" s="13" t="e">
        <f>wld_az1_host11_mgmt_ip</f>
        <v>#REF!</v>
      </c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9.5" customHeight="1">
      <c r="A196" s="27"/>
      <c r="B196" s="30" t="s">
        <v>7471</v>
      </c>
      <c r="C196" s="13" t="e">
        <f>wld_az1_host12_fqdn</f>
        <v>#REF!</v>
      </c>
      <c r="D196" s="13" t="e">
        <f>wld_az1_host12_hostname</f>
        <v>#REF!</v>
      </c>
      <c r="E196" s="13" t="e">
        <f>wld_az1_host12_mgmt_ip</f>
        <v>#REF!</v>
      </c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9.5" customHeight="1">
      <c r="A197" s="27"/>
      <c r="B197" s="30" t="s">
        <v>7475</v>
      </c>
      <c r="C197" s="13" t="e">
        <f>wld_az1_host13_fqdn</f>
        <v>#REF!</v>
      </c>
      <c r="D197" s="13" t="e">
        <f>wld_az1_host13_hostname</f>
        <v>#REF!</v>
      </c>
      <c r="E197" s="13" t="e">
        <f>wld_az1_host13_mgmt_ip</f>
        <v>#REF!</v>
      </c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9.5" customHeight="1">
      <c r="A198" s="27"/>
      <c r="B198" s="30" t="s">
        <v>7479</v>
      </c>
      <c r="C198" s="13" t="e">
        <f>wld_az1_host14_fqdn</f>
        <v>#REF!</v>
      </c>
      <c r="D198" s="13" t="e">
        <f>wld_az1_host14_hostname</f>
        <v>#REF!</v>
      </c>
      <c r="E198" s="13" t="e">
        <f>wld_az1_host14_mgmt_ip</f>
        <v>#REF!</v>
      </c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9.5" customHeight="1">
      <c r="A199" s="27"/>
      <c r="B199" s="30" t="s">
        <v>7482</v>
      </c>
      <c r="C199" s="13" t="e">
        <f>wld_az1_host15_fqdn</f>
        <v>#REF!</v>
      </c>
      <c r="D199" s="13" t="e">
        <f>wld_az1_host15_hostname</f>
        <v>#REF!</v>
      </c>
      <c r="E199" s="13" t="e">
        <f>wld_az1_host15_mgmt_ip</f>
        <v>#REF!</v>
      </c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9.5" customHeight="1">
      <c r="A200" s="27"/>
      <c r="B200" s="30" t="s">
        <v>7485</v>
      </c>
      <c r="C200" s="13" t="e">
        <f>wld_az1_host16_fqdn</f>
        <v>#REF!</v>
      </c>
      <c r="D200" s="13" t="e">
        <f>wld_az1_host16_hostname</f>
        <v>#REF!</v>
      </c>
      <c r="E200" s="13" t="e">
        <f>wld_az1_host16_mgmt_ip</f>
        <v>#REF!</v>
      </c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6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9.5" customHeight="1">
      <c r="A202" s="27"/>
      <c r="B202" s="219" t="s">
        <v>8467</v>
      </c>
      <c r="C202" s="183"/>
      <c r="D202" s="183"/>
      <c r="E202" s="183"/>
      <c r="F202" s="183"/>
      <c r="G202" s="183"/>
      <c r="H202" s="200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9.5" customHeight="1">
      <c r="A203" s="27"/>
      <c r="B203" s="88" t="s">
        <v>8688</v>
      </c>
      <c r="C203" s="88" t="s">
        <v>6716</v>
      </c>
      <c r="D203" s="88" t="s">
        <v>6786</v>
      </c>
      <c r="E203" s="88" t="s">
        <v>8704</v>
      </c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9.5" customHeight="1">
      <c r="A204" s="27"/>
      <c r="B204" s="30" t="s">
        <v>6248</v>
      </c>
      <c r="C204" s="13" t="e">
        <f>wld_vc_fqdn</f>
        <v>#REF!</v>
      </c>
      <c r="D204" s="13" t="e">
        <f>wld_vc_hostname</f>
        <v>#REF!</v>
      </c>
      <c r="E204" s="13" t="e">
        <f>wld_vc_ip</f>
        <v>#REF!</v>
      </c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9.5" customHeight="1">
      <c r="A205" s="27"/>
      <c r="B205" s="30" t="s">
        <v>8705</v>
      </c>
      <c r="C205" s="13" t="e">
        <f>wld_nsxt_vip_fqdn</f>
        <v>#REF!</v>
      </c>
      <c r="D205" s="13" t="e">
        <f>wld_nsxt_vip_fqdn</f>
        <v>#REF!</v>
      </c>
      <c r="E205" s="13" t="e">
        <f>wld_nsxt_vip_ip</f>
        <v>#REF!</v>
      </c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9.5" customHeight="1">
      <c r="A206" s="27"/>
      <c r="B206" s="30" t="s">
        <v>8706</v>
      </c>
      <c r="C206" s="13" t="e">
        <f>wld_nsxt_mgra_fqdn</f>
        <v>#REF!</v>
      </c>
      <c r="D206" s="13" t="e">
        <f>wld_nsxt_mgra_hostname</f>
        <v>#REF!</v>
      </c>
      <c r="E206" s="13" t="e">
        <f>wld_nsxt_mgra_ip</f>
        <v>#REF!</v>
      </c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9.5" customHeight="1">
      <c r="A207" s="27"/>
      <c r="B207" s="30" t="s">
        <v>8707</v>
      </c>
      <c r="C207" s="13" t="e">
        <f>wld_nsxt_mgrb_fqdn</f>
        <v>#REF!</v>
      </c>
      <c r="D207" s="13" t="e">
        <f>wld_nsxt_mgrb_hostname</f>
        <v>#REF!</v>
      </c>
      <c r="E207" s="13" t="e">
        <f>wld_nsxt_mgrb_ip</f>
        <v>#REF!</v>
      </c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9.5" customHeight="1">
      <c r="A208" s="27"/>
      <c r="B208" s="30" t="s">
        <v>8708</v>
      </c>
      <c r="C208" s="13" t="e">
        <f>wld_nsxt_mgrc_fqdn</f>
        <v>#REF!</v>
      </c>
      <c r="D208" s="13" t="e">
        <f>wld_nsxt_mgrc_hostname</f>
        <v>#REF!</v>
      </c>
      <c r="E208" s="13" t="e">
        <f>wld_nsxt_mgrc_ip</f>
        <v>#REF!</v>
      </c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9.5" customHeight="1">
      <c r="A209" s="27"/>
      <c r="B209" s="30" t="s">
        <v>8709</v>
      </c>
      <c r="C209" s="13" t="e">
        <f>wld_az1_en1_fqdn</f>
        <v>#REF!</v>
      </c>
      <c r="D209" s="13" t="e">
        <f>wld_az1_en1_hostname</f>
        <v>#REF!</v>
      </c>
      <c r="E209" s="13" t="e">
        <f>wld_az1_en1_mgmt_cidr</f>
        <v>#REF!</v>
      </c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9.5" customHeight="1">
      <c r="A210" s="27"/>
      <c r="B210" s="30" t="s">
        <v>8710</v>
      </c>
      <c r="C210" s="13" t="e">
        <f>wld_az1_en2_fqdn</f>
        <v>#REF!</v>
      </c>
      <c r="D210" s="13" t="e">
        <f>wld_az1_en2_hostname</f>
        <v>#REF!</v>
      </c>
      <c r="E210" s="13" t="e">
        <f>wld_az1_en2_mgmt_cidr</f>
        <v>#REF!</v>
      </c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6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33.75" customHeight="1">
      <c r="A212" s="27"/>
      <c r="B212" s="205" t="s">
        <v>8731</v>
      </c>
      <c r="C212" s="183"/>
      <c r="D212" s="183"/>
      <c r="E212" s="183"/>
      <c r="F212" s="183"/>
      <c r="G212" s="183"/>
      <c r="H212" s="200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9.5" customHeight="1">
      <c r="A213" s="27"/>
      <c r="B213" s="219" t="s">
        <v>8701</v>
      </c>
      <c r="C213" s="183"/>
      <c r="D213" s="183"/>
      <c r="E213" s="183"/>
      <c r="F213" s="183"/>
      <c r="G213" s="183"/>
      <c r="H213" s="200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9.5" customHeight="1">
      <c r="A214" s="27"/>
      <c r="B214" s="88" t="s">
        <v>8688</v>
      </c>
      <c r="C214" s="88" t="s">
        <v>6716</v>
      </c>
      <c r="D214" s="88" t="s">
        <v>6786</v>
      </c>
      <c r="E214" s="88" t="s">
        <v>8702</v>
      </c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9.5" customHeight="1">
      <c r="A215" s="27"/>
      <c r="B215" s="30" t="s">
        <v>7424</v>
      </c>
      <c r="C215" s="13" t="e">
        <f>wld_az2_host1_fqdn</f>
        <v>#REF!</v>
      </c>
      <c r="D215" s="13" t="e">
        <f>wld_az2_host1_hostname</f>
        <v>#REF!</v>
      </c>
      <c r="E215" s="13" t="str">
        <f>wld_az2_host1_mgmt_ip</f>
        <v>#REF!</v>
      </c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9.5" customHeight="1">
      <c r="A216" s="27"/>
      <c r="B216" s="30" t="s">
        <v>7428</v>
      </c>
      <c r="C216" s="13" t="e">
        <f>wld_az2_host2_fqdn</f>
        <v>#REF!</v>
      </c>
      <c r="D216" s="13" t="e">
        <f>wld_az2_host2_hostname</f>
        <v>#REF!</v>
      </c>
      <c r="E216" s="13" t="str">
        <f>wld_az2_host2_mgmt_ip</f>
        <v>#REF!</v>
      </c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9.5" customHeight="1">
      <c r="A217" s="27"/>
      <c r="B217" s="30" t="s">
        <v>7433</v>
      </c>
      <c r="C217" s="13" t="e">
        <f>wld_az2_host3_fqdn</f>
        <v>#REF!</v>
      </c>
      <c r="D217" s="13" t="e">
        <f>wld_az2_host3_hostname</f>
        <v>#REF!</v>
      </c>
      <c r="E217" s="13" t="str">
        <f>wld_az2_host3_mgmt_ip</f>
        <v>#REF!</v>
      </c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9.5" customHeight="1">
      <c r="A218" s="27"/>
      <c r="B218" s="30" t="s">
        <v>7439</v>
      </c>
      <c r="C218" s="13" t="e">
        <f>wld_az2_host4_fqdn</f>
        <v>#REF!</v>
      </c>
      <c r="D218" s="13" t="e">
        <f>wld_az2_host4_hostname</f>
        <v>#REF!</v>
      </c>
      <c r="E218" s="13" t="str">
        <f>wld_az2_host4_mgmt_ip</f>
        <v>#REF!</v>
      </c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9.5" customHeight="1">
      <c r="A219" s="27"/>
      <c r="B219" s="30" t="s">
        <v>7443</v>
      </c>
      <c r="C219" s="13" t="e">
        <f>wld_az2_host5_fqdn</f>
        <v>#REF!</v>
      </c>
      <c r="D219" s="13" t="e">
        <f>wld_az2_host5_hostname</f>
        <v>#REF!</v>
      </c>
      <c r="E219" s="13" t="str">
        <f>wld_az2_host5_mgmt_ip</f>
        <v>#REF!</v>
      </c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9.5" customHeight="1">
      <c r="A220" s="27"/>
      <c r="B220" s="30" t="s">
        <v>7447</v>
      </c>
      <c r="C220" s="13" t="e">
        <f>wld_az2_host6_fqdn</f>
        <v>#REF!</v>
      </c>
      <c r="D220" s="13" t="e">
        <f>wld_az2_host6_hostname</f>
        <v>#REF!</v>
      </c>
      <c r="E220" s="13" t="str">
        <f>wld_az2_host6_mgmt_ip</f>
        <v>#REF!</v>
      </c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9.5" customHeight="1">
      <c r="A221" s="27"/>
      <c r="B221" s="30" t="s">
        <v>7450</v>
      </c>
      <c r="C221" s="13" t="e">
        <f>wld_az2_host7_fqdn</f>
        <v>#REF!</v>
      </c>
      <c r="D221" s="13" t="e">
        <f>wld_az2_host7_hostname</f>
        <v>#REF!</v>
      </c>
      <c r="E221" s="13" t="str">
        <f>wld_az2_host7_mgmt_ip</f>
        <v>#REF!</v>
      </c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9.5" customHeight="1">
      <c r="A222" s="27"/>
      <c r="B222" s="30" t="s">
        <v>7453</v>
      </c>
      <c r="C222" s="13" t="e">
        <f>wld_az2_host8_fqdn</f>
        <v>#REF!</v>
      </c>
      <c r="D222" s="13" t="e">
        <f>wld_az2_host8_hostname</f>
        <v>#REF!</v>
      </c>
      <c r="E222" s="13" t="str">
        <f>wld_az2_host8_mgmt_ip</f>
        <v>#REF!</v>
      </c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9.5" customHeight="1">
      <c r="A223" s="27"/>
      <c r="B223" s="30" t="s">
        <v>7458</v>
      </c>
      <c r="C223" s="13" t="e">
        <f>wld_az2_host9_fqdn</f>
        <v>#REF!</v>
      </c>
      <c r="D223" s="13" t="e">
        <f>wld_az2_host9_hostname</f>
        <v>#REF!</v>
      </c>
      <c r="E223" s="13" t="str">
        <f>wld_az2_host9_mgmt_ip</f>
        <v>#REF!</v>
      </c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9.5" customHeight="1">
      <c r="A224" s="27"/>
      <c r="B224" s="30" t="s">
        <v>7461</v>
      </c>
      <c r="C224" s="13" t="e">
        <f>wld_az2_host10_fqdn</f>
        <v>#REF!</v>
      </c>
      <c r="D224" s="13" t="e">
        <f>wld_az2_host10_hostname</f>
        <v>#REF!</v>
      </c>
      <c r="E224" s="13" t="str">
        <f>wld_az2_host10_mgmt_ip</f>
        <v>#REF!</v>
      </c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9.5" customHeight="1">
      <c r="A225" s="27"/>
      <c r="B225" s="30" t="s">
        <v>7466</v>
      </c>
      <c r="C225" s="13" t="e">
        <f>wld_az2_host11_fqdn</f>
        <v>#REF!</v>
      </c>
      <c r="D225" s="13" t="e">
        <f>wld_az2_host11_hostname</f>
        <v>#REF!</v>
      </c>
      <c r="E225" s="13" t="str">
        <f>wld_az2_host11_mgmt_ip</f>
        <v>#REF!</v>
      </c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9.5" customHeight="1">
      <c r="A226" s="27"/>
      <c r="B226" s="30" t="s">
        <v>7471</v>
      </c>
      <c r="C226" s="13" t="e">
        <f>wld_az2_host12_fqdn</f>
        <v>#REF!</v>
      </c>
      <c r="D226" s="13" t="e">
        <f>wld_az2_host12_hostname</f>
        <v>#REF!</v>
      </c>
      <c r="E226" s="13" t="str">
        <f>wld_az2_host12_mgmt_ip</f>
        <v>#REF!</v>
      </c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9.5" customHeight="1">
      <c r="A227" s="27"/>
      <c r="B227" s="30" t="s">
        <v>7475</v>
      </c>
      <c r="C227" s="13" t="e">
        <f>wld_az2_host13_fqdn</f>
        <v>#REF!</v>
      </c>
      <c r="D227" s="13" t="e">
        <f>wld_az2_host13_hostname</f>
        <v>#REF!</v>
      </c>
      <c r="E227" s="13" t="str">
        <f>wld_az2_host13_mgmt_ip</f>
        <v>#REF!</v>
      </c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9.5" customHeight="1">
      <c r="A228" s="27"/>
      <c r="B228" s="30" t="s">
        <v>7479</v>
      </c>
      <c r="C228" s="13" t="e">
        <f>wld_az2_host14_fqdn</f>
        <v>#REF!</v>
      </c>
      <c r="D228" s="13" t="e">
        <f>wld_az2_host14_hostname</f>
        <v>#REF!</v>
      </c>
      <c r="E228" s="13" t="str">
        <f>wld_az2_host14_mgmt_ip</f>
        <v>#REF!</v>
      </c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9.5" customHeight="1">
      <c r="A229" s="27"/>
      <c r="B229" s="30" t="s">
        <v>7482</v>
      </c>
      <c r="C229" s="13" t="e">
        <f>wld_az2_host15_fqdn</f>
        <v>#REF!</v>
      </c>
      <c r="D229" s="13" t="e">
        <f>wld_az2_host15_hostname</f>
        <v>#REF!</v>
      </c>
      <c r="E229" s="13" t="str">
        <f>wld_az2_host15_mgmt_ip</f>
        <v>#REF!</v>
      </c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9.5" customHeight="1">
      <c r="A230" s="27"/>
      <c r="B230" s="30" t="s">
        <v>7485</v>
      </c>
      <c r="C230" s="13" t="e">
        <f>wld_az2_host16_fqdn</f>
        <v>#REF!</v>
      </c>
      <c r="D230" s="13" t="e">
        <f>wld_az2_host16_hostname</f>
        <v>#REF!</v>
      </c>
      <c r="E230" s="13" t="str">
        <f>wld_az2_host16_mgmt_ip</f>
        <v>#REF!</v>
      </c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6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6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6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6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6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6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6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6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6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6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6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6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6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6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6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6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6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6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6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6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6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6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6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6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6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6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6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6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6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6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6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6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6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6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6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6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6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6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6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6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6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6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6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6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6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6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6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6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6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6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6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6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6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6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6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6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6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6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6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6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6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6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6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6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6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6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6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6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6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6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6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6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6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6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6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6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6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6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6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6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6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6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6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6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6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6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6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6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6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6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6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6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6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6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6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6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6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6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6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6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6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6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6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6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6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6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6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6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6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6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6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6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6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6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6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6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6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6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6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6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6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6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6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6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6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6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6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6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6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6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6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6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6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6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6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6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6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6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6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6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6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6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6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6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6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6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6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6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6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6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6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6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6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6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6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6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6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6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6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6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6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6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6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6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6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6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6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6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6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6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6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6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6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6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6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6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6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6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6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6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6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6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6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6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6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6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6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6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6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6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6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6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6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6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6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6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6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6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6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6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6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6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6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6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6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6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6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6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6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6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6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6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6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6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6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6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6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6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6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6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6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6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6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6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6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6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6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6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6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6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6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6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6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6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6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6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6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6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6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6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6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6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6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6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6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6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6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6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6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6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6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6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6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6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6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6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6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6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6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6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6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6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6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6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6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6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6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6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6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6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6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6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6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6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6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6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6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6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6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6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6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6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6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6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6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6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6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6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6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6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6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6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6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6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6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6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6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6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6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6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6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6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6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6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6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6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6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6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6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6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6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6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6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6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6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6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6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6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6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6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6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6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6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6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6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6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6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6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6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6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6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6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6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6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6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6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6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6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6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6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6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6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6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6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6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6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6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6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6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6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6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6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6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6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6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6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6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6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6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6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6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6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6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6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6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6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6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6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6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6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6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6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6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6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6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6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6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6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6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6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6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6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6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6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6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6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6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6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6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6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6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6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6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6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6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6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6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6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6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6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6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6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6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6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6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6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6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6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6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6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6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6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6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6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6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6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6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6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6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6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6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6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6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6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6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6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6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6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6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6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6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6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6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6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6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6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6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6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6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6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6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6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6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6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6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6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6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6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6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6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6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6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6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6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6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6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6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6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6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6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6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6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6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6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6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6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6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6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6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6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6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6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6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6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6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6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6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6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6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6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6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6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6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6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6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6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6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6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6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6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6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6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6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6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6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6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6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6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6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6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6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6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6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6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6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6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6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6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6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6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6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6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6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6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6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6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6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6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6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6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6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6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6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6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6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6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6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6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6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6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6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6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6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6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6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6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6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6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6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6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6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6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6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6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6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6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6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6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6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6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6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6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6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6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6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6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6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6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6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6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6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6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6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6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6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6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6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6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6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6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6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6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6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6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6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6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6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6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6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6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6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6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6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6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6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6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6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6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6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6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6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6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6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6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6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6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6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6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6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6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6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6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6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6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6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6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6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6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6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6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6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6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6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6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6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6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6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6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6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6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6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6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6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6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6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6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6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6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6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6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6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6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6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6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6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6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6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6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6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6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6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6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6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6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6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6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6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6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6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6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6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6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6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6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6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6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6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6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6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6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6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6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6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6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6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6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6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6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6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6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6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6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6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6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6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6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6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6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6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6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6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6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6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6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6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6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6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6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6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6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6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6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6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30">
    <mergeCell ref="B147:H147"/>
    <mergeCell ref="B212:H212"/>
    <mergeCell ref="B213:H213"/>
    <mergeCell ref="B157:H157"/>
    <mergeCell ref="B158:H158"/>
    <mergeCell ref="B171:H171"/>
    <mergeCell ref="B172:H172"/>
    <mergeCell ref="B182:H182"/>
    <mergeCell ref="B183:H183"/>
    <mergeCell ref="B202:H202"/>
    <mergeCell ref="B111:H111"/>
    <mergeCell ref="B130:H130"/>
    <mergeCell ref="B132:H132"/>
    <mergeCell ref="B133:H133"/>
    <mergeCell ref="B146:H146"/>
    <mergeCell ref="B63:H63"/>
    <mergeCell ref="B64:H64"/>
    <mergeCell ref="B83:H83"/>
    <mergeCell ref="B84:E84"/>
    <mergeCell ref="B110:H110"/>
    <mergeCell ref="B34:H34"/>
    <mergeCell ref="B47:H47"/>
    <mergeCell ref="B48:H48"/>
    <mergeCell ref="B58:H58"/>
    <mergeCell ref="B59:H59"/>
    <mergeCell ref="B8:H8"/>
    <mergeCell ref="B9:H9"/>
    <mergeCell ref="B22:H22"/>
    <mergeCell ref="B23:H23"/>
    <mergeCell ref="B33:H33"/>
  </mergeCells>
  <conditionalFormatting sqref="C25:C31">
    <cfRule type="containsBlanks" dxfId="98" priority="1">
      <formula>LEN(TRIM(C25))=0</formula>
    </cfRule>
    <cfRule type="notContainsBlanks" dxfId="97" priority="2">
      <formula>LEN(TRIM(C25))&gt;0</formula>
    </cfRule>
  </conditionalFormatting>
  <conditionalFormatting sqref="C50:C56">
    <cfRule type="notContainsBlanks" dxfId="96" priority="3">
      <formula>LEN(TRIM(C50))&gt;0</formula>
    </cfRule>
  </conditionalFormatting>
  <conditionalFormatting sqref="C149:C155">
    <cfRule type="notContainsBlanks" dxfId="95" priority="4">
      <formula>LEN(TRIM(C149))&gt;0</formula>
    </cfRule>
  </conditionalFormatting>
  <conditionalFormatting sqref="C174:C180">
    <cfRule type="notContainsBlanks" dxfId="94" priority="5">
      <formula>LEN(TRIM(C174))&gt;0</formula>
    </cfRule>
  </conditionalFormatting>
  <conditionalFormatting sqref="C86:E108 C204:E210">
    <cfRule type="notContainsBlanks" dxfId="93" priority="6">
      <formula>LEN(TRIM(C86))&gt;0</formula>
    </cfRule>
    <cfRule type="containsBlanks" dxfId="92" priority="7">
      <formula>LEN(TRIM(C86))=0</formula>
    </cfRule>
  </conditionalFormatting>
  <conditionalFormatting sqref="C11:H20 C36:H45 C135:H144 C160:H169">
    <cfRule type="notContainsBlanks" dxfId="91" priority="8">
      <formula>LEN(TRIM(C11))&gt;0</formula>
    </cfRule>
    <cfRule type="containsBlanks" dxfId="90" priority="9">
      <formula>LEN(TRIM(C11))=0</formula>
    </cfRule>
  </conditionalFormatting>
  <conditionalFormatting sqref="C61:H61">
    <cfRule type="notContainsBlanks" dxfId="89" priority="10">
      <formula>LEN(TRIM(C61))&gt;0</formula>
    </cfRule>
    <cfRule type="containsBlanks" dxfId="88" priority="11">
      <formula>LEN(TRIM(C61))=0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EAADB"/>
  </sheetPr>
  <dimension ref="A1:Z1000"/>
  <sheetViews>
    <sheetView showGridLines="0" workbookViewId="0"/>
  </sheetViews>
  <sheetFormatPr baseColWidth="10" defaultColWidth="12.6640625" defaultRowHeight="13"/>
  <cols>
    <col min="1" max="1" width="3.1640625" customWidth="1"/>
    <col min="2" max="2" width="71.6640625" customWidth="1"/>
    <col min="3" max="4" width="90.83203125" customWidth="1"/>
    <col min="5" max="5" width="68.33203125" customWidth="1"/>
    <col min="6" max="6" width="3.1640625" customWidth="1"/>
    <col min="7" max="26" width="12.33203125" customWidth="1"/>
  </cols>
  <sheetData>
    <row r="1" spans="1:26" ht="15.75" customHeigh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54" customHeight="1">
      <c r="A2" s="51"/>
      <c r="B2" s="231" t="s">
        <v>8732</v>
      </c>
      <c r="C2" s="183"/>
      <c r="D2" s="183"/>
      <c r="E2" s="18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9.5" customHeight="1">
      <c r="A3" s="51"/>
      <c r="B3" s="225" t="s">
        <v>8733</v>
      </c>
      <c r="C3" s="183"/>
      <c r="D3" s="183"/>
      <c r="E3" s="18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6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16">
      <c r="A5" s="51"/>
      <c r="B5" s="51"/>
      <c r="C5" s="51"/>
      <c r="D5" s="143"/>
      <c r="E5" s="144"/>
      <c r="F5" s="144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6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33.75" customHeight="1">
      <c r="A7" s="7"/>
      <c r="B7" s="205" t="s">
        <v>8734</v>
      </c>
      <c r="C7" s="183"/>
      <c r="D7" s="183"/>
      <c r="E7" s="181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9.5" customHeight="1">
      <c r="A8" s="7"/>
      <c r="B8" s="52" t="s">
        <v>6780</v>
      </c>
      <c r="C8" s="52" t="s">
        <v>8191</v>
      </c>
      <c r="D8" s="52" t="s">
        <v>6943</v>
      </c>
      <c r="E8" s="52" t="s">
        <v>8181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9.5" customHeight="1">
      <c r="A9" s="7"/>
      <c r="B9" s="30" t="s">
        <v>7346</v>
      </c>
      <c r="C9" s="31" t="s">
        <v>8735</v>
      </c>
      <c r="D9" s="13"/>
      <c r="E9" s="13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9.5" customHeight="1">
      <c r="A10" s="7"/>
      <c r="B10" s="30" t="s">
        <v>7349</v>
      </c>
      <c r="C10" s="7"/>
      <c r="D10" s="7"/>
      <c r="E10" s="13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9.5" customHeight="1">
      <c r="A11" s="7"/>
      <c r="B11" s="30" t="s">
        <v>7354</v>
      </c>
      <c r="C11" s="7"/>
      <c r="D11" s="7"/>
      <c r="E11" s="13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9.5" customHeight="1">
      <c r="A12" s="7"/>
      <c r="B12" s="30" t="s">
        <v>7361</v>
      </c>
      <c r="C12" s="7"/>
      <c r="D12" s="7"/>
      <c r="E12" s="13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9.5" customHeight="1">
      <c r="A13" s="7"/>
      <c r="B13" s="222" t="s">
        <v>8736</v>
      </c>
      <c r="C13" s="183"/>
      <c r="D13" s="183"/>
      <c r="E13" s="181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5" customHeight="1">
      <c r="A14" s="7"/>
      <c r="B14" s="12" t="s">
        <v>6780</v>
      </c>
      <c r="C14" s="12" t="s">
        <v>8191</v>
      </c>
      <c r="D14" s="79" t="s">
        <v>6943</v>
      </c>
      <c r="E14" s="12" t="s">
        <v>8181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9.5" customHeight="1">
      <c r="A15" s="7"/>
      <c r="B15" s="30" t="s">
        <v>7543</v>
      </c>
      <c r="C15" s="38" t="e">
        <f>CONCATENATE(this_instance,"-w0",wld_domain_number_chosen,"-ns01")</f>
        <v>#REF!</v>
      </c>
      <c r="D15" s="13"/>
      <c r="E15" s="13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>
      <c r="A16" s="7"/>
      <c r="B16" s="30" t="s">
        <v>8737</v>
      </c>
      <c r="C16" s="7"/>
      <c r="D16" s="7"/>
      <c r="E16" s="13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3.75" customHeight="1">
      <c r="A17" s="7"/>
      <c r="B17" s="205" t="s">
        <v>8738</v>
      </c>
      <c r="C17" s="183"/>
      <c r="D17" s="183"/>
      <c r="E17" s="181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.5" customHeight="1">
      <c r="A18" s="7"/>
      <c r="B18" s="52" t="s">
        <v>6780</v>
      </c>
      <c r="C18" s="52" t="s">
        <v>8191</v>
      </c>
      <c r="D18" s="52" t="s">
        <v>6943</v>
      </c>
      <c r="E18" s="52" t="s">
        <v>8181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9.5" customHeight="1">
      <c r="A19" s="7"/>
      <c r="B19" s="30" t="s">
        <v>8739</v>
      </c>
      <c r="C19" s="38" t="e">
        <f>CONCATENATE(this_instance,"-",workload_descriptor,"-seg01-tanzu")</f>
        <v>#REF!</v>
      </c>
      <c r="D19" s="13"/>
      <c r="E19" s="13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9.5" customHeight="1">
      <c r="A20" s="7"/>
      <c r="B20" s="30" t="s">
        <v>7215</v>
      </c>
      <c r="C20" s="38" t="e">
        <f>IF(mgmt_consolidated_result="Included",CONCATENATE(sample_mgmt_tier0_name,"-prefixlist"),CONCATENATE(sample_wld_tier0_name,"-prefixlist"))</f>
        <v>#REF!</v>
      </c>
      <c r="D20" s="13"/>
      <c r="E20" s="13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9.5" customHeight="1">
      <c r="A21" s="7"/>
      <c r="B21" s="30" t="s">
        <v>7220</v>
      </c>
      <c r="C21" s="38" t="e">
        <f>IF(mgmt_consolidated_result="Included",CONCATENATE(sample_mgmt_tier0_name,"-routemap"),CONCATENATE(sample_wld_tier0_name,"-routemap"))</f>
        <v>#REF!</v>
      </c>
      <c r="D21" s="13"/>
      <c r="E21" s="13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9.5" customHeight="1">
      <c r="A22" s="7"/>
      <c r="B22" s="30" t="s">
        <v>7245</v>
      </c>
      <c r="C22" s="38" t="s">
        <v>8740</v>
      </c>
      <c r="D22" s="13"/>
      <c r="E22" s="13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9.5" customHeight="1">
      <c r="A23" s="7"/>
      <c r="B23" s="30" t="s">
        <v>7251</v>
      </c>
      <c r="C23" s="38" t="s">
        <v>8741</v>
      </c>
      <c r="D23" s="13"/>
      <c r="E23" s="13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9.5" customHeight="1">
      <c r="A24" s="7"/>
      <c r="B24" s="30" t="s">
        <v>7256</v>
      </c>
      <c r="C24" s="112"/>
      <c r="D24" s="7"/>
      <c r="E24" s="13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9.5" customHeight="1">
      <c r="A25" s="7"/>
      <c r="B25" s="30" t="s">
        <v>7264</v>
      </c>
      <c r="C25" s="112"/>
      <c r="D25" s="7"/>
      <c r="E25" s="13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5" customHeight="1">
      <c r="A26" s="7"/>
      <c r="B26" s="30" t="s">
        <v>8742</v>
      </c>
      <c r="C26" s="38" t="s">
        <v>8743</v>
      </c>
      <c r="D26" s="13"/>
      <c r="E26" s="13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5" customHeight="1">
      <c r="A27" s="7"/>
      <c r="B27" s="30" t="s">
        <v>8744</v>
      </c>
      <c r="C27" s="38" t="s">
        <v>8745</v>
      </c>
      <c r="D27" s="13"/>
      <c r="E27" s="13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9.5" customHeight="1">
      <c r="A28" s="7"/>
      <c r="B28" s="60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9.5" customHeight="1">
      <c r="A29" s="7"/>
      <c r="B29" s="60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9.5" customHeight="1">
      <c r="A30" s="7"/>
      <c r="B30" s="60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9.5" customHeight="1">
      <c r="A31" s="7"/>
      <c r="B31" s="60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33.75" customHeight="1">
      <c r="A33" s="68"/>
      <c r="B33" s="205" t="s">
        <v>8746</v>
      </c>
      <c r="C33" s="183"/>
      <c r="D33" s="183"/>
      <c r="E33" s="181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9.5" customHeight="1">
      <c r="A34" s="68"/>
      <c r="B34" s="52" t="s">
        <v>6780</v>
      </c>
      <c r="C34" s="52" t="s">
        <v>8191</v>
      </c>
      <c r="D34" s="52" t="s">
        <v>6943</v>
      </c>
      <c r="E34" s="52" t="s">
        <v>8181</v>
      </c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19.5" customHeight="1">
      <c r="A35" s="68"/>
      <c r="B35" s="89" t="s">
        <v>8301</v>
      </c>
      <c r="C35" s="31" t="e">
        <f>IF(mgmt_consolidated_result="Included",CONCATENATE(sample_mgmt_vc_fqdn),CONCATENATE(sample_wld_vc_fqdn))</f>
        <v>#REF!</v>
      </c>
      <c r="D35" s="90" t="e">
        <f>dri_vcenter_fqdn</f>
        <v>#REF!</v>
      </c>
      <c r="E35" s="91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spans="1:26" ht="15.7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1:26" ht="33.75" customHeight="1">
      <c r="A37" s="68"/>
      <c r="B37" s="205" t="s">
        <v>8747</v>
      </c>
      <c r="C37" s="183"/>
      <c r="D37" s="183"/>
      <c r="E37" s="181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1:26" ht="19.5" customHeight="1">
      <c r="A38" s="68"/>
      <c r="B38" s="52" t="s">
        <v>6780</v>
      </c>
      <c r="C38" s="52" t="s">
        <v>8191</v>
      </c>
      <c r="D38" s="52" t="s">
        <v>6943</v>
      </c>
      <c r="E38" s="52" t="s">
        <v>8181</v>
      </c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1:26" ht="19.5" customHeight="1">
      <c r="A39" s="68"/>
      <c r="B39" s="89" t="s">
        <v>8301</v>
      </c>
      <c r="C39" s="31" t="e">
        <f>IF(mgmt_consolidated_result="Included",CONCATENATE(sample_mgmt_vc_fqdn),CONCATENATE(sample_wld_vc_fqdn))</f>
        <v>#REF!</v>
      </c>
      <c r="D39" s="90" t="e">
        <f>dri_vcenter_fqdn</f>
        <v>#REF!</v>
      </c>
      <c r="E39" s="91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1:26" ht="19.5" customHeight="1">
      <c r="A40" s="68"/>
      <c r="B40" s="89" t="s">
        <v>8748</v>
      </c>
      <c r="C40" s="31" t="e">
        <f>sample_sddc_mgr_fqdn</f>
        <v>#REF!</v>
      </c>
      <c r="D40" s="90" t="e">
        <f>sddc_mgr_fqdn</f>
        <v>#REF!</v>
      </c>
      <c r="E40" s="91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33.75" customHeight="1">
      <c r="A42" s="68"/>
      <c r="B42" s="205" t="s">
        <v>8749</v>
      </c>
      <c r="C42" s="183"/>
      <c r="D42" s="183"/>
      <c r="E42" s="181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19.5" customHeight="1">
      <c r="A43" s="68"/>
      <c r="B43" s="52" t="s">
        <v>6780</v>
      </c>
      <c r="C43" s="52" t="s">
        <v>8191</v>
      </c>
      <c r="D43" s="52" t="s">
        <v>6943</v>
      </c>
      <c r="E43" s="52" t="s">
        <v>8181</v>
      </c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19.5" customHeight="1">
      <c r="A44" s="68"/>
      <c r="B44" s="89" t="s">
        <v>8301</v>
      </c>
      <c r="C44" s="31" t="e">
        <f>IF(mgmt_consolidated_result="Included",CONCATENATE(sample_mgmt_vc_fqdn),CONCATENATE(sample_wld_vc_fqdn))</f>
        <v>#REF!</v>
      </c>
      <c r="D44" s="90" t="e">
        <f>dri_vcenter_fqdn</f>
        <v>#REF!</v>
      </c>
      <c r="E44" s="91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19.5" customHeight="1">
      <c r="A45" s="68"/>
      <c r="B45" s="139" t="s">
        <v>6317</v>
      </c>
      <c r="C45" s="31" t="e">
        <f>IF(mgmt_consolidated_result="Included",sample_mgmt_cl01_cluster,sample_mgmt_cl01_cluster)</f>
        <v>#REF!</v>
      </c>
      <c r="D45" s="90" t="e">
        <f>dri_vcenter_cluster</f>
        <v>#REF!</v>
      </c>
      <c r="E45" s="91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15.75" customHeight="1">
      <c r="A46" s="68"/>
      <c r="B46" s="139" t="s">
        <v>6780</v>
      </c>
      <c r="C46" s="38" t="e">
        <f>CONCATENATE(this_instance,"-w0",wld_domain_number_chosen,"-tkc01")</f>
        <v>#REF!</v>
      </c>
      <c r="D46" s="13"/>
      <c r="E46" s="91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19.5" customHeight="1">
      <c r="A47" s="68"/>
      <c r="B47" s="139" t="s">
        <v>7587</v>
      </c>
      <c r="C47" s="38" t="s">
        <v>8750</v>
      </c>
      <c r="D47" s="13"/>
      <c r="E47" s="91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33.75" customHeight="1">
      <c r="A49" s="68"/>
      <c r="B49" s="205" t="s">
        <v>8751</v>
      </c>
      <c r="C49" s="183"/>
      <c r="D49" s="183"/>
      <c r="E49" s="181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19.5" customHeight="1">
      <c r="A50" s="68"/>
      <c r="B50" s="52" t="s">
        <v>6780</v>
      </c>
      <c r="C50" s="52" t="s">
        <v>8191</v>
      </c>
      <c r="D50" s="52" t="s">
        <v>6943</v>
      </c>
      <c r="E50" s="52" t="s">
        <v>8181</v>
      </c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19.5" customHeight="1">
      <c r="A51" s="68"/>
      <c r="B51" s="89" t="s">
        <v>8301</v>
      </c>
      <c r="C51" s="31" t="e">
        <f>IF(mgmt_consolidated_result="Included",CONCATENATE(sample_mgmt_vc_fqdn),CONCATENATE(sample_wld_vc_fqdn))</f>
        <v>#REF!</v>
      </c>
      <c r="D51" s="90" t="e">
        <f>dri_vcenter_fqdn</f>
        <v>#REF!</v>
      </c>
      <c r="E51" s="91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19.5" customHeight="1">
      <c r="A52" s="68"/>
      <c r="B52" s="139" t="s">
        <v>8752</v>
      </c>
      <c r="C52" s="31" t="e">
        <f>sample_k8s_cluster_name</f>
        <v>#REF!</v>
      </c>
      <c r="D52" s="90"/>
      <c r="E52" s="91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19.5" customHeight="1">
      <c r="A53" s="68"/>
      <c r="B53" s="139" t="s">
        <v>8753</v>
      </c>
      <c r="C53" s="31" t="str">
        <f>sample_gg_kub_admins_group</f>
        <v>gg-kub-admins</v>
      </c>
      <c r="D53" s="90" t="str">
        <f>group_gg_kub_admins</f>
        <v>Value Missing</v>
      </c>
      <c r="E53" s="91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9.5" customHeight="1">
      <c r="A54" s="68"/>
      <c r="B54" s="139" t="s">
        <v>8754</v>
      </c>
      <c r="C54" s="31" t="str">
        <f>sample_gg_kub_readonly_group</f>
        <v>gg-kub-readonly</v>
      </c>
      <c r="D54" s="90" t="str">
        <f>group_gg_kub_readonly</f>
        <v>Value Missing</v>
      </c>
      <c r="E54" s="91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33.75" customHeight="1">
      <c r="A56" s="68"/>
      <c r="B56" s="205" t="s">
        <v>8755</v>
      </c>
      <c r="C56" s="183"/>
      <c r="D56" s="183"/>
      <c r="E56" s="181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19.5" customHeight="1">
      <c r="A57" s="68"/>
      <c r="B57" s="52" t="s">
        <v>6780</v>
      </c>
      <c r="C57" s="52" t="s">
        <v>8191</v>
      </c>
      <c r="D57" s="52" t="s">
        <v>6943</v>
      </c>
      <c r="E57" s="52" t="s">
        <v>8181</v>
      </c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9.5" customHeight="1">
      <c r="A58" s="68"/>
      <c r="B58" s="89" t="s">
        <v>8301</v>
      </c>
      <c r="C58" s="31" t="e">
        <f>IF(mgmt_consolidated_result="Included",CONCATENATE(sample_mgmt_vc_fqdn),CONCATENATE(sample_wld_vc_fqdn))</f>
        <v>#REF!</v>
      </c>
      <c r="D58" s="90" t="e">
        <f>dri_vcenter_fqdn</f>
        <v>#REF!</v>
      </c>
      <c r="E58" s="91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19.5" customHeight="1">
      <c r="A59" s="68"/>
      <c r="B59" s="139" t="s">
        <v>7349</v>
      </c>
      <c r="C59" s="31" t="s">
        <v>8756</v>
      </c>
      <c r="D59" s="13"/>
      <c r="E59" s="91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19.5" customHeight="1">
      <c r="A60" s="68"/>
      <c r="B60" s="139" t="s">
        <v>8757</v>
      </c>
      <c r="C60" s="31">
        <v>16</v>
      </c>
      <c r="D60" s="90">
        <f t="shared" ref="D60:D61" si="0">C60</f>
        <v>16</v>
      </c>
      <c r="E60" s="91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19.5" customHeight="1">
      <c r="A61" s="68"/>
      <c r="B61" s="139" t="s">
        <v>8758</v>
      </c>
      <c r="C61" s="31">
        <v>64</v>
      </c>
      <c r="D61" s="90">
        <f t="shared" si="0"/>
        <v>64</v>
      </c>
      <c r="E61" s="91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33.75" customHeight="1">
      <c r="A63" s="68"/>
      <c r="B63" s="225" t="s">
        <v>8759</v>
      </c>
      <c r="C63" s="183"/>
      <c r="D63" s="183"/>
      <c r="E63" s="181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19.5" customHeight="1">
      <c r="A64" s="68"/>
      <c r="B64" s="52" t="s">
        <v>6780</v>
      </c>
      <c r="C64" s="52" t="s">
        <v>8191</v>
      </c>
      <c r="D64" s="52" t="s">
        <v>6943</v>
      </c>
      <c r="E64" s="52" t="s">
        <v>8181</v>
      </c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19.5" customHeight="1">
      <c r="A65" s="68"/>
      <c r="B65" s="89" t="s">
        <v>8760</v>
      </c>
      <c r="C65" s="31" t="e">
        <f>CONCATENATE(prefix_wld_k8s_cidr,1+(wld_domain_number_chosen -1)*3,".1")</f>
        <v>#REF!</v>
      </c>
      <c r="D65" s="90" t="e">
        <f>dri_k8s_server_address</f>
        <v>#NAME?</v>
      </c>
      <c r="E65" s="145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19.5" customHeight="1">
      <c r="A66" s="68"/>
      <c r="B66" s="89" t="s">
        <v>8752</v>
      </c>
      <c r="C66" s="31" t="e">
        <f>sample_k8s_cluster_name</f>
        <v>#REF!</v>
      </c>
      <c r="D66" s="90"/>
      <c r="E66" s="91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19.5" customHeight="1">
      <c r="A67" s="68"/>
      <c r="B67" s="139" t="s">
        <v>8761</v>
      </c>
      <c r="C67" s="31" t="e">
        <f>sample_k8s_cluster_name</f>
        <v>#REF!</v>
      </c>
      <c r="D67" s="90"/>
      <c r="E67" s="91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9.5" customHeight="1">
      <c r="A68" s="68"/>
      <c r="B68" s="139" t="s">
        <v>8762</v>
      </c>
      <c r="C68" s="31" t="e">
        <f>sample_k8s_cluster_name</f>
        <v>#REF!</v>
      </c>
      <c r="D68" s="90"/>
      <c r="E68" s="91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9.5" customHeight="1">
      <c r="A69" s="68"/>
      <c r="B69" s="139" t="s">
        <v>8763</v>
      </c>
      <c r="C69" s="31" t="str">
        <f>sample_k8s_vcenter_storage_policy</f>
        <v>vsphere-with-tanzu-storage-policy</v>
      </c>
      <c r="D69" s="90" t="str">
        <f>k8s_vcenter_storage_policy</f>
        <v>Value Missing</v>
      </c>
      <c r="E69" s="91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19.5" customHeight="1">
      <c r="A70" s="68"/>
      <c r="B70" s="139" t="s">
        <v>8764</v>
      </c>
      <c r="C70" s="31" t="str">
        <f>sample_k8s_vm_class</f>
        <v>guaranteed-small</v>
      </c>
      <c r="D70" s="90" t="str">
        <f>k8s_vm_class</f>
        <v>Value Missing</v>
      </c>
      <c r="E70" s="91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19.5" customHeight="1">
      <c r="A71" s="68"/>
      <c r="B71" s="139" t="s">
        <v>8765</v>
      </c>
      <c r="C71" s="31" t="s">
        <v>8766</v>
      </c>
      <c r="D71" s="13"/>
      <c r="E71" s="145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19.5" customHeight="1">
      <c r="A72" s="68"/>
      <c r="B72" s="139" t="s">
        <v>8767</v>
      </c>
      <c r="C72" s="31" t="s">
        <v>8768</v>
      </c>
      <c r="D72" s="13"/>
      <c r="E72" s="145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33.75" customHeight="1">
      <c r="A74" s="68"/>
      <c r="B74" s="205" t="s">
        <v>8769</v>
      </c>
      <c r="C74" s="183"/>
      <c r="D74" s="183"/>
      <c r="E74" s="181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19.5" customHeight="1">
      <c r="A75" s="68"/>
      <c r="B75" s="52" t="s">
        <v>6780</v>
      </c>
      <c r="C75" s="52" t="s">
        <v>8191</v>
      </c>
      <c r="D75" s="52" t="s">
        <v>6943</v>
      </c>
      <c r="E75" s="52" t="s">
        <v>8181</v>
      </c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9.5" customHeight="1">
      <c r="A76" s="68"/>
      <c r="B76" s="89" t="s">
        <v>8301</v>
      </c>
      <c r="C76" s="31" t="e">
        <f>IF(mgmt_consolidated_result="Included",CONCATENATE(sample_mgmt_vc_fqdn),CONCATENATE(sample_wld_vc_fqdn))</f>
        <v>#REF!</v>
      </c>
      <c r="D76" s="90" t="e">
        <f>dri_vcenter_fqdn</f>
        <v>#REF!</v>
      </c>
      <c r="E76" s="91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19.5" customHeight="1">
      <c r="A77" s="68"/>
      <c r="B77" s="139" t="s">
        <v>7354</v>
      </c>
      <c r="C77" s="31" t="s">
        <v>8770</v>
      </c>
      <c r="D77" s="13"/>
      <c r="E77" s="91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9.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33.75" customHeight="1">
      <c r="A79" s="68"/>
      <c r="B79" s="205" t="s">
        <v>8771</v>
      </c>
      <c r="C79" s="183"/>
      <c r="D79" s="183"/>
      <c r="E79" s="181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9.5" customHeight="1">
      <c r="A80" s="68"/>
      <c r="B80" s="52" t="s">
        <v>6780</v>
      </c>
      <c r="C80" s="52" t="s">
        <v>8191</v>
      </c>
      <c r="D80" s="52" t="s">
        <v>6943</v>
      </c>
      <c r="E80" s="52" t="s">
        <v>8181</v>
      </c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19.5" customHeight="1">
      <c r="A81" s="68"/>
      <c r="B81" s="89" t="s">
        <v>8301</v>
      </c>
      <c r="C81" s="31" t="e">
        <f>IF(mgmt_consolidated_result="Included",CONCATENATE(sample_mgmt_vc_fqdn),CONCATENATE(sample_wld_vc_fqdn))</f>
        <v>#REF!</v>
      </c>
      <c r="D81" s="90" t="e">
        <f>dri_vcenter_fqdn</f>
        <v>#REF!</v>
      </c>
      <c r="E81" s="91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9.5" customHeight="1">
      <c r="A82" s="68"/>
      <c r="B82" s="139" t="s">
        <v>8772</v>
      </c>
      <c r="C82" s="31" t="s">
        <v>8773</v>
      </c>
      <c r="D82" s="13"/>
      <c r="E82" s="91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33.75" customHeight="1">
      <c r="A84" s="68"/>
      <c r="B84" s="205" t="s">
        <v>8774</v>
      </c>
      <c r="C84" s="183"/>
      <c r="D84" s="183"/>
      <c r="E84" s="181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9.5" customHeight="1">
      <c r="A85" s="68"/>
      <c r="B85" s="52" t="s">
        <v>6780</v>
      </c>
      <c r="C85" s="52" t="s">
        <v>8191</v>
      </c>
      <c r="D85" s="52" t="s">
        <v>6943</v>
      </c>
      <c r="E85" s="52" t="s">
        <v>8181</v>
      </c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19.5" customHeight="1">
      <c r="A86" s="68"/>
      <c r="B86" s="89" t="s">
        <v>8775</v>
      </c>
      <c r="C86" s="31" t="e">
        <f>CONCATENATE(sample_xreg_vrslcm_hostname,".",sample_parent_dns_zone)</f>
        <v>#NAME?</v>
      </c>
      <c r="D86" s="90" t="e">
        <f>xreg_vrslcm_fqdn</f>
        <v>#REF!</v>
      </c>
      <c r="E86" s="91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33.75" customHeight="1">
      <c r="A88" s="68"/>
      <c r="B88" s="205" t="s">
        <v>8776</v>
      </c>
      <c r="C88" s="183"/>
      <c r="D88" s="183"/>
      <c r="E88" s="181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19.5" customHeight="1">
      <c r="A89" s="68"/>
      <c r="B89" s="52" t="s">
        <v>6780</v>
      </c>
      <c r="C89" s="52" t="s">
        <v>8191</v>
      </c>
      <c r="D89" s="52" t="s">
        <v>6943</v>
      </c>
      <c r="E89" s="52" t="s">
        <v>8181</v>
      </c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19.5" customHeight="1">
      <c r="A90" s="68"/>
      <c r="B90" s="89" t="s">
        <v>8301</v>
      </c>
      <c r="C90" s="31" t="e">
        <f>IF(mgmt_consolidated_result="Included",CONCATENATE(sample_mgmt_vc_fqdn),CONCATENATE(sample_wld_vc_fqdn))</f>
        <v>#REF!</v>
      </c>
      <c r="D90" s="90" t="e">
        <f>dri_vcenter_fqdn</f>
        <v>#REF!</v>
      </c>
      <c r="E90" s="91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33.75" customHeight="1">
      <c r="A92" s="68"/>
      <c r="B92" s="205" t="s">
        <v>8777</v>
      </c>
      <c r="C92" s="183"/>
      <c r="D92" s="183"/>
      <c r="E92" s="181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19.5" customHeight="1">
      <c r="A93" s="68"/>
      <c r="B93" s="52" t="s">
        <v>6780</v>
      </c>
      <c r="C93" s="52" t="s">
        <v>8191</v>
      </c>
      <c r="D93" s="52" t="s">
        <v>6943</v>
      </c>
      <c r="E93" s="52" t="s">
        <v>8181</v>
      </c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33.75" customHeight="1">
      <c r="A94" s="68"/>
      <c r="B94" s="89" t="s">
        <v>8301</v>
      </c>
      <c r="C94" s="31" t="e">
        <f>IF(mgmt_consolidated_result="Included",CONCATENATE(sample_mgmt_vc_fqdn),CONCATENATE(sample_wld_vc_fqdn))</f>
        <v>#REF!</v>
      </c>
      <c r="D94" s="90" t="e">
        <f>dri_vcenter_fqdn</f>
        <v>#REF!</v>
      </c>
      <c r="E94" s="91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19.5" customHeight="1">
      <c r="A95" s="68"/>
      <c r="B95" s="139" t="s">
        <v>8778</v>
      </c>
      <c r="C95" s="38" t="s">
        <v>8736</v>
      </c>
      <c r="D95" s="13"/>
      <c r="E95" s="91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19.5" customHeight="1">
      <c r="A96" s="68"/>
      <c r="B96" s="139" t="s">
        <v>8779</v>
      </c>
      <c r="C96" s="31" t="e">
        <f>IF(mgmt_consolidated_result="Included",sample_mgmt_cl01_vsan_datastore,sample_wld_cl01_vsan_datastore)</f>
        <v>#REF!</v>
      </c>
      <c r="D96" s="90" t="e">
        <f>dri_vcenter_vsan_datastore</f>
        <v>#REF!</v>
      </c>
      <c r="E96" s="91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33.75" customHeight="1">
      <c r="A98" s="68"/>
      <c r="B98" s="205" t="s">
        <v>8780</v>
      </c>
      <c r="C98" s="183"/>
      <c r="D98" s="183"/>
      <c r="E98" s="181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19.5" customHeight="1">
      <c r="A99" s="68"/>
      <c r="B99" s="52" t="s">
        <v>6780</v>
      </c>
      <c r="C99" s="52" t="s">
        <v>8191</v>
      </c>
      <c r="D99" s="52" t="s">
        <v>6943</v>
      </c>
      <c r="E99" s="52" t="s">
        <v>8181</v>
      </c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9.5" customHeight="1">
      <c r="A100" s="68"/>
      <c r="B100" s="89" t="s">
        <v>8775</v>
      </c>
      <c r="C100" s="31" t="e">
        <f>CONCATENATE(sample_xreg_vrslcm_hostname,".",sample_parent_dns_zone)</f>
        <v>#NAME?</v>
      </c>
      <c r="D100" s="90" t="e">
        <f>xreg_vrslcm_fqdn</f>
        <v>#REF!</v>
      </c>
      <c r="E100" s="91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33.75" customHeight="1">
      <c r="A102" s="68"/>
      <c r="B102" s="205" t="s">
        <v>8781</v>
      </c>
      <c r="C102" s="183"/>
      <c r="D102" s="183"/>
      <c r="E102" s="181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9.5" customHeight="1">
      <c r="A103" s="68"/>
      <c r="B103" s="52" t="s">
        <v>6780</v>
      </c>
      <c r="C103" s="52" t="s">
        <v>8191</v>
      </c>
      <c r="D103" s="52" t="s">
        <v>6943</v>
      </c>
      <c r="E103" s="52" t="s">
        <v>8181</v>
      </c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9.5" customHeight="1">
      <c r="A104" s="68"/>
      <c r="B104" s="89" t="s">
        <v>8775</v>
      </c>
      <c r="C104" s="31" t="e">
        <f>CONCATENATE(sample_xreg_vrslcm_hostname,".",sample_parent_dns_zone)</f>
        <v>#NAME?</v>
      </c>
      <c r="D104" s="90" t="e">
        <f>xreg_vrslcm_fqdn</f>
        <v>#REF!</v>
      </c>
      <c r="E104" s="91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33.75" customHeight="1">
      <c r="A106" s="68"/>
      <c r="B106" s="205" t="s">
        <v>8782</v>
      </c>
      <c r="C106" s="183"/>
      <c r="D106" s="183"/>
      <c r="E106" s="181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9.5" customHeight="1">
      <c r="A107" s="68"/>
      <c r="B107" s="52" t="s">
        <v>6780</v>
      </c>
      <c r="C107" s="52" t="s">
        <v>8191</v>
      </c>
      <c r="D107" s="52" t="s">
        <v>6943</v>
      </c>
      <c r="E107" s="52" t="s">
        <v>8181</v>
      </c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9.5" customHeight="1">
      <c r="A108" s="68"/>
      <c r="B108" s="89" t="s">
        <v>8775</v>
      </c>
      <c r="C108" s="31" t="e">
        <f>CONCATENATE(sample_xreg_vrslcm_hostname,".",sample_parent_dns_zone)</f>
        <v>#NAME?</v>
      </c>
      <c r="D108" s="90" t="e">
        <f>xreg_vrslcm_fqdn</f>
        <v>#REF!</v>
      </c>
      <c r="E108" s="91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33.75" customHeight="1">
      <c r="A110" s="68"/>
      <c r="B110" s="205" t="s">
        <v>8783</v>
      </c>
      <c r="C110" s="183"/>
      <c r="D110" s="183"/>
      <c r="E110" s="181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9.5" customHeight="1">
      <c r="A111" s="68"/>
      <c r="B111" s="52" t="s">
        <v>6780</v>
      </c>
      <c r="C111" s="52" t="s">
        <v>8191</v>
      </c>
      <c r="D111" s="52" t="s">
        <v>6943</v>
      </c>
      <c r="E111" s="52" t="s">
        <v>8181</v>
      </c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9.5" customHeight="1">
      <c r="A112" s="68"/>
      <c r="B112" s="89" t="s">
        <v>8775</v>
      </c>
      <c r="C112" s="31" t="e">
        <f>CONCATENATE(sample_xreg_vrslcm_hostname,".",sample_parent_dns_zone)</f>
        <v>#NAME?</v>
      </c>
      <c r="D112" s="90" t="e">
        <f>xreg_vrslcm_fqdn</f>
        <v>#REF!</v>
      </c>
      <c r="E112" s="91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6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6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6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6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6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6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6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6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6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16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16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16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1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16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16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16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16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16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16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6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16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16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1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6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16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16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16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16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16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16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16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6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6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6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6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6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6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6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6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6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6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6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6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6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6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6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6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6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6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6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6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6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6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6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6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6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6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6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6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6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6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6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6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6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6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6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6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6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6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6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6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6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6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6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6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6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6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6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6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6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6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6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6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6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6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6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6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6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6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6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6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6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6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6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6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6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6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6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6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6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16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16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16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16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1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16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16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16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16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16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16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16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16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16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1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16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16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16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16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16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16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16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16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16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1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16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16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16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16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16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16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16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16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16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1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16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16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16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16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16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16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16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16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16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1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16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16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16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16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16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16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16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16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16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1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16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16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16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16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16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16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16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16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16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1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16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16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16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16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16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16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16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16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16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1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16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16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spans="1:26" ht="16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spans="1:26" ht="16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spans="1:26" ht="16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spans="1:26" ht="16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spans="1:26" ht="16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spans="1:26" ht="16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spans="1:26" ht="16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spans="1:26" ht="1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spans="1:26" ht="16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spans="1:26" ht="16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spans="1:26" ht="16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spans="1:26" ht="16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16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spans="1:26" ht="16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spans="1:26" ht="16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spans="1:26" ht="16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16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spans="1:26" ht="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spans="1:26" ht="16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spans="1:26" ht="16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spans="1:26" ht="16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spans="1:26" ht="16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spans="1:26" ht="16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spans="1:26" ht="16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spans="1:26" ht="16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spans="1:26" ht="16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spans="1:26" ht="16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spans="1:26" ht="1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spans="1:26" ht="16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spans="1:26" ht="16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spans="1:26" ht="16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spans="1:26" ht="16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spans="1:26" ht="16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spans="1:26" ht="16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spans="1:26" ht="16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spans="1:26" ht="16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16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spans="1:26" ht="1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spans="1:26" ht="16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spans="1:26" ht="16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spans="1:26" ht="16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spans="1:26" ht="16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spans="1:26" ht="16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spans="1:26" ht="16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spans="1:26" ht="16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spans="1:26" ht="16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spans="1:26" ht="16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spans="1:26" ht="1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spans="1:26" ht="16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spans="1:26" ht="16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spans="1:26" ht="16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spans="1:26" ht="16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spans="1:26" ht="16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spans="1:26" ht="16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spans="1:26" ht="16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spans="1:26" ht="16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spans="1:26" ht="16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spans="1:26" ht="1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spans="1:26" ht="16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spans="1:26" ht="16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spans="1:26" ht="16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spans="1:26" ht="16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spans="1:26" ht="16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spans="1:26" ht="16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spans="1:26" ht="16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spans="1:26" ht="16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spans="1:26" ht="16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spans="1:26" ht="1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spans="1:26" ht="16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spans="1:26" ht="16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spans="1:26" ht="16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spans="1:26" ht="16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spans="1:26" ht="16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spans="1:26" ht="16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spans="1:26" ht="16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spans="1:26" ht="16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spans="1:26" ht="16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spans="1:26" ht="1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spans="1:26" ht="16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spans="1:26" ht="16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spans="1:26" ht="16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spans="1:26" ht="16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ht="16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16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spans="1:26" ht="16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spans="1:26" ht="16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ht="16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spans="1:26" ht="1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spans="1:26" ht="16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spans="1:26" ht="16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spans="1:26" ht="16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spans="1:26" ht="16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spans="1:26" ht="16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16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spans="1:26" ht="16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spans="1:26" ht="16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spans="1:26" ht="16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spans="1:26" ht="1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spans="1:26" ht="16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spans="1:26" ht="16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spans="1:26" ht="16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spans="1:26" ht="16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spans="1:26" ht="16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spans="1:26" ht="16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spans="1:26" ht="16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spans="1:26" ht="16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spans="1:26" ht="16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spans="1:26" ht="1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spans="1:26" ht="16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spans="1:26" ht="16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spans="1:26" ht="16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spans="1:26" ht="16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spans="1:26" ht="16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spans="1:26" ht="16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spans="1:26" ht="16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spans="1:26" ht="16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spans="1:26" ht="16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spans="1:26" ht="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spans="1:26" ht="16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spans="1:26" ht="16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spans="1:26" ht="16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spans="1:26" ht="16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spans="1:26" ht="16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spans="1:26" ht="16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spans="1:26" ht="16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spans="1:26" ht="16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spans="1:26" ht="16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spans="1:26" ht="1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spans="1:26" ht="16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spans="1:26" ht="16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16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spans="1:26" ht="16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spans="1:26" ht="16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spans="1:26" ht="16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spans="1:26" ht="16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spans="1:26" ht="16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spans="1:26" ht="16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spans="1:26" ht="1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spans="1:26" ht="16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spans="1:26" ht="16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spans="1:26" ht="16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spans="1:26" ht="16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spans="1:26" ht="16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spans="1:26" ht="16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spans="1:26" ht="16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spans="1:26" ht="16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spans="1:26" ht="16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spans="1:26" ht="1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spans="1:26" ht="16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spans="1:26" ht="16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spans="1:26" ht="16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spans="1:26" ht="16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spans="1:26" ht="16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spans="1:26" ht="16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spans="1:26" ht="16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spans="1:26" ht="16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spans="1:26" ht="16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spans="1:26" ht="1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spans="1:26" ht="16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spans="1:26" ht="16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spans="1:26" ht="16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spans="1:26" ht="16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spans="1:26" ht="16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spans="1:26" ht="16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spans="1:26" ht="16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spans="1:26" ht="16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spans="1:26" ht="16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spans="1:26" ht="1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spans="1:26" ht="16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spans="1:26" ht="16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spans="1:26" ht="16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spans="1:26" ht="16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spans="1:26" ht="16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spans="1:26" ht="16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spans="1:26" ht="16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spans="1:26" ht="16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spans="1:26" ht="16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spans="1:26" ht="1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spans="1:26" ht="16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spans="1:26" ht="16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spans="1:26" ht="16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spans="1:26" ht="16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spans="1:26" ht="16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spans="1:26" ht="16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spans="1:26" ht="16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spans="1:26" ht="16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spans="1:26" ht="16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spans="1:26" ht="1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spans="1:26" ht="16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spans="1:26" ht="16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spans="1:26" ht="16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spans="1:26" ht="16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spans="1:26" ht="16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spans="1:26" ht="16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spans="1:26" ht="16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spans="1:26" ht="16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spans="1:26" ht="16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spans="1:26" ht="1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spans="1:26" ht="16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spans="1:26" ht="16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spans="1:26" ht="16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spans="1:26" ht="16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spans="1:26" ht="16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spans="1:26" ht="16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spans="1:26" ht="16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spans="1:26" ht="16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spans="1:26" ht="16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spans="1:26" ht="1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spans="1:26" ht="16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spans="1:26" ht="16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spans="1:26" ht="16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spans="1:26" ht="16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spans="1:26" ht="16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spans="1:26" ht="16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spans="1:26" ht="16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spans="1:26" ht="16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spans="1:26" ht="16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spans="1:26" ht="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spans="1:26" ht="16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spans="1:26" ht="16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spans="1:26" ht="16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spans="1:26" ht="16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spans="1:26" ht="16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spans="1:26" ht="16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spans="1:26" ht="16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spans="1:26" ht="16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spans="1:26" ht="16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spans="1:26" ht="1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spans="1:26" ht="16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spans="1:26" ht="16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spans="1:26" ht="16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spans="1:26" ht="16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spans="1:26" ht="16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spans="1:26" ht="16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spans="1:26" ht="16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spans="1:26" ht="16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spans="1:26" ht="16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spans="1:26" ht="1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spans="1:26" ht="16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spans="1:26" ht="16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spans="1:26" ht="16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spans="1:26" ht="16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spans="1:26" ht="16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spans="1:26" ht="16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spans="1:26" ht="16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spans="1:26" ht="16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spans="1:26" ht="16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spans="1:26" ht="1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spans="1:26" ht="16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spans="1:26" ht="16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spans="1:26" ht="16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spans="1:26" ht="16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spans="1:26" ht="16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spans="1:26" ht="16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spans="1:26" ht="16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spans="1:26" ht="16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spans="1:26" ht="16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spans="1:26" ht="1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spans="1:26" ht="16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spans="1:26" ht="16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spans="1:26" ht="16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spans="1:26" ht="16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spans="1:26" ht="16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spans="1:26" ht="16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spans="1:26" ht="16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spans="1:26" ht="16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spans="1:26" ht="16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spans="1:26" ht="1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spans="1:26" ht="16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spans="1:26" ht="16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spans="1:26" ht="16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spans="1:26" ht="16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spans="1:26" ht="16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spans="1:26" ht="16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spans="1:26" ht="16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spans="1:26" ht="16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spans="1:26" ht="16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spans="1:26" ht="1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spans="1:26" ht="16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spans="1:26" ht="16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spans="1:26" ht="16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spans="1:26" ht="16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spans="1:26" ht="16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spans="1:26" ht="16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spans="1:26" ht="16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spans="1:26" ht="16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spans="1:26" ht="16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spans="1:26" ht="1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spans="1:26" ht="16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spans="1:26" ht="16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spans="1:26" ht="16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spans="1:26" ht="16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spans="1:26" ht="16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spans="1:26" ht="16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spans="1:26" ht="16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spans="1:26" ht="16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spans="1:26" ht="16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spans="1:26" ht="1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spans="1:26" ht="16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spans="1:26" ht="16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spans="1:26" ht="16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spans="1:26" ht="16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spans="1:26" ht="16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spans="1:26" ht="16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spans="1:26" ht="16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spans="1:26" ht="16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spans="1:26" ht="16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spans="1:26" ht="1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spans="1:26" ht="16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spans="1:26" ht="16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spans="1:26" ht="16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spans="1:26" ht="16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spans="1:26" ht="16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spans="1:26" ht="16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spans="1:26" ht="16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spans="1:26" ht="16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spans="1:26" ht="16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spans="1:26" ht="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spans="1:26" ht="16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spans="1:26" ht="16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spans="1:26" ht="16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spans="1:26" ht="16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spans="1:26" ht="16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spans="1:26" ht="16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spans="1:26" ht="16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spans="1:26" ht="16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spans="1:26" ht="16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spans="1:26" ht="1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spans="1:26" ht="16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spans="1:26" ht="16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spans="1:26" ht="16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spans="1:26" ht="16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spans="1:26" ht="16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spans="1:26" ht="16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spans="1:26" ht="16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spans="1:26" ht="16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spans="1:26" ht="16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spans="1:26" ht="1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spans="1:26" ht="16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spans="1:26" ht="16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spans="1:26" ht="16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spans="1:26" ht="16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spans="1:26" ht="16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spans="1:26" ht="16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spans="1:26" ht="16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spans="1:26" ht="16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spans="1:26" ht="16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spans="1:26" ht="1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spans="1:26" ht="16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spans="1:26" ht="16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spans="1:26" ht="16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spans="1:26" ht="16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spans="1:26" ht="16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spans="1:26" ht="16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spans="1:26" ht="16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spans="1:26" ht="16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spans="1:26" ht="16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spans="1:26" ht="1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spans="1:26" ht="16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spans="1:26" ht="16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spans="1:26" ht="16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spans="1:26" ht="16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spans="1:26" ht="16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spans="1:26" ht="16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spans="1:26" ht="16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spans="1:26" ht="16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spans="1:26" ht="16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spans="1:26" ht="1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spans="1:26" ht="16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spans="1:26" ht="16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spans="1:26" ht="16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spans="1:26" ht="16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spans="1:26" ht="16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spans="1:26" ht="16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spans="1:26" ht="16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spans="1:26" ht="16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spans="1:26" ht="16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spans="1:26" ht="1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spans="1:26" ht="16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spans="1:26" ht="16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spans="1:26" ht="16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spans="1:26" ht="16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spans="1:26" ht="16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spans="1:26" ht="16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spans="1:26" ht="16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spans="1:26" ht="16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spans="1:26" ht="16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spans="1:26" ht="1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spans="1:26" ht="16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spans="1:26" ht="16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spans="1:26" ht="16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spans="1:26" ht="16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spans="1:26" ht="16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spans="1:26" ht="16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spans="1:26" ht="16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spans="1:26" ht="16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spans="1:26" ht="16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spans="1:26" ht="1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spans="1:26" ht="16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spans="1:26" ht="16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spans="1:26" ht="16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spans="1:26" ht="16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spans="1:26" ht="16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spans="1:26" ht="16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spans="1:26" ht="16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spans="1:26" ht="16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spans="1:26" ht="16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spans="1:26" ht="1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spans="1:26" ht="16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spans="1:26" ht="16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spans="1:26" ht="16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spans="1:26" ht="16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spans="1:26" ht="16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spans="1:26" ht="16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spans="1:26" ht="16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spans="1:26" ht="16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spans="1:26" ht="16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spans="1:26" ht="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spans="1:26" ht="16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spans="1:26" ht="16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spans="1:26" ht="16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spans="1:26" ht="16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spans="1:26" ht="16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spans="1:26" ht="16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spans="1:26" ht="16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spans="1:26" ht="16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spans="1:26" ht="16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spans="1:26" ht="1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spans="1:26" ht="16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spans="1:26" ht="16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spans="1:26" ht="16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spans="1:26" ht="16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spans="1:26" ht="16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spans="1:26" ht="16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spans="1:26" ht="16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spans="1:26" ht="16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spans="1:26" ht="16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spans="1:26" ht="1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spans="1:26" ht="16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spans="1:26" ht="16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spans="1:26" ht="16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spans="1:26" ht="16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spans="1:26" ht="16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spans="1:26" ht="16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spans="1:26" ht="16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spans="1:26" ht="16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spans="1:26" ht="16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spans="1:26" ht="1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spans="1:26" ht="16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spans="1:26" ht="16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spans="1:26" ht="16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spans="1:26" ht="16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spans="1:26" ht="16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spans="1:26" ht="16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spans="1:26" ht="16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spans="1:26" ht="16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spans="1:26" ht="16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spans="1:26" ht="1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spans="1:26" ht="16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spans="1:26" ht="16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spans="1:26" ht="16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spans="1:26" ht="16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spans="1:26" ht="16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spans="1:26" ht="16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spans="1:26" ht="16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spans="1:26" ht="16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spans="1:26" ht="16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spans="1:26" ht="1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spans="1:26" ht="16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spans="1:26" ht="16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spans="1:26" ht="16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spans="1:26" ht="16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spans="1:26" ht="16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spans="1:26" ht="16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spans="1:26" ht="16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spans="1:26" ht="16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spans="1:26" ht="16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spans="1:26" ht="1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spans="1:26" ht="16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spans="1:26" ht="16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spans="1:26" ht="16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spans="1:26" ht="16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spans="1:26" ht="16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spans="1:26" ht="16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spans="1:26" ht="16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spans="1:26" ht="16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spans="1:26" ht="16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spans="1:26" ht="1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spans="1:26" ht="16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spans="1:26" ht="16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spans="1:26" ht="16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spans="1:26" ht="16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spans="1:26" ht="16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spans="1:26" ht="16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spans="1:26" ht="16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spans="1:26" ht="16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spans="1:26" ht="16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spans="1:26" ht="1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spans="1:26" ht="16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spans="1:26" ht="16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spans="1:26" ht="16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spans="1:26" ht="16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spans="1:26" ht="16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spans="1:26" ht="16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spans="1:26" ht="16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spans="1:26" ht="16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spans="1:26" ht="16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spans="1:26" ht="1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spans="1:26" ht="16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spans="1:26" ht="16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spans="1:26" ht="16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spans="1:26" ht="16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spans="1:26" ht="16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spans="1:26" ht="16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spans="1:26" ht="16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spans="1:26" ht="16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spans="1:26" ht="16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spans="1:26" ht="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spans="1:26" ht="16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spans="1:26" ht="16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spans="1:26" ht="16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spans="1:26" ht="16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spans="1:26" ht="16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spans="1:26" ht="16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spans="1:26" ht="16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spans="1:26" ht="16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spans="1:26" ht="16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spans="1:26" ht="1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spans="1:26" ht="16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spans="1:26" ht="16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spans="1:26" ht="16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spans="1:26" ht="16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spans="1:26" ht="16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spans="1:26" ht="16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spans="1:26" ht="16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spans="1:26" ht="16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spans="1:26" ht="16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spans="1:26" ht="1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spans="1:26" ht="16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spans="1:26" ht="16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spans="1:26" ht="16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spans="1:26" ht="16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spans="1:26" ht="16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spans="1:26" ht="16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spans="1:26" ht="16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spans="1:26" ht="16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spans="1:26" ht="16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spans="1:26" ht="1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spans="1:26" ht="16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spans="1:26" ht="16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spans="1:26" ht="16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spans="1:26" ht="16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spans="1:26" ht="16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spans="1:26" ht="16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spans="1:26" ht="16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spans="1:26" ht="16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spans="1:26" ht="16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spans="1:26" ht="1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spans="1:26" ht="16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spans="1:26" ht="16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spans="1:26" ht="16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spans="1:26" ht="16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spans="1:26" ht="16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spans="1:26" ht="16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spans="1:26" ht="16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spans="1:26" ht="16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spans="1:26" ht="16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spans="1:26" ht="1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spans="1:26" ht="16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spans="1:26" ht="16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spans="1:26" ht="16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spans="1:26" ht="16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spans="1:26" ht="16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spans="1:26" ht="16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spans="1:26" ht="16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spans="1:26" ht="16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spans="1:26" ht="16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spans="1:26" ht="1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spans="1:26" ht="16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spans="1:26" ht="16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spans="1:26" ht="16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spans="1:26" ht="16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spans="1:26" ht="16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spans="1:26" ht="16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spans="1:26" ht="16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spans="1:26" ht="16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spans="1:26" ht="16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spans="1:26" ht="1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spans="1:26" ht="16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spans="1:26" ht="16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spans="1:26" ht="16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spans="1:26" ht="16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spans="1:26" ht="16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spans="1:26" ht="16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spans="1:26" ht="16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spans="1:26" ht="16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spans="1:26" ht="16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spans="1:26" ht="1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spans="1:26" ht="16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spans="1:26" ht="16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spans="1:26" ht="16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spans="1:26" ht="16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spans="1:26" ht="16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spans="1:26" ht="16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spans="1:26" ht="16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spans="1:26" ht="16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spans="1:26" ht="16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spans="1:26" ht="1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spans="1:26" ht="16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spans="1:26" ht="16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spans="1:26" ht="16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spans="1:26" ht="16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spans="1:26" ht="16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spans="1:26" ht="16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spans="1:26" ht="16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spans="1:26" ht="16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spans="1:26" ht="16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spans="1:26" ht="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spans="1:26" ht="16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spans="1:26" ht="16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spans="1:26" ht="16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spans="1:26" ht="16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spans="1:26" ht="16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spans="1:26" ht="16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spans="1:26" ht="16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spans="1:26" ht="16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spans="1:26" ht="16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spans="1:26" ht="1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spans="1:26" ht="16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spans="1:26" ht="16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spans="1:26" ht="16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spans="1:26" ht="16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spans="1:26" ht="16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spans="1:26" ht="16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spans="1:26" ht="16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spans="1:26" ht="16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spans="1:26" ht="16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spans="1:26" ht="1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spans="1:26" ht="16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spans="1:26" ht="16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spans="1:26" ht="16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spans="1:26" ht="16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spans="1:26" ht="16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spans="1:26" ht="16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spans="1:26" ht="16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spans="1:26" ht="16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spans="1:26" ht="16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spans="1:26" ht="1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spans="1:26" ht="16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spans="1:26" ht="16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spans="1:26" ht="16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spans="1:26" ht="16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spans="1:26" ht="16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spans="1:26" ht="16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spans="1:26" ht="16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spans="1:26" ht="16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spans="1:26" ht="16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spans="1:26" ht="1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spans="1:26" ht="16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spans="1:26" ht="16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spans="1:26" ht="16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spans="1:26" ht="16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spans="1:26" ht="16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spans="1:26" ht="16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spans="1:26" ht="16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spans="1:26" ht="16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spans="1:26" ht="16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spans="1:26" ht="1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spans="1:26" ht="16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spans="1:26" ht="16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spans="1:26" ht="16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spans="1:26" ht="16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spans="1:26" ht="16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spans="1:26" ht="16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spans="1:26" ht="16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spans="1:26" ht="16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spans="1:26" ht="16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spans="1:26" ht="1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spans="1:26" ht="16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spans="1:26" ht="16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spans="1:26" ht="16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spans="1:26" ht="16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spans="1:26" ht="16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spans="1:26" ht="16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spans="1:26" ht="16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spans="1:26" ht="16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spans="1:26" ht="16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spans="1:26" ht="1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spans="1:26" ht="16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spans="1:26" ht="16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spans="1:26" ht="16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spans="1:26" ht="16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spans="1:26" ht="16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spans="1:26" ht="16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spans="1:26" ht="16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spans="1:26" ht="16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spans="1:26" ht="16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spans="1:26" ht="1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spans="1:26" ht="16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spans="1:26" ht="16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spans="1:26" ht="16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spans="1:26" ht="16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mergeCells count="20">
    <mergeCell ref="B102:E102"/>
    <mergeCell ref="B106:E106"/>
    <mergeCell ref="B110:E110"/>
    <mergeCell ref="B42:E42"/>
    <mergeCell ref="B49:E49"/>
    <mergeCell ref="B56:E56"/>
    <mergeCell ref="B63:E63"/>
    <mergeCell ref="B74:E74"/>
    <mergeCell ref="B79:E79"/>
    <mergeCell ref="B84:E84"/>
    <mergeCell ref="B33:E33"/>
    <mergeCell ref="B37:E37"/>
    <mergeCell ref="B88:E88"/>
    <mergeCell ref="B92:E92"/>
    <mergeCell ref="B98:E98"/>
    <mergeCell ref="B2:E2"/>
    <mergeCell ref="B3:E3"/>
    <mergeCell ref="B7:E7"/>
    <mergeCell ref="B13:E13"/>
    <mergeCell ref="B17:E17"/>
  </mergeCells>
  <conditionalFormatting sqref="D35 D39:D40 D44:D47 D51:D54 D58:D61 D65:D72 D76:D77 D81:D82 D86 D90 D94:D96 D100 D104 D108 D112">
    <cfRule type="expression" dxfId="87" priority="1">
      <formula>air_result="Excluded"</formula>
    </cfRule>
    <cfRule type="containsBlanks" dxfId="86" priority="2">
      <formula>LEN(TRIM(D35))=0</formula>
    </cfRule>
    <cfRule type="notContainsBlanks" dxfId="85" priority="3">
      <formula>LEN(TRIM(D35))&gt;0</formula>
    </cfRule>
  </conditionalFormatting>
  <dataValidations count="2">
    <dataValidation type="list" allowBlank="1" showErrorMessage="1" sqref="D27" xr:uid="{00000000-0002-0000-0F00-000000000000}">
      <formula1>"guaranteed-small,guaranteed-medium,guaranteed-large"</formula1>
    </dataValidation>
    <dataValidation type="list" allowBlank="1" showErrorMessage="1" sqref="C8:D8 C18:D18" xr:uid="{00000000-0002-0000-0F00-000001000000}">
      <formula1>"Standard,Consolidated"</formula1>
    </dataValidation>
  </dataValidation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EAADB"/>
  </sheetPr>
  <dimension ref="A1:Z1000"/>
  <sheetViews>
    <sheetView workbookViewId="0"/>
  </sheetViews>
  <sheetFormatPr baseColWidth="10" defaultColWidth="12.6640625" defaultRowHeight="13"/>
  <cols>
    <col min="1" max="1" width="3.1640625" customWidth="1"/>
    <col min="2" max="2" width="71.6640625" customWidth="1"/>
    <col min="3" max="3" width="88.6640625" customWidth="1"/>
    <col min="4" max="4" width="95.33203125" customWidth="1"/>
    <col min="5" max="5" width="68.33203125" customWidth="1"/>
    <col min="6" max="26" width="12.33203125" customWidth="1"/>
  </cols>
  <sheetData>
    <row r="1" spans="1:26" ht="16">
      <c r="A1" s="146"/>
      <c r="B1" s="146"/>
      <c r="C1" s="146"/>
      <c r="D1" s="146"/>
      <c r="E1" s="146"/>
      <c r="F1" s="146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72" customHeight="1">
      <c r="A2" s="146"/>
      <c r="B2" s="232" t="s">
        <v>8784</v>
      </c>
      <c r="C2" s="183"/>
      <c r="D2" s="183"/>
      <c r="E2" s="200"/>
      <c r="F2" s="146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27"/>
      <c r="U2" s="27"/>
      <c r="V2" s="27"/>
      <c r="W2" s="27"/>
      <c r="X2" s="27"/>
      <c r="Y2" s="27"/>
      <c r="Z2" s="27"/>
    </row>
    <row r="3" spans="1:26" ht="16">
      <c r="A3" s="146"/>
      <c r="B3" s="233" t="s">
        <v>8785</v>
      </c>
      <c r="C3" s="183"/>
      <c r="D3" s="183"/>
      <c r="E3" s="200"/>
      <c r="F3" s="146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27"/>
      <c r="U3" s="27"/>
      <c r="V3" s="27"/>
      <c r="W3" s="27"/>
      <c r="X3" s="27"/>
      <c r="Y3" s="27"/>
      <c r="Z3" s="27"/>
    </row>
    <row r="4" spans="1:26" ht="16">
      <c r="A4" s="147"/>
      <c r="B4" s="147"/>
      <c r="C4" s="147"/>
      <c r="D4" s="147"/>
      <c r="E4" s="147"/>
      <c r="F4" s="147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27"/>
      <c r="U4" s="27"/>
      <c r="V4" s="27"/>
      <c r="W4" s="27"/>
      <c r="X4" s="27"/>
      <c r="Y4" s="27"/>
      <c r="Z4" s="27"/>
    </row>
    <row r="5" spans="1:26" ht="45" customHeight="1">
      <c r="A5" s="147"/>
      <c r="B5" s="148" t="s">
        <v>8786</v>
      </c>
      <c r="C5" s="148" t="s">
        <v>8787</v>
      </c>
      <c r="D5" s="149" t="s">
        <v>8387</v>
      </c>
      <c r="E5" s="150"/>
      <c r="F5" s="151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27"/>
      <c r="U5" s="27"/>
      <c r="V5" s="27"/>
      <c r="W5" s="27"/>
      <c r="X5" s="27"/>
      <c r="Y5" s="27"/>
      <c r="Z5" s="27"/>
    </row>
    <row r="6" spans="1:26" ht="26" customHeight="1">
      <c r="A6" s="146"/>
      <c r="B6" s="146"/>
      <c r="C6" s="146"/>
      <c r="D6" s="152"/>
      <c r="E6" s="153"/>
      <c r="F6" s="153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27"/>
      <c r="U6" s="27"/>
      <c r="V6" s="27"/>
      <c r="W6" s="27"/>
      <c r="X6" s="27"/>
      <c r="Y6" s="27"/>
      <c r="Z6" s="27"/>
    </row>
    <row r="7" spans="1:26" ht="45" customHeight="1">
      <c r="A7" s="27"/>
      <c r="B7" s="203" t="s">
        <v>8788</v>
      </c>
      <c r="C7" s="183"/>
      <c r="D7" s="183"/>
      <c r="E7" s="183"/>
      <c r="F7" s="183"/>
      <c r="G7" s="183"/>
      <c r="H7" s="183"/>
      <c r="I7" s="183"/>
      <c r="J7" s="181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26" customHeight="1">
      <c r="A8" s="27"/>
      <c r="B8" s="81" t="s">
        <v>8175</v>
      </c>
      <c r="C8" s="81" t="s">
        <v>8176</v>
      </c>
      <c r="D8" s="81" t="s">
        <v>8177</v>
      </c>
      <c r="E8" s="81" t="s">
        <v>8178</v>
      </c>
      <c r="F8" s="81" t="s">
        <v>8179</v>
      </c>
      <c r="G8" s="81" t="s">
        <v>8180</v>
      </c>
      <c r="H8" s="220" t="s">
        <v>8181</v>
      </c>
      <c r="I8" s="183"/>
      <c r="J8" s="181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26" customHeight="1">
      <c r="A9" s="27"/>
      <c r="B9" s="30" t="s">
        <v>8789</v>
      </c>
      <c r="C9" s="37" t="s">
        <v>7467</v>
      </c>
      <c r="D9" s="34" t="e">
        <f>CONCATENATE(this_instance,"-cbr-cdp01a")</f>
        <v>#REF!</v>
      </c>
      <c r="E9" s="13"/>
      <c r="F9" s="34" t="e">
        <f>IF(mgmt_dpg_reuse_result="Included",CONCATENATE(prefix_mgmt_az1_cidr,"10.44"),CONCATENATE(prefix_mgmt_az1_cidr,"11.44"))</f>
        <v>#REF!</v>
      </c>
      <c r="G9" s="13"/>
      <c r="H9" s="234"/>
      <c r="I9" s="183"/>
      <c r="J9" s="181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26" customHeight="1">
      <c r="A10" s="27"/>
      <c r="B10" s="30"/>
      <c r="C10" s="37" t="s">
        <v>8790</v>
      </c>
      <c r="D10" s="34" t="e">
        <f>CONCATENATE(this_instance,"-cbr-cdp01b")</f>
        <v>#REF!</v>
      </c>
      <c r="E10" s="13"/>
      <c r="F10" s="34" t="e">
        <f>IF(mgmt_dpg_reuse_result="Included",CONCATENATE(prefix_mgmt_az1_cidr,"10.45"),CONCATENATE(prefix_mgmt_az1_cidr,"11.45"))</f>
        <v>#REF!</v>
      </c>
      <c r="G10" s="13"/>
      <c r="H10" s="234"/>
      <c r="I10" s="183"/>
      <c r="J10" s="181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6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40" customHeight="1">
      <c r="A12" s="154"/>
      <c r="B12" s="180" t="s">
        <v>8791</v>
      </c>
      <c r="C12" s="183"/>
      <c r="D12" s="183"/>
      <c r="E12" s="181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</row>
    <row r="13" spans="1:26" ht="26" customHeight="1">
      <c r="A13" s="154"/>
      <c r="B13" s="12" t="s">
        <v>6780</v>
      </c>
      <c r="C13" s="12" t="s">
        <v>8191</v>
      </c>
      <c r="D13" s="79" t="s">
        <v>6943</v>
      </c>
      <c r="E13" s="12" t="s">
        <v>8181</v>
      </c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</row>
    <row r="14" spans="1:26" ht="26" customHeight="1">
      <c r="A14" s="7"/>
      <c r="B14" s="30" t="s">
        <v>7666</v>
      </c>
      <c r="C14" s="37" t="s">
        <v>8792</v>
      </c>
      <c r="D14" s="25"/>
      <c r="E14" s="25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6" customHeight="1">
      <c r="A15" s="7"/>
      <c r="B15" s="30" t="s">
        <v>7669</v>
      </c>
      <c r="C15" s="37" t="s">
        <v>8793</v>
      </c>
      <c r="D15" s="25"/>
      <c r="E15" s="25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6" customHeight="1">
      <c r="A16" s="7"/>
      <c r="B16" s="30" t="s">
        <v>7675</v>
      </c>
      <c r="C16" s="37" t="s">
        <v>6763</v>
      </c>
      <c r="D16" s="25"/>
      <c r="E16" s="25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6" customHeight="1">
      <c r="A17" s="7"/>
      <c r="B17" s="30" t="s">
        <v>8794</v>
      </c>
      <c r="C17" s="37" t="e">
        <f>CONCATENATE(this_instance,"-m01-fd-cbr")</f>
        <v>#REF!</v>
      </c>
      <c r="D17" s="25"/>
      <c r="E17" s="25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6" customHeight="1">
      <c r="A18" s="7"/>
      <c r="B18" s="30" t="s">
        <v>7684</v>
      </c>
      <c r="C18" s="37" t="s">
        <v>8795</v>
      </c>
      <c r="D18" s="25"/>
      <c r="E18" s="25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6" customHeight="1">
      <c r="A19" s="7"/>
      <c r="B19" s="30" t="s">
        <v>7687</v>
      </c>
      <c r="C19" s="37" t="s">
        <v>6502</v>
      </c>
      <c r="D19" s="25"/>
      <c r="E19" s="25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6" customHeight="1">
      <c r="A20" s="7"/>
      <c r="B20" s="30" t="s">
        <v>7693</v>
      </c>
      <c r="C20" s="37" t="s">
        <v>8796</v>
      </c>
      <c r="D20" s="25"/>
      <c r="E20" s="25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6" customHeight="1">
      <c r="A21" s="7"/>
      <c r="B21" s="30" t="s">
        <v>7696</v>
      </c>
      <c r="C21" s="37">
        <v>2</v>
      </c>
      <c r="D21" s="25"/>
      <c r="E21" s="25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6" customHeight="1">
      <c r="A22" s="7"/>
      <c r="B22" s="30" t="s">
        <v>7697</v>
      </c>
      <c r="C22" s="37" t="s">
        <v>8797</v>
      </c>
      <c r="D22" s="25"/>
      <c r="E22" s="25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6" customHeight="1">
      <c r="A23" s="7"/>
      <c r="B23" s="30" t="s">
        <v>7700</v>
      </c>
      <c r="C23" s="37" t="s">
        <v>8797</v>
      </c>
      <c r="D23" s="25"/>
      <c r="E23" s="25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6" customHeight="1">
      <c r="A24" s="7"/>
      <c r="B24" s="30" t="s">
        <v>7704</v>
      </c>
      <c r="C24" s="37" t="s">
        <v>8798</v>
      </c>
      <c r="D24" s="25"/>
      <c r="E24" s="25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6" customHeight="1">
      <c r="A25" s="7"/>
      <c r="B25" s="30" t="s">
        <v>8799</v>
      </c>
      <c r="C25" s="37" t="s">
        <v>8800</v>
      </c>
      <c r="D25" s="25"/>
      <c r="E25" s="25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6" customHeight="1">
      <c r="A26" s="7"/>
      <c r="B26" s="30" t="s">
        <v>8801</v>
      </c>
      <c r="C26" s="37" t="s">
        <v>8802</v>
      </c>
      <c r="D26" s="25"/>
      <c r="E26" s="25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6" customHeight="1">
      <c r="A27" s="7"/>
      <c r="B27" s="30" t="s">
        <v>7843</v>
      </c>
      <c r="C27" s="37" t="s">
        <v>8803</v>
      </c>
      <c r="D27" s="25"/>
      <c r="E27" s="25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6" customHeight="1">
      <c r="A28" s="7"/>
      <c r="B28" s="30" t="s">
        <v>8804</v>
      </c>
      <c r="C28" s="37" t="s">
        <v>8805</v>
      </c>
      <c r="D28" s="25"/>
      <c r="E28" s="25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6" customHeight="1">
      <c r="A29" s="7"/>
      <c r="B29" s="30" t="s">
        <v>8806</v>
      </c>
      <c r="C29" s="37" t="e">
        <f>CONCATENATE(this_instance,"-vcf01-instance")</f>
        <v>#REF!</v>
      </c>
      <c r="D29" s="25"/>
      <c r="E29" s="25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6" customHeight="1">
      <c r="A30" s="7"/>
      <c r="B30" s="30" t="s">
        <v>8807</v>
      </c>
      <c r="C30" s="37" t="s">
        <v>8808</v>
      </c>
      <c r="D30" s="25"/>
      <c r="E30" s="25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6" customHeight="1">
      <c r="A31" s="7"/>
      <c r="B31" s="30" t="s">
        <v>7732</v>
      </c>
      <c r="C31" s="37" t="s">
        <v>8809</v>
      </c>
      <c r="D31" s="25"/>
      <c r="E31" s="25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6" customHeight="1">
      <c r="A32" s="7"/>
      <c r="B32" s="30" t="s">
        <v>7736</v>
      </c>
      <c r="C32" s="37" t="s">
        <v>8810</v>
      </c>
      <c r="D32" s="25"/>
      <c r="E32" s="25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6" customHeight="1">
      <c r="A33" s="7"/>
      <c r="B33" s="30" t="s">
        <v>7739</v>
      </c>
      <c r="C33" s="37" t="s">
        <v>8797</v>
      </c>
      <c r="D33" s="25"/>
      <c r="E33" s="25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6" customHeight="1">
      <c r="A34" s="7"/>
      <c r="B34" s="30" t="s">
        <v>7743</v>
      </c>
      <c r="C34" s="37" t="e">
        <f>CONCATENATE(this_instance,"-cbr-cdp01")</f>
        <v>#REF!</v>
      </c>
      <c r="D34" s="25"/>
      <c r="E34" s="25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6" customHeight="1">
      <c r="A35" s="7"/>
      <c r="B35" s="30" t="s">
        <v>7747</v>
      </c>
      <c r="C35" s="37" t="e">
        <f>CONCATENATE(sample_mgmt_sddc_domain,"anti-affinity-rule-cbr")</f>
        <v>#REF!</v>
      </c>
      <c r="D35" s="25"/>
      <c r="E35" s="25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6" customHeight="1">
      <c r="A36" s="7"/>
      <c r="B36" s="30" t="s">
        <v>7751</v>
      </c>
      <c r="C36" s="37" t="s">
        <v>8811</v>
      </c>
      <c r="D36" s="25"/>
      <c r="E36" s="25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6" customHeight="1">
      <c r="A37" s="7"/>
      <c r="B37" s="30" t="s">
        <v>7754</v>
      </c>
      <c r="C37" s="37" t="s">
        <v>8812</v>
      </c>
      <c r="D37" s="25"/>
      <c r="E37" s="25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6" customHeight="1">
      <c r="A38" s="7"/>
      <c r="B38" s="30" t="s">
        <v>7758</v>
      </c>
      <c r="C38" s="37" t="s">
        <v>8797</v>
      </c>
      <c r="D38" s="25"/>
      <c r="E38" s="25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6" customHeight="1">
      <c r="A39" s="7"/>
      <c r="B39" s="30" t="s">
        <v>7762</v>
      </c>
      <c r="C39" s="37" t="s">
        <v>8797</v>
      </c>
      <c r="D39" s="25"/>
      <c r="E39" s="25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1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6">
      <c r="A41" s="147"/>
      <c r="B41" s="147"/>
      <c r="C41" s="147"/>
      <c r="D41" s="147"/>
      <c r="E41" s="147"/>
      <c r="F41" s="147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27"/>
      <c r="U41" s="27"/>
      <c r="V41" s="27"/>
      <c r="W41" s="27"/>
      <c r="X41" s="27"/>
      <c r="Y41" s="27"/>
      <c r="Z41" s="27"/>
    </row>
    <row r="42" spans="1:26" ht="45" customHeight="1">
      <c r="A42" s="147"/>
      <c r="B42" s="235" t="s">
        <v>8787</v>
      </c>
      <c r="C42" s="183"/>
      <c r="D42" s="183"/>
      <c r="E42" s="200"/>
      <c r="F42" s="147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27"/>
      <c r="U42" s="27"/>
      <c r="V42" s="27"/>
      <c r="W42" s="27"/>
      <c r="X42" s="27"/>
      <c r="Y42" s="27"/>
      <c r="Z42" s="27"/>
    </row>
    <row r="43" spans="1:26" ht="16">
      <c r="A43" s="147"/>
      <c r="B43" s="147"/>
      <c r="C43" s="147"/>
      <c r="D43" s="147"/>
      <c r="E43" s="147"/>
      <c r="F43" s="147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45" customHeight="1">
      <c r="A44" s="155"/>
      <c r="B44" s="203" t="s">
        <v>8813</v>
      </c>
      <c r="C44" s="183"/>
      <c r="D44" s="183"/>
      <c r="E44" s="181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26" customHeight="1">
      <c r="A45" s="155"/>
      <c r="B45" s="88" t="s">
        <v>6780</v>
      </c>
      <c r="C45" s="88" t="s">
        <v>8191</v>
      </c>
      <c r="D45" s="88" t="s">
        <v>6943</v>
      </c>
      <c r="E45" s="88" t="s">
        <v>8181</v>
      </c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26" customHeight="1">
      <c r="A46" s="155"/>
      <c r="B46" s="30" t="s">
        <v>8369</v>
      </c>
      <c r="C46" s="31" t="e">
        <f>sample_mgmt_vc_fqdn</f>
        <v>#REF!</v>
      </c>
      <c r="D46" s="13" t="e">
        <f>mgmt_vc_fqdn</f>
        <v>#REF!</v>
      </c>
      <c r="E46" s="156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26" customHeight="1">
      <c r="A47" s="155"/>
      <c r="B47" s="30" t="s">
        <v>8814</v>
      </c>
      <c r="C47" s="31" t="e">
        <f>sample_mgmt_datacenter</f>
        <v>#REF!</v>
      </c>
      <c r="D47" s="13" t="e">
        <f>mgmt_datacenter</f>
        <v>#REF!</v>
      </c>
      <c r="E47" s="156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26" customHeight="1">
      <c r="A48" s="155"/>
      <c r="B48" s="56" t="s">
        <v>8815</v>
      </c>
      <c r="C48" s="31" t="e">
        <f t="array" ref="C48">sample_cbr_vm_folder</f>
        <v>#REF!</v>
      </c>
      <c r="D48" s="13" t="str">
        <f t="array" ref="D48">cbr_vm_folder</f>
        <v>Value Missing</v>
      </c>
      <c r="E48" s="156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26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45" customHeight="1">
      <c r="A50" s="68"/>
      <c r="B50" s="203" t="s">
        <v>8816</v>
      </c>
      <c r="C50" s="183"/>
      <c r="D50" s="183"/>
      <c r="E50" s="181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26" customHeight="1">
      <c r="A51" s="68"/>
      <c r="B51" s="88" t="s">
        <v>6780</v>
      </c>
      <c r="C51" s="88" t="s">
        <v>8191</v>
      </c>
      <c r="D51" s="88" t="s">
        <v>6943</v>
      </c>
      <c r="E51" s="88" t="s">
        <v>8181</v>
      </c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26" customHeight="1">
      <c r="A52" s="68"/>
      <c r="B52" s="30" t="s">
        <v>8817</v>
      </c>
      <c r="C52" s="31" t="s">
        <v>8818</v>
      </c>
      <c r="D52" s="96" t="str">
        <f>C52</f>
        <v>console.cloud.vmware.com</v>
      </c>
      <c r="E52" s="156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26" customHeight="1">
      <c r="A53" s="68"/>
      <c r="B53" s="30" t="s">
        <v>8819</v>
      </c>
      <c r="C53" s="31" t="str">
        <f t="array" ref="C53">sample_cbr_recovery_sddc_name</f>
        <v>aws-recovery-sddc</v>
      </c>
      <c r="D53" s="13" t="str">
        <f>cbr_recovery_sddc_name</f>
        <v>Value Missing</v>
      </c>
      <c r="E53" s="156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26" customHeight="1">
      <c r="A54" s="68"/>
      <c r="B54" s="30" t="s">
        <v>7687</v>
      </c>
      <c r="C54" s="31" t="str">
        <f t="array" ref="C54">sample_cbr_recovery_region</f>
        <v>Europe (Ireland)</v>
      </c>
      <c r="D54" s="13" t="str">
        <f>cbr_recovery_region</f>
        <v>Value Missing</v>
      </c>
      <c r="E54" s="156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26" customHeight="1">
      <c r="A55" s="68"/>
      <c r="B55" s="30" t="s">
        <v>7693</v>
      </c>
      <c r="C55" s="31" t="str">
        <f t="array" ref="C55">sample_cbr_recovery_host_type</f>
        <v>I4i (Local SSD)</v>
      </c>
      <c r="D55" s="13" t="str">
        <f>cbr_recovery_host_type</f>
        <v>Value Missing</v>
      </c>
      <c r="E55" s="156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26" customHeight="1">
      <c r="A56" s="68"/>
      <c r="B56" s="30" t="s">
        <v>7696</v>
      </c>
      <c r="C56" s="31">
        <f t="array" ref="C56">sample_cbr_recovery_host_count</f>
        <v>2</v>
      </c>
      <c r="D56" s="13" t="str">
        <f>cbr_recovery_host_count</f>
        <v>Value Missing</v>
      </c>
      <c r="E56" s="156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26" customHeight="1">
      <c r="A57" s="68"/>
      <c r="B57" s="30" t="s">
        <v>7697</v>
      </c>
      <c r="C57" s="31" t="str">
        <f t="array" ref="C57">sample_cbr_recovery_vpc</f>
        <v>&lt;generated&gt;</v>
      </c>
      <c r="D57" s="13" t="str">
        <f>cbr_recovery_vpc</f>
        <v>Value Missing</v>
      </c>
      <c r="E57" s="156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26" customHeight="1">
      <c r="A58" s="68"/>
      <c r="B58" s="30" t="s">
        <v>7700</v>
      </c>
      <c r="C58" s="31" t="str">
        <f t="array" ref="C58">sample_cbr_recovery_subnet</f>
        <v>&lt;generated&gt;</v>
      </c>
      <c r="D58" s="13" t="str">
        <f t="array" ref="D58">cbr_recovery_subnet</f>
        <v>Value Missing</v>
      </c>
      <c r="E58" s="156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26" customHeight="1">
      <c r="A59" s="68"/>
      <c r="B59" s="30" t="s">
        <v>7704</v>
      </c>
      <c r="C59" s="31" t="str">
        <f t="array" ref="C59">sample_cbr_recovery_management_subnet</f>
        <v>10.2.0.0/16</v>
      </c>
      <c r="D59" s="13" t="str">
        <f>cbr_recovery_management_subnet</f>
        <v>Value Missing</v>
      </c>
      <c r="E59" s="156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26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45" customHeight="1">
      <c r="A61" s="68"/>
      <c r="B61" s="203" t="s">
        <v>8820</v>
      </c>
      <c r="C61" s="183"/>
      <c r="D61" s="183"/>
      <c r="E61" s="181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26" customHeight="1">
      <c r="A62" s="68"/>
      <c r="B62" s="88" t="s">
        <v>6780</v>
      </c>
      <c r="C62" s="88" t="s">
        <v>8191</v>
      </c>
      <c r="D62" s="88" t="s">
        <v>6943</v>
      </c>
      <c r="E62" s="88" t="s">
        <v>8181</v>
      </c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26" customHeight="1">
      <c r="A63" s="68"/>
      <c r="B63" s="30" t="s">
        <v>8817</v>
      </c>
      <c r="C63" s="31" t="s">
        <v>8818</v>
      </c>
      <c r="D63" s="13" t="s">
        <v>8818</v>
      </c>
      <c r="E63" s="156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26" customHeight="1">
      <c r="A64" s="68"/>
      <c r="B64" s="30" t="s">
        <v>8821</v>
      </c>
      <c r="C64" s="31" t="str">
        <f t="array" ref="C64">sample_cbr_firewall_rule_vcenter</f>
        <v>vCenter Inbound Rule</v>
      </c>
      <c r="D64" s="13" t="str">
        <f t="array" ref="D64">cbr_firewall_rule_vcenter</f>
        <v>Value Missing</v>
      </c>
      <c r="E64" s="156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26" customHeight="1">
      <c r="A65" s="68"/>
      <c r="B65" s="30" t="s">
        <v>8822</v>
      </c>
      <c r="C65" s="31" t="str">
        <f t="array" ref="C65">sample_cbr_firewall_group</f>
        <v>External-Access</v>
      </c>
      <c r="D65" s="13"/>
      <c r="E65" s="156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26" customHeight="1">
      <c r="A66" s="68"/>
      <c r="B66" s="30" t="s">
        <v>8823</v>
      </c>
      <c r="C66" s="31" t="s">
        <v>6248</v>
      </c>
      <c r="D66" s="13" t="str">
        <f t="shared" ref="D66:D68" si="0">C66</f>
        <v>vCenter</v>
      </c>
      <c r="E66" s="156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26" customHeight="1">
      <c r="A67" s="68"/>
      <c r="B67" s="30" t="s">
        <v>8824</v>
      </c>
      <c r="C67" s="31" t="s">
        <v>8825</v>
      </c>
      <c r="D67" s="13" t="str">
        <f t="shared" si="0"/>
        <v>HTTPS (TCP 443)</v>
      </c>
      <c r="E67" s="156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26" customHeight="1">
      <c r="A68" s="68"/>
      <c r="B68" s="30" t="s">
        <v>8824</v>
      </c>
      <c r="C68" s="31" t="s">
        <v>8826</v>
      </c>
      <c r="D68" s="13" t="str">
        <f t="shared" si="0"/>
        <v>SSO (TCP 7444)</v>
      </c>
      <c r="E68" s="156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26" customHeight="1">
      <c r="A69" s="68"/>
      <c r="B69" s="30" t="s">
        <v>8827</v>
      </c>
      <c r="C69" s="31" t="str">
        <f t="array" ref="C69">sample_cbr_firewall_ip_addresses</f>
        <v>69.34.34.11</v>
      </c>
      <c r="D69" s="13"/>
      <c r="E69" s="156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26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45" customHeight="1">
      <c r="A71" s="68"/>
      <c r="B71" s="203" t="s">
        <v>8828</v>
      </c>
      <c r="C71" s="183"/>
      <c r="D71" s="183"/>
      <c r="E71" s="181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26" customHeight="1">
      <c r="A72" s="68"/>
      <c r="B72" s="88" t="s">
        <v>6780</v>
      </c>
      <c r="C72" s="88" t="s">
        <v>8191</v>
      </c>
      <c r="D72" s="88" t="s">
        <v>6943</v>
      </c>
      <c r="E72" s="88" t="s">
        <v>8181</v>
      </c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26" customHeight="1">
      <c r="A73" s="68"/>
      <c r="B73" s="30" t="s">
        <v>8817</v>
      </c>
      <c r="C73" s="31" t="s">
        <v>8818</v>
      </c>
      <c r="D73" s="13" t="s">
        <v>8818</v>
      </c>
      <c r="E73" s="156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26" customHeight="1">
      <c r="A74" s="68"/>
      <c r="B74" s="30" t="s">
        <v>7687</v>
      </c>
      <c r="C74" s="31" t="str">
        <f>sample_cbr_recovery_region</f>
        <v>Europe (Ireland)</v>
      </c>
      <c r="D74" s="13" t="str">
        <f>cbr_recovery_region</f>
        <v>Value Missing</v>
      </c>
      <c r="E74" s="156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26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45" customHeight="1">
      <c r="A76" s="68"/>
      <c r="B76" s="203" t="s">
        <v>8829</v>
      </c>
      <c r="C76" s="183"/>
      <c r="D76" s="183"/>
      <c r="E76" s="181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26" customHeight="1">
      <c r="A77" s="68"/>
      <c r="B77" s="88" t="s">
        <v>6780</v>
      </c>
      <c r="C77" s="88" t="s">
        <v>8191</v>
      </c>
      <c r="D77" s="88" t="s">
        <v>6943</v>
      </c>
      <c r="E77" s="88" t="s">
        <v>8181</v>
      </c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26" customHeight="1">
      <c r="A78" s="68"/>
      <c r="B78" s="30" t="s">
        <v>8817</v>
      </c>
      <c r="C78" s="31" t="s">
        <v>8818</v>
      </c>
      <c r="D78" s="13" t="s">
        <v>8818</v>
      </c>
      <c r="E78" s="156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26" customHeight="1">
      <c r="A79" s="68"/>
      <c r="B79" s="30" t="s">
        <v>8830</v>
      </c>
      <c r="C79" s="31" t="str">
        <f>sample_cbr_recovery_region</f>
        <v>Europe (Ireland)</v>
      </c>
      <c r="D79" s="13" t="str">
        <f>cbr_recovery_region</f>
        <v>Value Missing</v>
      </c>
      <c r="E79" s="156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26" customHeight="1">
      <c r="A80" s="68"/>
      <c r="B80" s="30" t="s">
        <v>8831</v>
      </c>
      <c r="C80" s="31" t="str">
        <f t="array" ref="C80">sample_cbr_vcdr_cloud_file_system</f>
        <v>usw2-az2-cfs01</v>
      </c>
      <c r="D80" s="13"/>
      <c r="E80" s="156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26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45" customHeight="1">
      <c r="A82" s="68"/>
      <c r="B82" s="203" t="s">
        <v>8832</v>
      </c>
      <c r="C82" s="183"/>
      <c r="D82" s="183"/>
      <c r="E82" s="181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26" customHeight="1">
      <c r="A83" s="68"/>
      <c r="B83" s="88" t="s">
        <v>6780</v>
      </c>
      <c r="C83" s="88" t="s">
        <v>8191</v>
      </c>
      <c r="D83" s="88" t="s">
        <v>6943</v>
      </c>
      <c r="E83" s="88" t="s">
        <v>8181</v>
      </c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26" customHeight="1">
      <c r="A84" s="68"/>
      <c r="B84" s="30" t="s">
        <v>8817</v>
      </c>
      <c r="C84" s="31" t="s">
        <v>8818</v>
      </c>
      <c r="D84" s="13" t="s">
        <v>8818</v>
      </c>
      <c r="E84" s="156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26" customHeight="1">
      <c r="A85" s="68"/>
      <c r="B85" s="30" t="s">
        <v>8833</v>
      </c>
      <c r="C85" s="31" t="str">
        <f>sample_cbr_vcdr_cloud_file_system</f>
        <v>usw2-az2-cfs01</v>
      </c>
      <c r="D85" s="13"/>
      <c r="E85" s="156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26" customHeight="1">
      <c r="A86" s="68"/>
      <c r="B86" s="30" t="s">
        <v>8834</v>
      </c>
      <c r="C86" s="31" t="str">
        <f t="array" ref="C86">sample_cbr_vcdr_timezone</f>
        <v>UTC</v>
      </c>
      <c r="D86" s="13" t="str">
        <f t="array" ref="D86">cbr_vcdr_timezone</f>
        <v>Value Missing</v>
      </c>
      <c r="E86" s="156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26" customHeight="1">
      <c r="A87" s="68"/>
      <c r="B87" s="30" t="s">
        <v>8835</v>
      </c>
      <c r="C87" s="31" t="e">
        <f t="array" ref="C87">sample_cbr_vcdr_site_name</f>
        <v>#REF!</v>
      </c>
      <c r="D87" s="13" t="str">
        <f t="array" ref="D87">cbr_vcdr_site_name</f>
        <v>Value Missing</v>
      </c>
      <c r="E87" s="156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26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45" customHeight="1">
      <c r="A89" s="68"/>
      <c r="B89" s="203" t="s">
        <v>8836</v>
      </c>
      <c r="C89" s="183"/>
      <c r="D89" s="183"/>
      <c r="E89" s="181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26" customHeight="1">
      <c r="A90" s="68"/>
      <c r="B90" s="88" t="s">
        <v>6780</v>
      </c>
      <c r="C90" s="88" t="s">
        <v>8191</v>
      </c>
      <c r="D90" s="88" t="s">
        <v>6943</v>
      </c>
      <c r="E90" s="88" t="s">
        <v>8181</v>
      </c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26" customHeight="1">
      <c r="A91" s="68"/>
      <c r="B91" s="30" t="s">
        <v>8817</v>
      </c>
      <c r="C91" s="31" t="s">
        <v>8818</v>
      </c>
      <c r="D91" s="13" t="s">
        <v>8818</v>
      </c>
      <c r="E91" s="156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26" customHeight="1">
      <c r="A92" s="68"/>
      <c r="B92" s="30" t="s">
        <v>8837</v>
      </c>
      <c r="C92" s="31" t="e">
        <f>sample_cbr_vcdr_site_name</f>
        <v>#REF!</v>
      </c>
      <c r="D92" s="13" t="str">
        <f>cbr_vcdr_site_name</f>
        <v>Value Missing</v>
      </c>
      <c r="E92" s="156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26" customHeight="1">
      <c r="A93" s="68"/>
      <c r="B93" s="30" t="s">
        <v>8838</v>
      </c>
      <c r="C93" s="104" t="str">
        <f t="array" ref="C93">sample_cbr_vcdr_ova</f>
        <v>https://vcdr-34-212-247-60.app.vcdr.vmware.com:443/vmware-cloud-connector.ova</v>
      </c>
      <c r="D93" s="13" t="str">
        <f t="array" ref="D93">cbr_vcdr_ova</f>
        <v>Value Missing</v>
      </c>
      <c r="E93" s="156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26" customHeight="1">
      <c r="A94" s="68"/>
      <c r="B94" s="30" t="s">
        <v>8369</v>
      </c>
      <c r="C94" s="31" t="e">
        <f>sample_mgmt_vc_fqdn</f>
        <v>#REF!</v>
      </c>
      <c r="D94" s="13" t="e">
        <f>mgmt_vc_fqdn</f>
        <v>#REF!</v>
      </c>
      <c r="E94" s="156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26" customHeight="1">
      <c r="A95" s="68"/>
      <c r="B95" s="30" t="s">
        <v>8219</v>
      </c>
      <c r="C95" s="31" t="e">
        <f>sample_cbr_vm_folder</f>
        <v>#REF!</v>
      </c>
      <c r="D95" s="13" t="str">
        <f>cbr_vm_folder</f>
        <v>Value Missing</v>
      </c>
      <c r="E95" s="156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26" customHeight="1">
      <c r="A96" s="68"/>
      <c r="B96" s="30" t="s">
        <v>8303</v>
      </c>
      <c r="C96" s="31" t="e">
        <f t="array" ref="C96">sample_cbr_vcdr_cdp1_hostname</f>
        <v>#REF!</v>
      </c>
      <c r="D96" s="13" t="str">
        <f t="array" ref="D96">cbr_vcdr_cdp1_hostname</f>
        <v>Value Missing</v>
      </c>
      <c r="E96" s="156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26" customHeight="1">
      <c r="A97" s="68"/>
      <c r="B97" s="30" t="s">
        <v>8305</v>
      </c>
      <c r="C97" s="31" t="e">
        <f>sample_mgmt_cl01_cluster</f>
        <v>#REF!</v>
      </c>
      <c r="D97" s="13" t="e">
        <f>mgmt_cl01_cluster</f>
        <v>#REF!</v>
      </c>
      <c r="E97" s="156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26" customHeight="1">
      <c r="A98" s="68"/>
      <c r="B98" s="30" t="s">
        <v>8839</v>
      </c>
      <c r="C98" s="31" t="e">
        <f>sample_mgmt_cl01_vsan_datastore</f>
        <v>#REF!</v>
      </c>
      <c r="D98" s="13" t="e">
        <f>mgmt_cl01_vsan_datastore</f>
        <v>#REF!</v>
      </c>
      <c r="E98" s="156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26" customHeight="1">
      <c r="A99" s="68"/>
      <c r="B99" s="30" t="s">
        <v>334</v>
      </c>
      <c r="C99" s="31" t="e">
        <f>sample_mgmt_cl01_az1_mgmt_pg</f>
        <v>#REF!</v>
      </c>
      <c r="D99" s="13" t="e">
        <f>mgmt_cl01_az1_mgmt_pg</f>
        <v>#REF!</v>
      </c>
      <c r="E99" s="156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26" customHeight="1">
      <c r="A100" s="68"/>
      <c r="B100" s="30" t="s">
        <v>8840</v>
      </c>
      <c r="C100" s="31" t="s">
        <v>6706</v>
      </c>
      <c r="D100" s="13" t="str">
        <f>C100</f>
        <v>admin</v>
      </c>
      <c r="E100" s="156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26" customHeight="1">
      <c r="A101" s="68"/>
      <c r="B101" s="30" t="s">
        <v>8098</v>
      </c>
      <c r="C101" s="31"/>
      <c r="D101" s="13"/>
      <c r="E101" s="156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26" customHeight="1">
      <c r="A102" s="68"/>
      <c r="B102" s="30" t="s">
        <v>8841</v>
      </c>
      <c r="C102" s="31" t="s">
        <v>8842</v>
      </c>
      <c r="D102" s="13" t="str">
        <f>C102</f>
        <v>Static</v>
      </c>
      <c r="E102" s="156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26" customHeight="1">
      <c r="A103" s="68"/>
      <c r="B103" s="30" t="s">
        <v>7937</v>
      </c>
      <c r="C103" s="31" t="e">
        <f t="array" ref="C103">sample_cbr_vcdr_cdp1_ip</f>
        <v>#REF!</v>
      </c>
      <c r="D103" s="13" t="str">
        <f t="array" ref="D103">cbr_vcdr_cdp1_ip</f>
        <v>Value Missing</v>
      </c>
      <c r="E103" s="156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26" customHeight="1">
      <c r="A104" s="68"/>
      <c r="B104" s="30" t="s">
        <v>8843</v>
      </c>
      <c r="C104" s="31" t="e">
        <f>VLOOKUP(INT(RIGHT(sample_mgmt_az1_mgmt_cidr,LEN(sample_mgmt_az1_mgmt_cidr)-FIND("/",sample_mgmt_az1_mgmt_cidr))),table_cidr_to_mask,2,FALSE)</f>
        <v>#NAME?</v>
      </c>
      <c r="D104" s="13" t="e">
        <f>mgmt_az1_mgmt_mask</f>
        <v>#REF!</v>
      </c>
      <c r="E104" s="156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26" customHeight="1">
      <c r="A105" s="68"/>
      <c r="B105" s="30" t="s">
        <v>7180</v>
      </c>
      <c r="C105" s="31" t="e">
        <f>sample_mgmt_az1_mgmt_gateway_cidr</f>
        <v>#REF!</v>
      </c>
      <c r="D105" s="13" t="e">
        <f>mgmt_az1_mgmt_gateway_ip</f>
        <v>#REF!</v>
      </c>
      <c r="E105" s="156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26" customHeight="1">
      <c r="A106" s="68"/>
      <c r="B106" s="30" t="s">
        <v>6694</v>
      </c>
      <c r="C106" s="31" t="e">
        <f>CONCATENATE(sample_region_dns1_ip," ",sample_region_dns2_ip)</f>
        <v>#REF!</v>
      </c>
      <c r="D106" s="13" t="e">
        <f>CONCATENATE(region_dns1_ip," ",region_dns2_ip)</f>
        <v>#REF!</v>
      </c>
      <c r="E106" s="156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26" customHeight="1">
      <c r="A107" s="68"/>
      <c r="B107" s="30" t="s">
        <v>7736</v>
      </c>
      <c r="C107" s="104" t="str">
        <f t="array" ref="C107">sample_cbr_vcdr_orchestrator_fqdn</f>
        <v>vcdr-34-212-247-60.app.vcdr.vmware.com</v>
      </c>
      <c r="D107" s="13" t="str">
        <f t="array" ref="D107">cbr_vcdr_orchestrator_fqdn</f>
        <v>Value Missing</v>
      </c>
      <c r="E107" s="156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26" customHeight="1">
      <c r="A108" s="68"/>
      <c r="B108" s="30" t="s">
        <v>7739</v>
      </c>
      <c r="C108" s="31" t="str">
        <f t="array" ref="C108">sample_cbr_vcdr_passcode</f>
        <v>&lt;generated&gt;</v>
      </c>
      <c r="D108" s="13" t="str">
        <f t="array" ref="D108">cbr_vcdr_passcode</f>
        <v>Value Missing</v>
      </c>
      <c r="E108" s="156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26" customHeight="1">
      <c r="A109" s="68"/>
      <c r="B109" s="30" t="s">
        <v>7743</v>
      </c>
      <c r="C109" s="31" t="e">
        <f t="array" ref="C109">sample_cbr_vcdr_label</f>
        <v>#REF!</v>
      </c>
      <c r="D109" s="13" t="str">
        <f t="array" ref="D109">cbr_vcdr_label</f>
        <v>Value Missing</v>
      </c>
      <c r="E109" s="156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26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45" customHeight="1">
      <c r="A111" s="155"/>
      <c r="B111" s="203" t="s">
        <v>8844</v>
      </c>
      <c r="C111" s="183"/>
      <c r="D111" s="183"/>
      <c r="E111" s="181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27"/>
      <c r="U111" s="27"/>
      <c r="V111" s="27"/>
      <c r="W111" s="27"/>
      <c r="X111" s="27"/>
      <c r="Y111" s="27"/>
      <c r="Z111" s="27"/>
    </row>
    <row r="112" spans="1:26" ht="26" customHeight="1">
      <c r="A112" s="155"/>
      <c r="B112" s="88" t="s">
        <v>6780</v>
      </c>
      <c r="C112" s="88" t="s">
        <v>8191</v>
      </c>
      <c r="D112" s="88" t="s">
        <v>6943</v>
      </c>
      <c r="E112" s="88" t="s">
        <v>8181</v>
      </c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27"/>
      <c r="U112" s="27"/>
      <c r="V112" s="27"/>
      <c r="W112" s="27"/>
      <c r="X112" s="27"/>
      <c r="Y112" s="27"/>
      <c r="Z112" s="27"/>
    </row>
    <row r="113" spans="1:26" ht="26" customHeight="1">
      <c r="A113" s="155"/>
      <c r="B113" s="30" t="s">
        <v>8817</v>
      </c>
      <c r="C113" s="31" t="s">
        <v>8818</v>
      </c>
      <c r="D113" s="96" t="str">
        <f>C113</f>
        <v>console.cloud.vmware.com</v>
      </c>
      <c r="E113" s="156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27"/>
      <c r="U113" s="27"/>
      <c r="V113" s="27"/>
      <c r="W113" s="27"/>
      <c r="X113" s="27"/>
      <c r="Y113" s="27"/>
      <c r="Z113" s="27"/>
    </row>
    <row r="114" spans="1:26" ht="26" customHeight="1">
      <c r="A114" s="155"/>
      <c r="B114" s="30" t="s">
        <v>8837</v>
      </c>
      <c r="C114" s="31" t="e">
        <f>sample_cbr_vcdr_site_name</f>
        <v>#REF!</v>
      </c>
      <c r="D114" s="13" t="str">
        <f>cbr_vcdr_site_name</f>
        <v>Value Missing</v>
      </c>
      <c r="E114" s="156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27"/>
      <c r="U114" s="27"/>
      <c r="V114" s="27"/>
      <c r="W114" s="27"/>
      <c r="X114" s="27"/>
      <c r="Y114" s="27"/>
      <c r="Z114" s="27"/>
    </row>
    <row r="115" spans="1:26" ht="26" customHeight="1">
      <c r="A115" s="155"/>
      <c r="B115" s="30" t="s">
        <v>8845</v>
      </c>
      <c r="C115" s="31" t="e">
        <f>sample_wld_vc_ip</f>
        <v>#REF!</v>
      </c>
      <c r="D115" s="13" t="e">
        <f>wld_vc_ip</f>
        <v>#REF!</v>
      </c>
      <c r="E115" s="156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27"/>
      <c r="U115" s="27"/>
      <c r="V115" s="27"/>
      <c r="W115" s="27"/>
      <c r="X115" s="27"/>
      <c r="Y115" s="27"/>
      <c r="Z115" s="27"/>
    </row>
    <row r="116" spans="1:26" ht="26" customHeight="1">
      <c r="A116" s="155"/>
      <c r="B116" s="30" t="s">
        <v>8846</v>
      </c>
      <c r="C116" s="104" t="str">
        <f>sso_default_admin</f>
        <v>administrator@vsphere.local</v>
      </c>
      <c r="D116" s="96" t="str">
        <f>sso_default_admin</f>
        <v>administrator@vsphere.local</v>
      </c>
      <c r="E116" s="156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27"/>
      <c r="U116" s="27"/>
      <c r="V116" s="27"/>
      <c r="W116" s="27"/>
      <c r="X116" s="27"/>
      <c r="Y116" s="27"/>
      <c r="Z116" s="27"/>
    </row>
    <row r="117" spans="1:26" ht="26" customHeight="1">
      <c r="A117" s="155"/>
      <c r="B117" s="30" t="s">
        <v>8847</v>
      </c>
      <c r="C117" s="31" t="e">
        <f>sample_administrator_vsphere_local_password</f>
        <v>#REF!</v>
      </c>
      <c r="D117" s="13" t="e">
        <f>administrator_vsphere_local_password</f>
        <v>#REF!</v>
      </c>
      <c r="E117" s="156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27"/>
      <c r="U117" s="27"/>
      <c r="V117" s="27"/>
      <c r="W117" s="27"/>
      <c r="X117" s="27"/>
      <c r="Y117" s="27"/>
      <c r="Z117" s="27"/>
    </row>
    <row r="118" spans="1:26" ht="26" customHeight="1">
      <c r="A118" s="155"/>
      <c r="B118" s="30" t="s">
        <v>8848</v>
      </c>
      <c r="C118" s="31" t="str">
        <f>CONCATENATE(sample_svc_cbr_vcdr_vsphere_user,"@vsphere.local")</f>
        <v>svc-vlcr-vsphere@vsphere.local</v>
      </c>
      <c r="D118" s="13" t="str">
        <f>CONCATENATE(svc_cbr_vcdr_vsphere_user,"@vsphere.local")</f>
        <v>Value Missing@vsphere.local</v>
      </c>
      <c r="E118" s="156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27"/>
      <c r="U118" s="27"/>
      <c r="V118" s="27"/>
      <c r="W118" s="27"/>
      <c r="X118" s="27"/>
      <c r="Y118" s="27"/>
      <c r="Z118" s="27"/>
    </row>
    <row r="119" spans="1:26" ht="26" customHeight="1">
      <c r="A119" s="155"/>
      <c r="B119" s="30" t="s">
        <v>8849</v>
      </c>
      <c r="C119" s="31" t="str">
        <f>sample_svc_cbr_vcdr_vsphere_password</f>
        <v>VMw@re1!</v>
      </c>
      <c r="D119" s="13" t="str">
        <f t="array" ref="D119">svc_cbr_vcdr_vsphere_password</f>
        <v>Value Missing</v>
      </c>
      <c r="E119" s="156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27"/>
      <c r="U119" s="27"/>
      <c r="V119" s="27"/>
      <c r="W119" s="27"/>
      <c r="X119" s="27"/>
      <c r="Y119" s="27"/>
      <c r="Z119" s="27"/>
    </row>
    <row r="120" spans="1:26" ht="26" customHeight="1">
      <c r="A120" s="155"/>
      <c r="B120" s="39" t="s">
        <v>8850</v>
      </c>
      <c r="C120" s="31" t="str">
        <f>sample_cbr_vcdr_vsphere_role</f>
        <v>VMware Live Cyber Recovery to vSphere Integration</v>
      </c>
      <c r="D120" s="13" t="str">
        <f>cbr_vcdr_vsphere_role</f>
        <v>Value Missing</v>
      </c>
      <c r="E120" s="156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27"/>
      <c r="U120" s="27"/>
      <c r="V120" s="27"/>
      <c r="W120" s="27"/>
      <c r="X120" s="27"/>
      <c r="Y120" s="27"/>
      <c r="Z120" s="27"/>
    </row>
    <row r="121" spans="1:26" ht="26" customHeight="1">
      <c r="A121" s="155"/>
      <c r="B121" s="95"/>
      <c r="C121" s="51"/>
      <c r="D121" s="51"/>
      <c r="E121" s="155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27"/>
      <c r="U121" s="27"/>
      <c r="V121" s="27"/>
      <c r="W121" s="27"/>
      <c r="X121" s="27"/>
      <c r="Y121" s="27"/>
      <c r="Z121" s="27"/>
    </row>
    <row r="122" spans="1:26" ht="45" customHeight="1">
      <c r="A122" s="68"/>
      <c r="B122" s="203" t="s">
        <v>8851</v>
      </c>
      <c r="C122" s="183"/>
      <c r="D122" s="183"/>
      <c r="E122" s="181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26" customHeight="1">
      <c r="A123" s="68"/>
      <c r="B123" s="88" t="s">
        <v>6780</v>
      </c>
      <c r="C123" s="88" t="s">
        <v>8191</v>
      </c>
      <c r="D123" s="88" t="s">
        <v>6943</v>
      </c>
      <c r="E123" s="88" t="s">
        <v>8181</v>
      </c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26" customHeight="1">
      <c r="A124" s="68"/>
      <c r="B124" s="30" t="s">
        <v>8369</v>
      </c>
      <c r="C124" s="31" t="e">
        <f>sample_mgmt_vc_fqdn</f>
        <v>#REF!</v>
      </c>
      <c r="D124" s="13" t="e">
        <f>mgmt_vc_fqdn</f>
        <v>#REF!</v>
      </c>
      <c r="E124" s="156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26" customHeight="1">
      <c r="A125" s="68"/>
      <c r="B125" s="30" t="s">
        <v>8814</v>
      </c>
      <c r="C125" s="31" t="e">
        <f>sample_mgmt_datacenter</f>
        <v>#REF!</v>
      </c>
      <c r="D125" s="13" t="e">
        <f>mgmt_datacenter</f>
        <v>#REF!</v>
      </c>
      <c r="E125" s="156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26" customHeight="1">
      <c r="A126" s="68"/>
      <c r="B126" s="30" t="s">
        <v>6317</v>
      </c>
      <c r="C126" s="31" t="e">
        <f>sample_mgmt_cl01_cluster</f>
        <v>#REF!</v>
      </c>
      <c r="D126" s="13" t="e">
        <f>mgmt_cl01_cluster</f>
        <v>#REF!</v>
      </c>
      <c r="E126" s="156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26" customHeight="1">
      <c r="A127" s="68"/>
      <c r="B127" s="30" t="s">
        <v>6780</v>
      </c>
      <c r="C127" s="31" t="e">
        <f>sample_cbr_vcdr_anti_affinity</f>
        <v>#REF!</v>
      </c>
      <c r="D127" s="13" t="str">
        <f>cbr_vcdr_anti_affinity</f>
        <v>Value Missing</v>
      </c>
      <c r="E127" s="156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26" customHeight="1">
      <c r="A128" s="68"/>
      <c r="B128" s="30" t="s">
        <v>8852</v>
      </c>
      <c r="C128" s="31" t="e">
        <f>sample_cbr_vcdr_cdp1_hostname</f>
        <v>#REF!</v>
      </c>
      <c r="D128" s="13" t="str">
        <f>cbr_vcdr_cdp1_hostname</f>
        <v>Value Missing</v>
      </c>
      <c r="E128" s="156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26" customHeight="1">
      <c r="A129" s="68"/>
      <c r="B129" s="157" t="s">
        <v>8853</v>
      </c>
      <c r="C129" s="110" t="e">
        <f>sample_cbr_vcdr_cdp2_hostname</f>
        <v>#REF!</v>
      </c>
      <c r="D129" s="32" t="str">
        <f>cbr_vcdr_cdp2_hostname</f>
        <v>Value Missing</v>
      </c>
      <c r="E129" s="156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26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45" customHeight="1">
      <c r="A131" s="68"/>
      <c r="B131" s="203" t="s">
        <v>8854</v>
      </c>
      <c r="C131" s="183"/>
      <c r="D131" s="183"/>
      <c r="E131" s="181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26" customHeight="1">
      <c r="A132" s="68"/>
      <c r="B132" s="88" t="s">
        <v>6780</v>
      </c>
      <c r="C132" s="88" t="s">
        <v>8191</v>
      </c>
      <c r="D132" s="88" t="s">
        <v>6943</v>
      </c>
      <c r="E132" s="88" t="s">
        <v>8181</v>
      </c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26" customHeight="1">
      <c r="A133" s="68"/>
      <c r="B133" s="30" t="s">
        <v>8369</v>
      </c>
      <c r="C133" s="31" t="e">
        <f>sample_mgmt_vc_fqdn</f>
        <v>#REF!</v>
      </c>
      <c r="D133" s="13" t="e">
        <f>mgmt_vc_fqdn</f>
        <v>#REF!</v>
      </c>
      <c r="E133" s="156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26" customHeight="1">
      <c r="A134" s="68"/>
      <c r="B134" s="30" t="s">
        <v>6780</v>
      </c>
      <c r="C134" s="31" t="e">
        <f>CONCATENATE(sample_mgmt_cl01_cluster,"_primary-az-vmgroup")</f>
        <v>#REF!</v>
      </c>
      <c r="D134" s="13" t="e">
        <f>CONCATENATE(mgmt_cl01_cluster,"_primary-az-vmgroup")</f>
        <v>#REF!</v>
      </c>
      <c r="E134" s="156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26" customHeight="1">
      <c r="A135" s="68"/>
      <c r="B135" s="30" t="s">
        <v>8852</v>
      </c>
      <c r="C135" s="31" t="e">
        <f>sample_cbr_vcdr_cdp1_hostname</f>
        <v>#REF!</v>
      </c>
      <c r="D135" s="13" t="str">
        <f>cbr_vcdr_cdp1_hostname</f>
        <v>Value Missing</v>
      </c>
      <c r="E135" s="156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26" customHeight="1">
      <c r="A136" s="68"/>
      <c r="B136" s="157" t="s">
        <v>8853</v>
      </c>
      <c r="C136" s="110" t="e">
        <f>sample_cbr_vcdr_cdp2_hostname</f>
        <v>#REF!</v>
      </c>
      <c r="D136" s="32" t="str">
        <f>cbr_vcdr_cdp2_hostname</f>
        <v>Value Missing</v>
      </c>
      <c r="E136" s="156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26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45" customHeight="1">
      <c r="A138" s="68"/>
      <c r="B138" s="203" t="s">
        <v>8855</v>
      </c>
      <c r="C138" s="183"/>
      <c r="D138" s="183"/>
      <c r="E138" s="181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26" customHeight="1">
      <c r="A139" s="68"/>
      <c r="B139" s="88" t="s">
        <v>6780</v>
      </c>
      <c r="C139" s="88" t="s">
        <v>8191</v>
      </c>
      <c r="D139" s="88" t="s">
        <v>6943</v>
      </c>
      <c r="E139" s="88" t="s">
        <v>8181</v>
      </c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26" customHeight="1">
      <c r="A140" s="68"/>
      <c r="B140" s="30" t="s">
        <v>8817</v>
      </c>
      <c r="C140" s="31" t="s">
        <v>8818</v>
      </c>
      <c r="D140" s="96" t="str">
        <f>C140</f>
        <v>console.cloud.vmware.com</v>
      </c>
      <c r="E140" s="156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26" customHeight="1">
      <c r="A141" s="68"/>
      <c r="B141" s="30" t="s">
        <v>8837</v>
      </c>
      <c r="C141" s="31" t="e">
        <f>sample_cbr_vcdr_site_name</f>
        <v>#REF!</v>
      </c>
      <c r="D141" s="13" t="str">
        <f>cbr_vcdr_site_name</f>
        <v>Value Missing</v>
      </c>
      <c r="E141" s="156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26" customHeight="1">
      <c r="A142" s="68"/>
      <c r="B142" s="30" t="s">
        <v>8856</v>
      </c>
      <c r="C142" s="31" t="e">
        <f>sample_wld_vc_ip</f>
        <v>#REF!</v>
      </c>
      <c r="D142" s="13" t="e">
        <f>wld_vc_ip</f>
        <v>#REF!</v>
      </c>
      <c r="E142" s="156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26" customHeight="1">
      <c r="A143" s="68"/>
      <c r="B143" s="30" t="s">
        <v>8857</v>
      </c>
      <c r="C143" s="31" t="str">
        <f>CONCATENATE(sample_svc_cbr_vcdr_vsphere_user,"@vsphere.local")</f>
        <v>svc-vlcr-vsphere@vsphere.local</v>
      </c>
      <c r="D143" s="13" t="str">
        <f>CONCATENATE(svc_cbr_vcdr_vsphere_user,"@vsphere.local")</f>
        <v>Value Missing@vsphere.local</v>
      </c>
      <c r="E143" s="156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26" customHeight="1">
      <c r="A144" s="68"/>
      <c r="B144" s="30" t="s">
        <v>6792</v>
      </c>
      <c r="C144" s="31" t="str">
        <f>sample_svc_cbr_vcdr_vsphere_password</f>
        <v>VMw@re1!</v>
      </c>
      <c r="D144" s="13" t="str">
        <f>svc_cbr_vcdr_vsphere_password</f>
        <v>Value Missing</v>
      </c>
      <c r="E144" s="156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26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45" customHeight="1">
      <c r="A146" s="68"/>
      <c r="B146" s="203" t="s">
        <v>8858</v>
      </c>
      <c r="C146" s="183"/>
      <c r="D146" s="183"/>
      <c r="E146" s="181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26" customHeight="1">
      <c r="A147" s="68"/>
      <c r="B147" s="88" t="s">
        <v>6780</v>
      </c>
      <c r="C147" s="88" t="s">
        <v>8191</v>
      </c>
      <c r="D147" s="88" t="s">
        <v>6943</v>
      </c>
      <c r="E147" s="88" t="s">
        <v>8181</v>
      </c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26" customHeight="1">
      <c r="A148" s="68"/>
      <c r="B148" s="30" t="s">
        <v>8817</v>
      </c>
      <c r="C148" s="31" t="s">
        <v>8818</v>
      </c>
      <c r="D148" s="96" t="str">
        <f>C148</f>
        <v>console.cloud.vmware.com</v>
      </c>
      <c r="E148" s="156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26" customHeight="1">
      <c r="A149" s="68"/>
      <c r="B149" s="30" t="s">
        <v>8837</v>
      </c>
      <c r="C149" s="31" t="e">
        <f>sample_cbr_vcdr_site_name</f>
        <v>#REF!</v>
      </c>
      <c r="D149" s="13" t="str">
        <f>cbr_vcdr_site_name</f>
        <v>Value Missing</v>
      </c>
      <c r="E149" s="156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26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45" customHeight="1">
      <c r="A151" s="68"/>
      <c r="B151" s="203" t="s">
        <v>8859</v>
      </c>
      <c r="C151" s="183"/>
      <c r="D151" s="183"/>
      <c r="E151" s="181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26" customHeight="1">
      <c r="A152" s="68"/>
      <c r="B152" s="88" t="s">
        <v>6780</v>
      </c>
      <c r="C152" s="88" t="s">
        <v>8191</v>
      </c>
      <c r="D152" s="88" t="s">
        <v>6943</v>
      </c>
      <c r="E152" s="88" t="s">
        <v>8181</v>
      </c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26" customHeight="1">
      <c r="A153" s="68"/>
      <c r="B153" s="30" t="s">
        <v>8817</v>
      </c>
      <c r="C153" s="31" t="s">
        <v>8818</v>
      </c>
      <c r="D153" s="96" t="str">
        <f>C153</f>
        <v>console.cloud.vmware.com</v>
      </c>
      <c r="E153" s="156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26" customHeight="1">
      <c r="A154" s="68"/>
      <c r="B154" s="30" t="s">
        <v>7751</v>
      </c>
      <c r="C154" s="31" t="str">
        <f>sample_cbr_vcdr_email_recipient</f>
        <v>cloudadmins@rainpole.io</v>
      </c>
      <c r="D154" s="13" t="str">
        <f>cbr_vcdr_email_recipient</f>
        <v>Value Missing</v>
      </c>
      <c r="E154" s="156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26" customHeight="1">
      <c r="A155" s="68"/>
      <c r="B155" s="30" t="s">
        <v>7754</v>
      </c>
      <c r="C155" s="31" t="str">
        <f>sample_cbr_vcdr_email_sender</f>
        <v>administrator@rainpole.io</v>
      </c>
      <c r="D155" s="13" t="str">
        <f>cbr_vcdr_email_sender</f>
        <v>Value Missing</v>
      </c>
      <c r="E155" s="156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26" customHeight="1">
      <c r="A156" s="68"/>
      <c r="B156" s="30" t="s">
        <v>8860</v>
      </c>
      <c r="C156" s="31" t="s">
        <v>8861</v>
      </c>
      <c r="D156" s="13" t="str">
        <f>C156</f>
        <v>no-reply-vlcr</v>
      </c>
      <c r="E156" s="156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26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45" customHeight="1">
      <c r="A158" s="147"/>
      <c r="B158" s="235" t="s">
        <v>8387</v>
      </c>
      <c r="C158" s="183"/>
      <c r="D158" s="183"/>
      <c r="E158" s="200"/>
      <c r="F158" s="147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26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45" customHeight="1">
      <c r="A160" s="68"/>
      <c r="B160" s="203" t="s">
        <v>8862</v>
      </c>
      <c r="C160" s="183"/>
      <c r="D160" s="183"/>
      <c r="E160" s="181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26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45" customHeight="1">
      <c r="A162" s="68"/>
      <c r="B162" s="203" t="s">
        <v>8863</v>
      </c>
      <c r="C162" s="183"/>
      <c r="D162" s="183"/>
      <c r="E162" s="181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26" customHeight="1">
      <c r="A163" s="68"/>
      <c r="B163" s="88" t="s">
        <v>6780</v>
      </c>
      <c r="C163" s="88" t="s">
        <v>8191</v>
      </c>
      <c r="D163" s="88" t="s">
        <v>6943</v>
      </c>
      <c r="E163" s="88" t="s">
        <v>8181</v>
      </c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26" customHeight="1">
      <c r="A164" s="68"/>
      <c r="B164" s="30" t="s">
        <v>8559</v>
      </c>
      <c r="C164" s="31" t="e">
        <f>sample_xreg_vrops_virtual_fqdn</f>
        <v>#REF!</v>
      </c>
      <c r="D164" s="13" t="e">
        <f>xreg_vrops_virtual_fqdn</f>
        <v>#REF!</v>
      </c>
      <c r="E164" s="156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26" customHeight="1">
      <c r="A165" s="68"/>
      <c r="B165" s="30" t="s">
        <v>6780</v>
      </c>
      <c r="C165" s="31" t="str">
        <f>"ransomware-recovery-proxies"</f>
        <v>ransomware-recovery-proxies</v>
      </c>
      <c r="D165" s="13" t="str">
        <f t="shared" ref="D165:D166" si="1">C165</f>
        <v>ransomware-recovery-proxies</v>
      </c>
      <c r="E165" s="156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26" customHeight="1">
      <c r="A166" s="68"/>
      <c r="B166" s="30" t="s">
        <v>8864</v>
      </c>
      <c r="C166" s="31" t="str">
        <f>C165</f>
        <v>ransomware-recovery-proxies</v>
      </c>
      <c r="D166" s="13" t="str">
        <f t="shared" si="1"/>
        <v>ransomware-recovery-proxies</v>
      </c>
      <c r="E166" s="156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26" customHeight="1">
      <c r="A167" s="68"/>
      <c r="B167" s="30" t="s">
        <v>8865</v>
      </c>
      <c r="C167" s="31" t="e">
        <f>CONCATENATE(sample_cbr_vcdr_cdp1_ip,",",sample_cbr_vcdr_cdp2_ip)</f>
        <v>#REF!</v>
      </c>
      <c r="D167" s="13" t="str">
        <f>CONCATENATE(cbr_vcdr_cdp1_ip,",",cbr_vcdr_cdp2_ip)</f>
        <v>Value Missing,Value Missing</v>
      </c>
      <c r="E167" s="156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26" customHeight="1">
      <c r="A168" s="68"/>
      <c r="B168" s="30" t="s">
        <v>8866</v>
      </c>
      <c r="C168" s="31" t="e">
        <f>CONCATENATE(sample_mgmt_sddc_domain,"-collector-group")</f>
        <v>#REF!</v>
      </c>
      <c r="D168" s="13" t="e">
        <f>CONCATENATE(mgmt_sddc_domain,"-collector-group")</f>
        <v>#REF!</v>
      </c>
      <c r="E168" s="156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26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6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6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6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6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6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6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6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6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6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6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6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6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6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6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6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6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6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6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6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6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6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6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6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6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6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6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6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6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6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6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6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6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6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6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6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6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6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6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6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6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6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6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6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6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6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6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6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16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16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16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16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1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16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16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16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16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16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16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16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16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16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1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16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16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16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16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16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16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16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16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16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1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16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16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16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16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16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16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16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16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16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1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16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16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16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16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16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16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16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16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16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1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16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16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16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16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16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16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16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16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16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1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16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16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16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16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16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16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16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16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16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1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16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16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16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16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16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16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16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16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16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1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16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16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spans="1:26" ht="16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spans="1:26" ht="16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spans="1:26" ht="16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spans="1:26" ht="16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spans="1:26" ht="16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spans="1:26" ht="16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spans="1:26" ht="16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spans="1:26" ht="1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spans="1:26" ht="16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spans="1:26" ht="16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spans="1:26" ht="16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spans="1:26" ht="16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16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spans="1:26" ht="16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spans="1:26" ht="16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spans="1:26" ht="16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16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spans="1:26" ht="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spans="1:26" ht="16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spans="1:26" ht="16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spans="1:26" ht="16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spans="1:26" ht="16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spans="1:26" ht="16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spans="1:26" ht="16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spans="1:26" ht="16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spans="1:26" ht="16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spans="1:26" ht="16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spans="1:26" ht="1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spans="1:26" ht="16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spans="1:26" ht="16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spans="1:26" ht="16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spans="1:26" ht="16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spans="1:26" ht="16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spans="1:26" ht="16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spans="1:26" ht="16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spans="1:26" ht="16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16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spans="1:26" ht="1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spans="1:26" ht="16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spans="1:26" ht="16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spans="1:26" ht="16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spans="1:26" ht="16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spans="1:26" ht="16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spans="1:26" ht="16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spans="1:26" ht="16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spans="1:26" ht="16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spans="1:26" ht="16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spans="1:26" ht="1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spans="1:26" ht="16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spans="1:26" ht="16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spans="1:26" ht="16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spans="1:26" ht="16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spans="1:26" ht="16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spans="1:26" ht="16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spans="1:26" ht="16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spans="1:26" ht="16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spans="1:26" ht="16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spans="1:26" ht="1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spans="1:26" ht="16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spans="1:26" ht="16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spans="1:26" ht="16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spans="1:26" ht="16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spans="1:26" ht="16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spans="1:26" ht="16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spans="1:26" ht="16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spans="1:26" ht="16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spans="1:26" ht="16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spans="1:26" ht="1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spans="1:26" ht="16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spans="1:26" ht="16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spans="1:26" ht="16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spans="1:26" ht="16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spans="1:26" ht="16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spans="1:26" ht="16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spans="1:26" ht="16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spans="1:26" ht="16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spans="1:26" ht="16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spans="1:26" ht="1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spans="1:26" ht="16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spans="1:26" ht="16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spans="1:26" ht="16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spans="1:26" ht="16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ht="16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16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spans="1:26" ht="16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spans="1:26" ht="16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ht="16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spans="1:26" ht="1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spans="1:26" ht="16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spans="1:26" ht="16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spans="1:26" ht="16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spans="1:26" ht="16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spans="1:26" ht="16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16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spans="1:26" ht="16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spans="1:26" ht="16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spans="1:26" ht="16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spans="1:26" ht="1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spans="1:26" ht="16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spans="1:26" ht="16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spans="1:26" ht="16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spans="1:26" ht="16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spans="1:26" ht="16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spans="1:26" ht="16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spans="1:26" ht="16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spans="1:26" ht="16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spans="1:26" ht="16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spans="1:26" ht="1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spans="1:26" ht="16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spans="1:26" ht="16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spans="1:26" ht="16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spans="1:26" ht="16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spans="1:26" ht="16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spans="1:26" ht="16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spans="1:26" ht="16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spans="1:26" ht="16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spans="1:26" ht="16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spans="1:26" ht="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spans="1:26" ht="16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spans="1:26" ht="16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spans="1:26" ht="16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spans="1:26" ht="16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spans="1:26" ht="16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spans="1:26" ht="16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spans="1:26" ht="16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spans="1:26" ht="16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spans="1:26" ht="16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spans="1:26" ht="1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spans="1:26" ht="16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spans="1:26" ht="16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16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spans="1:26" ht="16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spans="1:26" ht="16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spans="1:26" ht="16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spans="1:26" ht="16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spans="1:26" ht="16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spans="1:26" ht="16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spans="1:26" ht="1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spans="1:26" ht="16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spans="1:26" ht="16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spans="1:26" ht="16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spans="1:26" ht="16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spans="1:26" ht="16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spans="1:26" ht="16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spans="1:26" ht="16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spans="1:26" ht="16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spans="1:26" ht="16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spans="1:26" ht="1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spans="1:26" ht="16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spans="1:26" ht="16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spans="1:26" ht="16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spans="1:26" ht="16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spans="1:26" ht="16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spans="1:26" ht="16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spans="1:26" ht="16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spans="1:26" ht="16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spans="1:26" ht="16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spans="1:26" ht="1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spans="1:26" ht="16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spans="1:26" ht="16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spans="1:26" ht="16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spans="1:26" ht="16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spans="1:26" ht="16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spans="1:26" ht="16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spans="1:26" ht="16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spans="1:26" ht="16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spans="1:26" ht="16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spans="1:26" ht="1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spans="1:26" ht="16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spans="1:26" ht="16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spans="1:26" ht="16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spans="1:26" ht="16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spans="1:26" ht="16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spans="1:26" ht="16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spans="1:26" ht="16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spans="1:26" ht="16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spans="1:26" ht="16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spans="1:26" ht="1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spans="1:26" ht="16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spans="1:26" ht="16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spans="1:26" ht="16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spans="1:26" ht="16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spans="1:26" ht="16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spans="1:26" ht="16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spans="1:26" ht="16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spans="1:26" ht="16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spans="1:26" ht="16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spans="1:26" ht="1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spans="1:26" ht="16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spans="1:26" ht="16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spans="1:26" ht="16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spans="1:26" ht="16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spans="1:26" ht="16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spans="1:26" ht="16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spans="1:26" ht="16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spans="1:26" ht="16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spans="1:26" ht="16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spans="1:26" ht="1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spans="1:26" ht="16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spans="1:26" ht="16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spans="1:26" ht="16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spans="1:26" ht="16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spans="1:26" ht="16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spans="1:26" ht="16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spans="1:26" ht="16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spans="1:26" ht="16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spans="1:26" ht="16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spans="1:26" ht="1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spans="1:26" ht="16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spans="1:26" ht="16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spans="1:26" ht="16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spans="1:26" ht="16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spans="1:26" ht="16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spans="1:26" ht="16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spans="1:26" ht="16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spans="1:26" ht="16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spans="1:26" ht="16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spans="1:26" ht="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spans="1:26" ht="16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spans="1:26" ht="16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spans="1:26" ht="16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spans="1:26" ht="16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spans="1:26" ht="16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spans="1:26" ht="16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spans="1:26" ht="16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spans="1:26" ht="16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spans="1:26" ht="16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spans="1:26" ht="1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spans="1:26" ht="16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spans="1:26" ht="16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spans="1:26" ht="16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spans="1:26" ht="16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spans="1:26" ht="16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spans="1:26" ht="16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spans="1:26" ht="16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spans="1:26" ht="16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spans="1:26" ht="16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spans="1:26" ht="1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spans="1:26" ht="16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spans="1:26" ht="16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spans="1:26" ht="16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spans="1:26" ht="16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spans="1:26" ht="16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spans="1:26" ht="16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spans="1:26" ht="16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spans="1:26" ht="16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spans="1:26" ht="16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spans="1:26" ht="1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spans="1:26" ht="16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spans="1:26" ht="16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spans="1:26" ht="16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spans="1:26" ht="16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spans="1:26" ht="16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spans="1:26" ht="16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spans="1:26" ht="16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spans="1:26" ht="16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spans="1:26" ht="16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spans="1:26" ht="1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spans="1:26" ht="16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spans="1:26" ht="16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spans="1:26" ht="16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spans="1:26" ht="16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spans="1:26" ht="16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spans="1:26" ht="16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spans="1:26" ht="16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spans="1:26" ht="16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spans="1:26" ht="16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spans="1:26" ht="1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spans="1:26" ht="16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spans="1:26" ht="16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spans="1:26" ht="16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spans="1:26" ht="16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spans="1:26" ht="16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spans="1:26" ht="16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spans="1:26" ht="16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spans="1:26" ht="16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spans="1:26" ht="16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spans="1:26" ht="1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spans="1:26" ht="16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spans="1:26" ht="16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spans="1:26" ht="16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spans="1:26" ht="16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spans="1:26" ht="16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spans="1:26" ht="16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spans="1:26" ht="16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spans="1:26" ht="16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spans="1:26" ht="16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spans="1:26" ht="1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spans="1:26" ht="16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spans="1:26" ht="16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spans="1:26" ht="16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spans="1:26" ht="16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spans="1:26" ht="16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spans="1:26" ht="16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spans="1:26" ht="16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spans="1:26" ht="16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spans="1:26" ht="16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spans="1:26" ht="1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spans="1:26" ht="16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spans="1:26" ht="16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spans="1:26" ht="16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spans="1:26" ht="16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spans="1:26" ht="16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spans="1:26" ht="16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spans="1:26" ht="16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spans="1:26" ht="16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spans="1:26" ht="16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spans="1:26" ht="1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spans="1:26" ht="16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spans="1:26" ht="16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spans="1:26" ht="16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spans="1:26" ht="16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spans="1:26" ht="16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spans="1:26" ht="16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spans="1:26" ht="16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spans="1:26" ht="16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spans="1:26" ht="16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spans="1:26" ht="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spans="1:26" ht="16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spans="1:26" ht="16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spans="1:26" ht="16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spans="1:26" ht="16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spans="1:26" ht="16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spans="1:26" ht="16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spans="1:26" ht="16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spans="1:26" ht="16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spans="1:26" ht="16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spans="1:26" ht="1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spans="1:26" ht="16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spans="1:26" ht="16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spans="1:26" ht="16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spans="1:26" ht="16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spans="1:26" ht="16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spans="1:26" ht="16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spans="1:26" ht="16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spans="1:26" ht="16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spans="1:26" ht="16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spans="1:26" ht="1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spans="1:26" ht="16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spans="1:26" ht="16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spans="1:26" ht="16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spans="1:26" ht="16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spans="1:26" ht="16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spans="1:26" ht="16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spans="1:26" ht="16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spans="1:26" ht="16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spans="1:26" ht="16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spans="1:26" ht="1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spans="1:26" ht="16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spans="1:26" ht="16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spans="1:26" ht="16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spans="1:26" ht="16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spans="1:26" ht="16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spans="1:26" ht="16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spans="1:26" ht="16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spans="1:26" ht="16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spans="1:26" ht="16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spans="1:26" ht="1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spans="1:26" ht="16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spans="1:26" ht="16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spans="1:26" ht="16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spans="1:26" ht="16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spans="1:26" ht="16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spans="1:26" ht="16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spans="1:26" ht="16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spans="1:26" ht="16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spans="1:26" ht="16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spans="1:26" ht="1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spans="1:26" ht="16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spans="1:26" ht="16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spans="1:26" ht="16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spans="1:26" ht="16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spans="1:26" ht="16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spans="1:26" ht="16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spans="1:26" ht="16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spans="1:26" ht="16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spans="1:26" ht="16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spans="1:26" ht="1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spans="1:26" ht="16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spans="1:26" ht="16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spans="1:26" ht="16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spans="1:26" ht="16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spans="1:26" ht="16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spans="1:26" ht="16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spans="1:26" ht="16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spans="1:26" ht="16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spans="1:26" ht="16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spans="1:26" ht="1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spans="1:26" ht="16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spans="1:26" ht="16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spans="1:26" ht="16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spans="1:26" ht="16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spans="1:26" ht="16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spans="1:26" ht="16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spans="1:26" ht="16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spans="1:26" ht="16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spans="1:26" ht="16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spans="1:26" ht="1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spans="1:26" ht="16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spans="1:26" ht="16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spans="1:26" ht="16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spans="1:26" ht="16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spans="1:26" ht="16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spans="1:26" ht="16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spans="1:26" ht="16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spans="1:26" ht="16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spans="1:26" ht="16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spans="1:26" ht="1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spans="1:26" ht="16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spans="1:26" ht="16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spans="1:26" ht="16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spans="1:26" ht="16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spans="1:26" ht="16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spans="1:26" ht="16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spans="1:26" ht="16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spans="1:26" ht="16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spans="1:26" ht="16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spans="1:26" ht="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spans="1:26" ht="16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spans="1:26" ht="16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spans="1:26" ht="16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spans="1:26" ht="16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spans="1:26" ht="16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spans="1:26" ht="16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spans="1:26" ht="16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spans="1:26" ht="16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spans="1:26" ht="16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spans="1:26" ht="1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spans="1:26" ht="16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spans="1:26" ht="16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spans="1:26" ht="16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spans="1:26" ht="16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spans="1:26" ht="16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spans="1:26" ht="16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spans="1:26" ht="16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spans="1:26" ht="16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spans="1:26" ht="16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spans="1:26" ht="1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spans="1:26" ht="16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spans="1:26" ht="16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spans="1:26" ht="16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spans="1:26" ht="16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spans="1:26" ht="16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spans="1:26" ht="16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spans="1:26" ht="16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spans="1:26" ht="16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spans="1:26" ht="16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spans="1:26" ht="1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spans="1:26" ht="16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spans="1:26" ht="16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spans="1:26" ht="16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spans="1:26" ht="16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spans="1:26" ht="16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spans="1:26" ht="16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spans="1:26" ht="16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spans="1:26" ht="16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spans="1:26" ht="16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spans="1:26" ht="1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spans="1:26" ht="16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spans="1:26" ht="16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spans="1:26" ht="16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spans="1:26" ht="16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spans="1:26" ht="16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spans="1:26" ht="16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spans="1:26" ht="16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spans="1:26" ht="16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spans="1:26" ht="16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spans="1:26" ht="1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spans="1:26" ht="16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spans="1:26" ht="16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spans="1:26" ht="16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spans="1:26" ht="16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spans="1:26" ht="16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spans="1:26" ht="16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spans="1:26" ht="16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spans="1:26" ht="16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spans="1:26" ht="16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spans="1:26" ht="1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spans="1:26" ht="16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spans="1:26" ht="16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spans="1:26" ht="16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spans="1:26" ht="16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spans="1:26" ht="16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spans="1:26" ht="16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spans="1:26" ht="16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spans="1:26" ht="16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spans="1:26" ht="16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spans="1:26" ht="1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spans="1:26" ht="16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spans="1:26" ht="16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spans="1:26" ht="16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spans="1:26" ht="16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spans="1:26" ht="16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spans="1:26" ht="16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spans="1:26" ht="16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spans="1:26" ht="16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spans="1:26" ht="16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spans="1:26" ht="1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spans="1:26" ht="16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spans="1:26" ht="16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spans="1:26" ht="16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spans="1:26" ht="16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spans="1:26" ht="16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spans="1:26" ht="16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spans="1:26" ht="16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spans="1:26" ht="16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spans="1:26" ht="16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spans="1:26" ht="1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spans="1:26" ht="16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spans="1:26" ht="16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spans="1:26" ht="16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spans="1:26" ht="16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spans="1:26" ht="16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spans="1:26" ht="16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spans="1:26" ht="16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spans="1:26" ht="16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spans="1:26" ht="16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spans="1:26" ht="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spans="1:26" ht="16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spans="1:26" ht="16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spans="1:26" ht="16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spans="1:26" ht="16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spans="1:26" ht="16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spans="1:26" ht="16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spans="1:26" ht="16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spans="1:26" ht="16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spans="1:26" ht="16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spans="1:26" ht="1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spans="1:26" ht="16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spans="1:26" ht="16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spans="1:26" ht="16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spans="1:26" ht="16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spans="1:26" ht="16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spans="1:26" ht="16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spans="1:26" ht="16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spans="1:26" ht="16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spans="1:26" ht="16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spans="1:26" ht="1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spans="1:26" ht="16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spans="1:26" ht="16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spans="1:26" ht="16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spans="1:26" ht="16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spans="1:26" ht="16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spans="1:26" ht="16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spans="1:26" ht="16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spans="1:26" ht="16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spans="1:26" ht="16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spans="1:26" ht="1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spans="1:26" ht="16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spans="1:26" ht="16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spans="1:26" ht="16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spans="1:26" ht="16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spans="1:26" ht="16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spans="1:26" ht="16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spans="1:26" ht="16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spans="1:26" ht="16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spans="1:26" ht="16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spans="1:26" ht="1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spans="1:26" ht="16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spans="1:26" ht="16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spans="1:26" ht="16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spans="1:26" ht="16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spans="1:26" ht="16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spans="1:26" ht="16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spans="1:26" ht="16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spans="1:26" ht="16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spans="1:26" ht="16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spans="1:26" ht="1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spans="1:26" ht="16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spans="1:26" ht="16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spans="1:26" ht="16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spans="1:26" ht="16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spans="1:26" ht="16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spans="1:26" ht="16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spans="1:26" ht="16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spans="1:26" ht="16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spans="1:26" ht="16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spans="1:26" ht="1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spans="1:26" ht="16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spans="1:26" ht="16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spans="1:26" ht="16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spans="1:26" ht="16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spans="1:26" ht="16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spans="1:26" ht="16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spans="1:26" ht="16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spans="1:26" ht="16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spans="1:26" ht="16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spans="1:26" ht="1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spans="1:26" ht="16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spans="1:26" ht="16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spans="1:26" ht="16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spans="1:26" ht="16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spans="1:26" ht="16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spans="1:26" ht="16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spans="1:26" ht="16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spans="1:26" ht="16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spans="1:26" ht="16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spans="1:26" ht="1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spans="1:26" ht="16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spans="1:26" ht="16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spans="1:26" ht="16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spans="1:26" ht="16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spans="1:26" ht="16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spans="1:26" ht="16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spans="1:26" ht="16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spans="1:26" ht="16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spans="1:26" ht="16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spans="1:26" ht="1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spans="1:26" ht="16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spans="1:26" ht="16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spans="1:26" ht="16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spans="1:26" ht="16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spans="1:26" ht="16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spans="1:26" ht="16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spans="1:26" ht="16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spans="1:26" ht="16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spans="1:26" ht="16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spans="1:26" ht="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spans="1:26" ht="16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spans="1:26" ht="16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spans="1:26" ht="16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spans="1:26" ht="16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spans="1:26" ht="16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spans="1:26" ht="16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spans="1:26" ht="16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spans="1:26" ht="16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spans="1:26" ht="16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spans="1:26" ht="1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spans="1:26" ht="16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spans="1:26" ht="16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spans="1:26" ht="16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spans="1:26" ht="16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spans="1:26" ht="16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spans="1:26" ht="16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spans="1:26" ht="16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spans="1:26" ht="16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spans="1:26" ht="16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spans="1:26" ht="1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spans="1:26" ht="16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spans="1:26" ht="16">
      <c r="A938" s="68"/>
      <c r="B938" s="27"/>
      <c r="C938" s="27"/>
      <c r="D938" s="27"/>
      <c r="E938" s="27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27"/>
      <c r="U938" s="27"/>
      <c r="V938" s="27"/>
      <c r="W938" s="27"/>
      <c r="X938" s="27"/>
      <c r="Y938" s="27"/>
      <c r="Z938" s="27"/>
    </row>
    <row r="939" spans="1:26" ht="16">
      <c r="A939" s="68"/>
      <c r="B939" s="27"/>
      <c r="C939" s="27"/>
      <c r="D939" s="27"/>
      <c r="E939" s="27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27"/>
      <c r="U939" s="27"/>
      <c r="V939" s="27"/>
      <c r="W939" s="27"/>
      <c r="X939" s="27"/>
      <c r="Y939" s="27"/>
      <c r="Z939" s="27"/>
    </row>
    <row r="940" spans="1:26" ht="16">
      <c r="A940" s="68"/>
      <c r="B940" s="27"/>
      <c r="C940" s="27"/>
      <c r="D940" s="27"/>
      <c r="E940" s="27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27"/>
      <c r="U940" s="27"/>
      <c r="V940" s="27"/>
      <c r="W940" s="27"/>
      <c r="X940" s="27"/>
      <c r="Y940" s="27"/>
      <c r="Z940" s="27"/>
    </row>
    <row r="941" spans="1:26" ht="16">
      <c r="A941" s="68"/>
      <c r="B941" s="27"/>
      <c r="C941" s="27"/>
      <c r="D941" s="27"/>
      <c r="E941" s="27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27"/>
      <c r="U941" s="27"/>
      <c r="V941" s="27"/>
      <c r="W941" s="27"/>
      <c r="X941" s="27"/>
      <c r="Y941" s="27"/>
      <c r="Z941" s="27"/>
    </row>
    <row r="942" spans="1:26" ht="16">
      <c r="A942" s="68"/>
      <c r="B942" s="27"/>
      <c r="C942" s="27"/>
      <c r="D942" s="27"/>
      <c r="E942" s="27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27"/>
      <c r="U942" s="27"/>
      <c r="V942" s="27"/>
      <c r="W942" s="27"/>
      <c r="X942" s="27"/>
      <c r="Y942" s="27"/>
      <c r="Z942" s="27"/>
    </row>
    <row r="943" spans="1:26" ht="16">
      <c r="A943" s="68"/>
      <c r="B943" s="27"/>
      <c r="C943" s="27"/>
      <c r="D943" s="27"/>
      <c r="E943" s="27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27"/>
      <c r="U943" s="27"/>
      <c r="V943" s="27"/>
      <c r="W943" s="27"/>
      <c r="X943" s="27"/>
      <c r="Y943" s="27"/>
      <c r="Z943" s="27"/>
    </row>
    <row r="944" spans="1:26" ht="16">
      <c r="A944" s="68"/>
      <c r="B944" s="27"/>
      <c r="C944" s="27"/>
      <c r="D944" s="27"/>
      <c r="E944" s="27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27"/>
      <c r="U944" s="27"/>
      <c r="V944" s="27"/>
      <c r="W944" s="27"/>
      <c r="X944" s="27"/>
      <c r="Y944" s="27"/>
      <c r="Z944" s="27"/>
    </row>
    <row r="945" spans="1:26" ht="16">
      <c r="A945" s="68"/>
      <c r="B945" s="27"/>
      <c r="C945" s="27"/>
      <c r="D945" s="27"/>
      <c r="E945" s="27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27"/>
      <c r="U945" s="27"/>
      <c r="V945" s="27"/>
      <c r="W945" s="27"/>
      <c r="X945" s="27"/>
      <c r="Y945" s="27"/>
      <c r="Z945" s="27"/>
    </row>
    <row r="946" spans="1:26" ht="16">
      <c r="A946" s="68"/>
      <c r="B946" s="27"/>
      <c r="C946" s="27"/>
      <c r="D946" s="27"/>
      <c r="E946" s="27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27"/>
      <c r="U946" s="27"/>
      <c r="V946" s="27"/>
      <c r="W946" s="27"/>
      <c r="X946" s="27"/>
      <c r="Y946" s="27"/>
      <c r="Z946" s="27"/>
    </row>
    <row r="947" spans="1:26" ht="16">
      <c r="A947" s="68"/>
      <c r="B947" s="27"/>
      <c r="C947" s="27"/>
      <c r="D947" s="27"/>
      <c r="E947" s="27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27"/>
      <c r="U947" s="27"/>
      <c r="V947" s="27"/>
      <c r="W947" s="27"/>
      <c r="X947" s="27"/>
      <c r="Y947" s="27"/>
      <c r="Z947" s="27"/>
    </row>
    <row r="948" spans="1:26" ht="16">
      <c r="A948" s="68"/>
      <c r="B948" s="27"/>
      <c r="C948" s="27"/>
      <c r="D948" s="27"/>
      <c r="E948" s="27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27"/>
      <c r="U948" s="27"/>
      <c r="V948" s="27"/>
      <c r="W948" s="27"/>
      <c r="X948" s="27"/>
      <c r="Y948" s="27"/>
      <c r="Z948" s="27"/>
    </row>
    <row r="949" spans="1:26" ht="16">
      <c r="A949" s="68"/>
      <c r="B949" s="27"/>
      <c r="C949" s="27"/>
      <c r="D949" s="27"/>
      <c r="E949" s="27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27"/>
      <c r="U949" s="27"/>
      <c r="V949" s="27"/>
      <c r="W949" s="27"/>
      <c r="X949" s="27"/>
      <c r="Y949" s="27"/>
      <c r="Z949" s="27"/>
    </row>
    <row r="950" spans="1:26" ht="16">
      <c r="A950" s="68"/>
      <c r="B950" s="27"/>
      <c r="C950" s="27"/>
      <c r="D950" s="27"/>
      <c r="E950" s="27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27"/>
      <c r="U950" s="27"/>
      <c r="V950" s="27"/>
      <c r="W950" s="27"/>
      <c r="X950" s="27"/>
      <c r="Y950" s="27"/>
      <c r="Z950" s="27"/>
    </row>
    <row r="951" spans="1:26" ht="16">
      <c r="A951" s="68"/>
      <c r="B951" s="27"/>
      <c r="C951" s="27"/>
      <c r="D951" s="27"/>
      <c r="E951" s="27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27"/>
      <c r="U951" s="27"/>
      <c r="V951" s="27"/>
      <c r="W951" s="27"/>
      <c r="X951" s="27"/>
      <c r="Y951" s="27"/>
      <c r="Z951" s="27"/>
    </row>
    <row r="952" spans="1:26" ht="16">
      <c r="A952" s="68"/>
      <c r="B952" s="27"/>
      <c r="C952" s="27"/>
      <c r="D952" s="27"/>
      <c r="E952" s="27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27"/>
      <c r="U952" s="27"/>
      <c r="V952" s="27"/>
      <c r="W952" s="27"/>
      <c r="X952" s="27"/>
      <c r="Y952" s="27"/>
      <c r="Z952" s="27"/>
    </row>
    <row r="953" spans="1:26" ht="16">
      <c r="A953" s="68"/>
      <c r="B953" s="27"/>
      <c r="C953" s="27"/>
      <c r="D953" s="27"/>
      <c r="E953" s="27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27"/>
      <c r="U953" s="27"/>
      <c r="V953" s="27"/>
      <c r="W953" s="27"/>
      <c r="X953" s="27"/>
      <c r="Y953" s="27"/>
      <c r="Z953" s="27"/>
    </row>
    <row r="954" spans="1:26" ht="16">
      <c r="A954" s="68"/>
      <c r="B954" s="27"/>
      <c r="C954" s="27"/>
      <c r="D954" s="27"/>
      <c r="E954" s="27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27"/>
      <c r="U954" s="27"/>
      <c r="V954" s="27"/>
      <c r="W954" s="27"/>
      <c r="X954" s="27"/>
      <c r="Y954" s="27"/>
      <c r="Z954" s="27"/>
    </row>
    <row r="955" spans="1:26" ht="16">
      <c r="A955" s="68"/>
      <c r="B955" s="27"/>
      <c r="C955" s="27"/>
      <c r="D955" s="27"/>
      <c r="E955" s="27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27"/>
      <c r="U955" s="27"/>
      <c r="V955" s="27"/>
      <c r="W955" s="27"/>
      <c r="X955" s="27"/>
      <c r="Y955" s="27"/>
      <c r="Z955" s="27"/>
    </row>
    <row r="956" spans="1:26" ht="16">
      <c r="A956" s="68"/>
      <c r="B956" s="27"/>
      <c r="C956" s="27"/>
      <c r="D956" s="27"/>
      <c r="E956" s="27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27"/>
      <c r="U956" s="27"/>
      <c r="V956" s="27"/>
      <c r="W956" s="27"/>
      <c r="X956" s="27"/>
      <c r="Y956" s="27"/>
      <c r="Z956" s="27"/>
    </row>
    <row r="957" spans="1:26" ht="16">
      <c r="A957" s="68"/>
      <c r="B957" s="27"/>
      <c r="C957" s="27"/>
      <c r="D957" s="27"/>
      <c r="E957" s="27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27"/>
      <c r="U957" s="27"/>
      <c r="V957" s="27"/>
      <c r="W957" s="27"/>
      <c r="X957" s="27"/>
      <c r="Y957" s="27"/>
      <c r="Z957" s="27"/>
    </row>
    <row r="958" spans="1:26" ht="16">
      <c r="A958" s="68"/>
      <c r="B958" s="27"/>
      <c r="C958" s="27"/>
      <c r="D958" s="27"/>
      <c r="E958" s="27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27"/>
      <c r="U958" s="27"/>
      <c r="V958" s="27"/>
      <c r="W958" s="27"/>
      <c r="X958" s="27"/>
      <c r="Y958" s="27"/>
      <c r="Z958" s="27"/>
    </row>
    <row r="959" spans="1:26" ht="16">
      <c r="A959" s="68"/>
      <c r="B959" s="27"/>
      <c r="C959" s="27"/>
      <c r="D959" s="27"/>
      <c r="E959" s="27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27"/>
      <c r="U959" s="27"/>
      <c r="V959" s="27"/>
      <c r="W959" s="27"/>
      <c r="X959" s="27"/>
      <c r="Y959" s="27"/>
      <c r="Z959" s="27"/>
    </row>
    <row r="960" spans="1:26" ht="16">
      <c r="A960" s="68"/>
      <c r="B960" s="27"/>
      <c r="C960" s="27"/>
      <c r="D960" s="27"/>
      <c r="E960" s="27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27"/>
      <c r="U960" s="27"/>
      <c r="V960" s="27"/>
      <c r="W960" s="27"/>
      <c r="X960" s="27"/>
      <c r="Y960" s="27"/>
      <c r="Z960" s="27"/>
    </row>
    <row r="961" spans="1:26" ht="16">
      <c r="A961" s="68"/>
      <c r="B961" s="27"/>
      <c r="C961" s="27"/>
      <c r="D961" s="27"/>
      <c r="E961" s="27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27"/>
      <c r="U961" s="27"/>
      <c r="V961" s="27"/>
      <c r="W961" s="27"/>
      <c r="X961" s="27"/>
      <c r="Y961" s="27"/>
      <c r="Z961" s="27"/>
    </row>
    <row r="962" spans="1:26" ht="16">
      <c r="A962" s="68"/>
      <c r="B962" s="27"/>
      <c r="C962" s="27"/>
      <c r="D962" s="27"/>
      <c r="E962" s="27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27"/>
      <c r="U962" s="27"/>
      <c r="V962" s="27"/>
      <c r="W962" s="27"/>
      <c r="X962" s="27"/>
      <c r="Y962" s="27"/>
      <c r="Z962" s="27"/>
    </row>
    <row r="963" spans="1:26" ht="16">
      <c r="A963" s="68"/>
      <c r="B963" s="27"/>
      <c r="C963" s="27"/>
      <c r="D963" s="27"/>
      <c r="E963" s="27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27"/>
      <c r="U963" s="27"/>
      <c r="V963" s="27"/>
      <c r="W963" s="27"/>
      <c r="X963" s="27"/>
      <c r="Y963" s="27"/>
      <c r="Z963" s="27"/>
    </row>
    <row r="964" spans="1:26" ht="16">
      <c r="A964" s="68"/>
      <c r="B964" s="27"/>
      <c r="C964" s="27"/>
      <c r="D964" s="27"/>
      <c r="E964" s="27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27"/>
      <c r="U964" s="27"/>
      <c r="V964" s="27"/>
      <c r="W964" s="27"/>
      <c r="X964" s="27"/>
      <c r="Y964" s="27"/>
      <c r="Z964" s="27"/>
    </row>
    <row r="965" spans="1:26" ht="16">
      <c r="A965" s="68"/>
      <c r="B965" s="27"/>
      <c r="C965" s="27"/>
      <c r="D965" s="27"/>
      <c r="E965" s="27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27"/>
      <c r="U965" s="27"/>
      <c r="V965" s="27"/>
      <c r="W965" s="27"/>
      <c r="X965" s="27"/>
      <c r="Y965" s="27"/>
      <c r="Z965" s="27"/>
    </row>
    <row r="966" spans="1:26" ht="16">
      <c r="A966" s="68"/>
      <c r="B966" s="27"/>
      <c r="C966" s="27"/>
      <c r="D966" s="27"/>
      <c r="E966" s="27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27"/>
      <c r="U966" s="27"/>
      <c r="V966" s="27"/>
      <c r="W966" s="27"/>
      <c r="X966" s="27"/>
      <c r="Y966" s="27"/>
      <c r="Z966" s="27"/>
    </row>
    <row r="967" spans="1:26" ht="16">
      <c r="A967" s="68"/>
      <c r="B967" s="27"/>
      <c r="C967" s="27"/>
      <c r="D967" s="27"/>
      <c r="E967" s="27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27"/>
      <c r="U967" s="27"/>
      <c r="V967" s="27"/>
      <c r="W967" s="27"/>
      <c r="X967" s="27"/>
      <c r="Y967" s="27"/>
      <c r="Z967" s="27"/>
    </row>
    <row r="968" spans="1:26" ht="16">
      <c r="A968" s="68"/>
      <c r="B968" s="27"/>
      <c r="C968" s="27"/>
      <c r="D968" s="27"/>
      <c r="E968" s="27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27"/>
      <c r="U968" s="27"/>
      <c r="V968" s="27"/>
      <c r="W968" s="27"/>
      <c r="X968" s="27"/>
      <c r="Y968" s="27"/>
      <c r="Z968" s="27"/>
    </row>
    <row r="969" spans="1:26" ht="16">
      <c r="A969" s="68"/>
      <c r="B969" s="27"/>
      <c r="C969" s="27"/>
      <c r="D969" s="27"/>
      <c r="E969" s="27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27"/>
      <c r="U969" s="27"/>
      <c r="V969" s="27"/>
      <c r="W969" s="27"/>
      <c r="X969" s="27"/>
      <c r="Y969" s="27"/>
      <c r="Z969" s="27"/>
    </row>
    <row r="970" spans="1:26" ht="16">
      <c r="A970" s="68"/>
      <c r="B970" s="27"/>
      <c r="C970" s="27"/>
      <c r="D970" s="27"/>
      <c r="E970" s="27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27"/>
      <c r="U970" s="27"/>
      <c r="V970" s="27"/>
      <c r="W970" s="27"/>
      <c r="X970" s="27"/>
      <c r="Y970" s="27"/>
      <c r="Z970" s="27"/>
    </row>
    <row r="971" spans="1:26" ht="16">
      <c r="A971" s="68"/>
      <c r="B971" s="27"/>
      <c r="C971" s="27"/>
      <c r="D971" s="27"/>
      <c r="E971" s="27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27"/>
      <c r="U971" s="27"/>
      <c r="V971" s="27"/>
      <c r="W971" s="27"/>
      <c r="X971" s="27"/>
      <c r="Y971" s="27"/>
      <c r="Z971" s="27"/>
    </row>
    <row r="972" spans="1:26" ht="16">
      <c r="A972" s="68"/>
      <c r="B972" s="27"/>
      <c r="C972" s="27"/>
      <c r="D972" s="27"/>
      <c r="E972" s="27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27"/>
      <c r="U972" s="27"/>
      <c r="V972" s="27"/>
      <c r="W972" s="27"/>
      <c r="X972" s="27"/>
      <c r="Y972" s="27"/>
      <c r="Z972" s="27"/>
    </row>
    <row r="973" spans="1:26" ht="16">
      <c r="A973" s="68"/>
      <c r="B973" s="27"/>
      <c r="C973" s="27"/>
      <c r="D973" s="27"/>
      <c r="E973" s="27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27"/>
      <c r="U973" s="27"/>
      <c r="V973" s="27"/>
      <c r="W973" s="27"/>
      <c r="X973" s="27"/>
      <c r="Y973" s="27"/>
      <c r="Z973" s="27"/>
    </row>
    <row r="974" spans="1:26" ht="16">
      <c r="A974" s="68"/>
      <c r="B974" s="27"/>
      <c r="C974" s="27"/>
      <c r="D974" s="27"/>
      <c r="E974" s="27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27"/>
      <c r="U974" s="27"/>
      <c r="V974" s="27"/>
      <c r="W974" s="27"/>
      <c r="X974" s="27"/>
      <c r="Y974" s="27"/>
      <c r="Z974" s="27"/>
    </row>
    <row r="975" spans="1:26" ht="16">
      <c r="A975" s="68"/>
      <c r="B975" s="27"/>
      <c r="C975" s="27"/>
      <c r="D975" s="27"/>
      <c r="E975" s="27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27"/>
      <c r="U975" s="27"/>
      <c r="V975" s="27"/>
      <c r="W975" s="27"/>
      <c r="X975" s="27"/>
      <c r="Y975" s="27"/>
      <c r="Z975" s="27"/>
    </row>
    <row r="976" spans="1:26" ht="16">
      <c r="A976" s="68"/>
      <c r="B976" s="27"/>
      <c r="C976" s="27"/>
      <c r="D976" s="27"/>
      <c r="E976" s="27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27"/>
      <c r="U976" s="27"/>
      <c r="V976" s="27"/>
      <c r="W976" s="27"/>
      <c r="X976" s="27"/>
      <c r="Y976" s="27"/>
      <c r="Z976" s="27"/>
    </row>
    <row r="977" spans="1:26" ht="16">
      <c r="A977" s="68"/>
      <c r="B977" s="27"/>
      <c r="C977" s="27"/>
      <c r="D977" s="27"/>
      <c r="E977" s="27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27"/>
      <c r="U977" s="27"/>
      <c r="V977" s="27"/>
      <c r="W977" s="27"/>
      <c r="X977" s="27"/>
      <c r="Y977" s="27"/>
      <c r="Z977" s="27"/>
    </row>
    <row r="978" spans="1:26" ht="16">
      <c r="A978" s="68"/>
      <c r="B978" s="27"/>
      <c r="C978" s="27"/>
      <c r="D978" s="27"/>
      <c r="E978" s="27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27"/>
      <c r="U978" s="27"/>
      <c r="V978" s="27"/>
      <c r="W978" s="27"/>
      <c r="X978" s="27"/>
      <c r="Y978" s="27"/>
      <c r="Z978" s="27"/>
    </row>
    <row r="979" spans="1:26" ht="16">
      <c r="A979" s="68"/>
      <c r="B979" s="27"/>
      <c r="C979" s="27"/>
      <c r="D979" s="27"/>
      <c r="E979" s="27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27"/>
      <c r="U979" s="27"/>
      <c r="V979" s="27"/>
      <c r="W979" s="27"/>
      <c r="X979" s="27"/>
      <c r="Y979" s="27"/>
      <c r="Z979" s="27"/>
    </row>
    <row r="980" spans="1:26" ht="16">
      <c r="A980" s="68"/>
      <c r="B980" s="27"/>
      <c r="C980" s="27"/>
      <c r="D980" s="27"/>
      <c r="E980" s="27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27"/>
      <c r="U980" s="27"/>
      <c r="V980" s="27"/>
      <c r="W980" s="27"/>
      <c r="X980" s="27"/>
      <c r="Y980" s="27"/>
      <c r="Z980" s="27"/>
    </row>
    <row r="981" spans="1:26" ht="16">
      <c r="A981" s="68"/>
      <c r="B981" s="27"/>
      <c r="C981" s="27"/>
      <c r="D981" s="27"/>
      <c r="E981" s="27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27"/>
      <c r="U981" s="27"/>
      <c r="V981" s="27"/>
      <c r="W981" s="27"/>
      <c r="X981" s="27"/>
      <c r="Y981" s="27"/>
      <c r="Z981" s="27"/>
    </row>
    <row r="982" spans="1:26" ht="16">
      <c r="A982" s="68"/>
      <c r="B982" s="27"/>
      <c r="C982" s="27"/>
      <c r="D982" s="27"/>
      <c r="E982" s="27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27"/>
      <c r="U982" s="27"/>
      <c r="V982" s="27"/>
      <c r="W982" s="27"/>
      <c r="X982" s="27"/>
      <c r="Y982" s="27"/>
      <c r="Z982" s="27"/>
    </row>
    <row r="983" spans="1:26" ht="16">
      <c r="A983" s="68"/>
      <c r="B983" s="27"/>
      <c r="C983" s="27"/>
      <c r="D983" s="27"/>
      <c r="E983" s="27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27"/>
      <c r="U983" s="27"/>
      <c r="V983" s="27"/>
      <c r="W983" s="27"/>
      <c r="X983" s="27"/>
      <c r="Y983" s="27"/>
      <c r="Z983" s="27"/>
    </row>
    <row r="984" spans="1:26" ht="16">
      <c r="A984" s="68"/>
      <c r="B984" s="27"/>
      <c r="C984" s="27"/>
      <c r="D984" s="27"/>
      <c r="E984" s="27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27"/>
      <c r="U984" s="27"/>
      <c r="V984" s="27"/>
      <c r="W984" s="27"/>
      <c r="X984" s="27"/>
      <c r="Y984" s="27"/>
      <c r="Z984" s="27"/>
    </row>
    <row r="985" spans="1:26" ht="16">
      <c r="A985" s="68"/>
      <c r="B985" s="27"/>
      <c r="C985" s="27"/>
      <c r="D985" s="27"/>
      <c r="E985" s="27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27"/>
      <c r="U985" s="27"/>
      <c r="V985" s="27"/>
      <c r="W985" s="27"/>
      <c r="X985" s="27"/>
      <c r="Y985" s="27"/>
      <c r="Z985" s="27"/>
    </row>
    <row r="986" spans="1:26" ht="16">
      <c r="A986" s="68"/>
      <c r="B986" s="27"/>
      <c r="C986" s="27"/>
      <c r="D986" s="27"/>
      <c r="E986" s="27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27"/>
      <c r="U986" s="27"/>
      <c r="V986" s="27"/>
      <c r="W986" s="27"/>
      <c r="X986" s="27"/>
      <c r="Y986" s="27"/>
      <c r="Z986" s="27"/>
    </row>
    <row r="987" spans="1:26" ht="16">
      <c r="A987" s="68"/>
      <c r="B987" s="27"/>
      <c r="C987" s="27"/>
      <c r="D987" s="27"/>
      <c r="E987" s="27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27"/>
      <c r="U987" s="27"/>
      <c r="V987" s="27"/>
      <c r="W987" s="27"/>
      <c r="X987" s="27"/>
      <c r="Y987" s="27"/>
      <c r="Z987" s="27"/>
    </row>
    <row r="988" spans="1:26" ht="16">
      <c r="A988" s="68"/>
      <c r="B988" s="27"/>
      <c r="C988" s="27"/>
      <c r="D988" s="27"/>
      <c r="E988" s="27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27"/>
      <c r="U988" s="27"/>
      <c r="V988" s="27"/>
      <c r="W988" s="27"/>
      <c r="X988" s="27"/>
      <c r="Y988" s="27"/>
      <c r="Z988" s="27"/>
    </row>
    <row r="989" spans="1:26" ht="16">
      <c r="A989" s="68"/>
      <c r="B989" s="27"/>
      <c r="C989" s="27"/>
      <c r="D989" s="27"/>
      <c r="E989" s="27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27"/>
      <c r="U989" s="27"/>
      <c r="V989" s="27"/>
      <c r="W989" s="27"/>
      <c r="X989" s="27"/>
      <c r="Y989" s="27"/>
      <c r="Z989" s="27"/>
    </row>
    <row r="990" spans="1:26" ht="16">
      <c r="A990" s="68"/>
      <c r="B990" s="27"/>
      <c r="C990" s="27"/>
      <c r="D990" s="27"/>
      <c r="E990" s="27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27"/>
      <c r="U990" s="27"/>
      <c r="V990" s="27"/>
      <c r="W990" s="27"/>
      <c r="X990" s="27"/>
      <c r="Y990" s="27"/>
      <c r="Z990" s="27"/>
    </row>
    <row r="991" spans="1:26" ht="16">
      <c r="A991" s="68"/>
      <c r="B991" s="27"/>
      <c r="C991" s="27"/>
      <c r="D991" s="27"/>
      <c r="E991" s="27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27"/>
      <c r="U991" s="27"/>
      <c r="V991" s="27"/>
      <c r="W991" s="27"/>
      <c r="X991" s="27"/>
      <c r="Y991" s="27"/>
      <c r="Z991" s="27"/>
    </row>
    <row r="992" spans="1:26" ht="16">
      <c r="A992" s="68"/>
      <c r="B992" s="27"/>
      <c r="C992" s="27"/>
      <c r="D992" s="27"/>
      <c r="E992" s="27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27"/>
      <c r="U992" s="27"/>
      <c r="V992" s="27"/>
      <c r="W992" s="27"/>
      <c r="X992" s="27"/>
      <c r="Y992" s="27"/>
      <c r="Z992" s="27"/>
    </row>
    <row r="993" spans="1:26" ht="16">
      <c r="A993" s="68"/>
      <c r="B993" s="27"/>
      <c r="C993" s="27"/>
      <c r="D993" s="27"/>
      <c r="E993" s="27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27"/>
      <c r="U993" s="27"/>
      <c r="V993" s="27"/>
      <c r="W993" s="27"/>
      <c r="X993" s="27"/>
      <c r="Y993" s="27"/>
      <c r="Z993" s="27"/>
    </row>
    <row r="994" spans="1:26" ht="16">
      <c r="A994" s="68"/>
      <c r="B994" s="27"/>
      <c r="C994" s="27"/>
      <c r="D994" s="27"/>
      <c r="E994" s="27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27"/>
      <c r="U994" s="27"/>
      <c r="V994" s="27"/>
      <c r="W994" s="27"/>
      <c r="X994" s="27"/>
      <c r="Y994" s="27"/>
      <c r="Z994" s="27"/>
    </row>
    <row r="995" spans="1:26" ht="16">
      <c r="A995" s="68"/>
      <c r="B995" s="27"/>
      <c r="C995" s="27"/>
      <c r="D995" s="27"/>
      <c r="E995" s="27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27"/>
      <c r="U995" s="27"/>
      <c r="V995" s="27"/>
      <c r="W995" s="27"/>
      <c r="X995" s="27"/>
      <c r="Y995" s="27"/>
      <c r="Z995" s="27"/>
    </row>
    <row r="996" spans="1:26" ht="16">
      <c r="A996" s="68"/>
      <c r="B996" s="27"/>
      <c r="C996" s="27"/>
      <c r="D996" s="27"/>
      <c r="E996" s="27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27"/>
      <c r="U996" s="27"/>
      <c r="V996" s="27"/>
      <c r="W996" s="27"/>
      <c r="X996" s="27"/>
      <c r="Y996" s="27"/>
      <c r="Z996" s="27"/>
    </row>
    <row r="997" spans="1:26" ht="16">
      <c r="A997" s="68"/>
      <c r="B997" s="27"/>
      <c r="C997" s="27"/>
      <c r="D997" s="27"/>
      <c r="E997" s="27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27"/>
      <c r="U997" s="27"/>
      <c r="V997" s="27"/>
      <c r="W997" s="27"/>
      <c r="X997" s="27"/>
      <c r="Y997" s="27"/>
      <c r="Z997" s="27"/>
    </row>
    <row r="998" spans="1:26" ht="16">
      <c r="A998" s="68"/>
      <c r="B998" s="27"/>
      <c r="C998" s="27"/>
      <c r="D998" s="27"/>
      <c r="E998" s="27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27"/>
      <c r="U998" s="27"/>
      <c r="V998" s="27"/>
      <c r="W998" s="27"/>
      <c r="X998" s="27"/>
      <c r="Y998" s="27"/>
      <c r="Z998" s="27"/>
    </row>
    <row r="999" spans="1:26" ht="16">
      <c r="A999" s="68"/>
      <c r="B999" s="27"/>
      <c r="C999" s="27"/>
      <c r="D999" s="27"/>
      <c r="E999" s="27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27"/>
      <c r="U999" s="27"/>
      <c r="V999" s="27"/>
      <c r="W999" s="27"/>
      <c r="X999" s="27"/>
      <c r="Y999" s="27"/>
      <c r="Z999" s="27"/>
    </row>
    <row r="1000" spans="1:26" ht="16">
      <c r="A1000" s="68"/>
      <c r="B1000" s="27"/>
      <c r="C1000" s="27"/>
      <c r="D1000" s="27"/>
      <c r="E1000" s="27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27"/>
      <c r="U1000" s="27"/>
      <c r="V1000" s="27"/>
      <c r="W1000" s="27"/>
      <c r="X1000" s="27"/>
      <c r="Y1000" s="27"/>
      <c r="Z1000" s="27"/>
    </row>
  </sheetData>
  <mergeCells count="24">
    <mergeCell ref="B160:E160"/>
    <mergeCell ref="B162:E162"/>
    <mergeCell ref="B89:E89"/>
    <mergeCell ref="B111:E111"/>
    <mergeCell ref="B122:E122"/>
    <mergeCell ref="B131:E131"/>
    <mergeCell ref="B138:E138"/>
    <mergeCell ref="B146:E146"/>
    <mergeCell ref="B151:E151"/>
    <mergeCell ref="B61:E61"/>
    <mergeCell ref="B71:E71"/>
    <mergeCell ref="B76:E76"/>
    <mergeCell ref="B82:E82"/>
    <mergeCell ref="B158:E158"/>
    <mergeCell ref="H10:J10"/>
    <mergeCell ref="B12:E12"/>
    <mergeCell ref="B42:E42"/>
    <mergeCell ref="B44:E44"/>
    <mergeCell ref="B50:E50"/>
    <mergeCell ref="B2:E2"/>
    <mergeCell ref="B3:E3"/>
    <mergeCell ref="B7:J7"/>
    <mergeCell ref="H8:J8"/>
    <mergeCell ref="H9:J9"/>
  </mergeCells>
  <conditionalFormatting sqref="B12:E39">
    <cfRule type="expression" dxfId="84" priority="1">
      <formula>cbr_result="Excluded"</formula>
    </cfRule>
  </conditionalFormatting>
  <conditionalFormatting sqref="C7:J8 H9:J9 C9:G10 H10">
    <cfRule type="expression" dxfId="83" priority="2">
      <formula>cbr_result="Excluded"</formula>
    </cfRule>
  </conditionalFormatting>
  <conditionalFormatting sqref="D5">
    <cfRule type="expression" dxfId="82" priority="3">
      <formula>OR((cbr_result="Excluded"),AND((intelligent_operations_result="Excluded")))</formula>
    </cfRule>
  </conditionalFormatting>
  <conditionalFormatting sqref="D14:D39">
    <cfRule type="notContainsBlanks" dxfId="81" priority="4">
      <formula>LEN(TRIM(D14))&gt;0</formula>
    </cfRule>
    <cfRule type="containsBlanks" dxfId="80" priority="5">
      <formula>LEN(TRIM(D14))=0</formula>
    </cfRule>
  </conditionalFormatting>
  <conditionalFormatting sqref="D42">
    <cfRule type="expression" dxfId="79" priority="6">
      <formula>cbr_result="Excluded"</formula>
    </cfRule>
  </conditionalFormatting>
  <conditionalFormatting sqref="D44 D46:D48 D50 D52:D59 D61 D63:D69 D71 D73:D74 D76 D78:D80 D82 D84:D87 D89 D91:D109 D111 D113:D120 D122 D124:D129 D131 D133:D136 D138 D140:D144 D146 D148:D149 D151 D153:D156">
    <cfRule type="expression" dxfId="78" priority="7" stopIfTrue="1">
      <formula>cbr_result="Excluded"</formula>
    </cfRule>
    <cfRule type="notContainsBlanks" dxfId="77" priority="8">
      <formula>LEN(TRIM(D44))&gt;0</formula>
    </cfRule>
  </conditionalFormatting>
  <conditionalFormatting sqref="D160 D162 D164:D168">
    <cfRule type="expression" dxfId="76" priority="9" stopIfTrue="1">
      <formula>OR((cbr_result="Excluded"),AND((intelligent_operations_result="Excluded")))</formula>
    </cfRule>
  </conditionalFormatting>
  <conditionalFormatting sqref="E9:E10">
    <cfRule type="notContainsBlanks" dxfId="75" priority="10">
      <formula>LEN(TRIM(E9))&gt;0</formula>
    </cfRule>
    <cfRule type="containsBlanks" dxfId="74" priority="11">
      <formula>LEN(TRIM(E9))=0</formula>
    </cfRule>
  </conditionalFormatting>
  <conditionalFormatting sqref="G9:G10">
    <cfRule type="notContainsBlanks" dxfId="73" priority="12">
      <formula>LEN(TRIM(G9))&gt;0</formula>
    </cfRule>
    <cfRule type="containsBlanks" dxfId="72" priority="13">
      <formula>LEN(TRIM(G9))=0</formula>
    </cfRule>
  </conditionalFormatting>
  <dataValidations count="2">
    <dataValidation type="list" allowBlank="1" showErrorMessage="1" sqref="C13:D13" xr:uid="{00000000-0002-0000-1000-000000000000}">
      <formula1>"Standard,Consolidated"</formula1>
    </dataValidation>
    <dataValidation type="list" allowBlank="1" showErrorMessage="1" sqref="C19:D19" xr:uid="{00000000-0002-0000-1000-000001000000}">
      <formula1>aws_regions</formula1>
    </dataValidation>
  </dataValidations>
  <hyperlinks>
    <hyperlink ref="B5" location="null!H50" display="Section Navigation (Click to Navigate)" xr:uid="{00000000-0004-0000-1000-000000000000}"/>
    <hyperlink ref="C5" location="'Cloud-Based Ransomware Recovery'!B8" display="Deployment" xr:uid="{00000000-0004-0000-1000-000001000000}"/>
    <hyperlink ref="D5" location="'Cloud-Based Ransomware Recovery'!B130" display="Solution Interoperability" xr:uid="{00000000-0004-0000-1000-000002000000}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8EAADB"/>
  </sheetPr>
  <dimension ref="A1:Z1000"/>
  <sheetViews>
    <sheetView workbookViewId="0"/>
  </sheetViews>
  <sheetFormatPr baseColWidth="10" defaultColWidth="12.6640625" defaultRowHeight="13"/>
  <cols>
    <col min="1" max="1" width="3.1640625" customWidth="1"/>
    <col min="2" max="2" width="71.6640625" customWidth="1"/>
    <col min="3" max="3" width="88.6640625" customWidth="1"/>
    <col min="4" max="4" width="95.33203125" customWidth="1"/>
    <col min="5" max="5" width="68.33203125" customWidth="1"/>
    <col min="6" max="26" width="12.33203125" customWidth="1"/>
  </cols>
  <sheetData>
    <row r="1" spans="1:26" ht="16">
      <c r="A1" s="146"/>
      <c r="B1" s="146"/>
      <c r="C1" s="146"/>
      <c r="D1" s="146"/>
      <c r="E1" s="146"/>
      <c r="F1" s="146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72" customHeight="1">
      <c r="A2" s="146"/>
      <c r="B2" s="232" t="s">
        <v>8867</v>
      </c>
      <c r="C2" s="183"/>
      <c r="D2" s="183"/>
      <c r="E2" s="181"/>
      <c r="F2" s="146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27"/>
      <c r="U2" s="27"/>
      <c r="V2" s="27"/>
      <c r="W2" s="27"/>
      <c r="X2" s="27"/>
      <c r="Y2" s="27"/>
      <c r="Z2" s="27"/>
    </row>
    <row r="3" spans="1:26" ht="16">
      <c r="A3" s="146"/>
      <c r="B3" s="233" t="s">
        <v>8868</v>
      </c>
      <c r="C3" s="183"/>
      <c r="D3" s="183"/>
      <c r="E3" s="181"/>
      <c r="F3" s="146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27"/>
      <c r="U3" s="27"/>
      <c r="V3" s="27"/>
      <c r="W3" s="27"/>
      <c r="X3" s="27"/>
      <c r="Y3" s="27"/>
      <c r="Z3" s="27"/>
    </row>
    <row r="4" spans="1:26" ht="16">
      <c r="A4" s="147"/>
      <c r="B4" s="147"/>
      <c r="C4" s="147"/>
      <c r="D4" s="147"/>
      <c r="E4" s="147"/>
      <c r="F4" s="147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27"/>
      <c r="U4" s="27"/>
      <c r="V4" s="27"/>
      <c r="W4" s="27"/>
      <c r="X4" s="27"/>
      <c r="Y4" s="27"/>
      <c r="Z4" s="27"/>
    </row>
    <row r="5" spans="1:26" ht="45" customHeight="1">
      <c r="A5" s="147"/>
      <c r="B5" s="148" t="s">
        <v>8786</v>
      </c>
      <c r="C5" s="148" t="s">
        <v>8787</v>
      </c>
      <c r="D5" s="158" t="s">
        <v>8387</v>
      </c>
      <c r="E5" s="159"/>
      <c r="F5" s="151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27"/>
      <c r="U5" s="27"/>
      <c r="V5" s="27"/>
      <c r="W5" s="27"/>
      <c r="X5" s="27"/>
      <c r="Y5" s="27"/>
      <c r="Z5" s="27"/>
    </row>
    <row r="6" spans="1:26" ht="26" customHeight="1">
      <c r="A6" s="146"/>
      <c r="B6" s="146"/>
      <c r="C6" s="146"/>
      <c r="D6" s="152"/>
      <c r="E6" s="153"/>
      <c r="F6" s="153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27"/>
      <c r="U6" s="27"/>
      <c r="V6" s="27"/>
      <c r="W6" s="27"/>
      <c r="X6" s="27"/>
      <c r="Y6" s="27"/>
      <c r="Z6" s="27"/>
    </row>
    <row r="7" spans="1:26" ht="45" customHeight="1">
      <c r="A7" s="27"/>
      <c r="B7" s="203" t="s">
        <v>8869</v>
      </c>
      <c r="C7" s="183"/>
      <c r="D7" s="183"/>
      <c r="E7" s="183"/>
      <c r="F7" s="183"/>
      <c r="G7" s="183"/>
      <c r="H7" s="183"/>
      <c r="I7" s="183"/>
      <c r="J7" s="181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26" customHeight="1">
      <c r="A8" s="27"/>
      <c r="B8" s="81" t="s">
        <v>8175</v>
      </c>
      <c r="C8" s="81" t="s">
        <v>8176</v>
      </c>
      <c r="D8" s="81" t="s">
        <v>8177</v>
      </c>
      <c r="E8" s="81" t="s">
        <v>8178</v>
      </c>
      <c r="F8" s="81" t="s">
        <v>8179</v>
      </c>
      <c r="G8" s="81" t="s">
        <v>8180</v>
      </c>
      <c r="H8" s="220" t="s">
        <v>8181</v>
      </c>
      <c r="I8" s="183"/>
      <c r="J8" s="181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26" customHeight="1">
      <c r="A9" s="27"/>
      <c r="B9" s="30" t="s">
        <v>8870</v>
      </c>
      <c r="C9" s="37" t="s">
        <v>7467</v>
      </c>
      <c r="D9" s="34" t="e">
        <f>CONCATENATE(this_instance,"-ccm-hcx01")</f>
        <v>#REF!</v>
      </c>
      <c r="E9" s="13"/>
      <c r="F9" s="34" t="e">
        <f>IF(mgmt_dpg_reuse_result="Included",CONCATENATE(prefix_mgmt_az1_cidr,"10.46"),CONCATENATE(prefix_mgmt_az1_cidr,"11.46"))</f>
        <v>#REF!</v>
      </c>
      <c r="G9" s="13"/>
      <c r="H9" s="234" t="s">
        <v>8870</v>
      </c>
      <c r="I9" s="183"/>
      <c r="J9" s="181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26" customHeight="1">
      <c r="A10" s="27"/>
      <c r="B10" s="236" t="s">
        <v>8871</v>
      </c>
      <c r="C10" s="181"/>
      <c r="D10" s="236" t="s">
        <v>8872</v>
      </c>
      <c r="E10" s="181"/>
      <c r="F10" s="236" t="s">
        <v>8873</v>
      </c>
      <c r="G10" s="181"/>
      <c r="H10" s="237"/>
      <c r="I10" s="183"/>
      <c r="J10" s="181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26" customHeight="1">
      <c r="A11" s="27"/>
      <c r="B11" s="238" t="s">
        <v>7672</v>
      </c>
      <c r="C11" s="181"/>
      <c r="D11" s="239" t="e">
        <f>IF(mgmt_dpg_reuse_result="Included",CONCATENATE(prefix_wld_az1_cidr,"10.221-",prefix_wld_az1_cidr,"10.225"),CONCATENATE(prefix_wld_az1_cidr,"11.221-",prefix_wld_az1_cidr,"11.225"))</f>
        <v>#REF!</v>
      </c>
      <c r="E11" s="181"/>
      <c r="F11" s="240"/>
      <c r="G11" s="181"/>
      <c r="H11" s="234"/>
      <c r="I11" s="183"/>
      <c r="J11" s="181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26" customHeight="1">
      <c r="A12" s="27"/>
      <c r="B12" s="238" t="s">
        <v>7202</v>
      </c>
      <c r="C12" s="181"/>
      <c r="D12" s="239" t="e">
        <f>CONCATENATE(prefix_wld_az1_cidr,"12.221-",prefix_wld_az1_cidr,"12.225")</f>
        <v>#REF!</v>
      </c>
      <c r="E12" s="181"/>
      <c r="F12" s="240"/>
      <c r="G12" s="181"/>
      <c r="H12" s="234"/>
      <c r="I12" s="183"/>
      <c r="J12" s="181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6">
      <c r="A13" s="27"/>
      <c r="B13" s="7"/>
      <c r="C13" s="7"/>
      <c r="D13" s="7"/>
      <c r="E13" s="7"/>
      <c r="F13" s="7"/>
      <c r="G13" s="7"/>
      <c r="H13" s="7"/>
      <c r="I13" s="7"/>
      <c r="J13" s="9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40" customHeight="1">
      <c r="A14" s="7"/>
      <c r="B14" s="180" t="s">
        <v>8869</v>
      </c>
      <c r="C14" s="183"/>
      <c r="D14" s="183"/>
      <c r="E14" s="181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6" customHeight="1">
      <c r="A15" s="7"/>
      <c r="B15" s="12" t="s">
        <v>6780</v>
      </c>
      <c r="C15" s="12" t="s">
        <v>8191</v>
      </c>
      <c r="D15" s="79" t="s">
        <v>6943</v>
      </c>
      <c r="E15" s="12" t="s">
        <v>8181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6" customHeight="1">
      <c r="A16" s="7"/>
      <c r="B16" s="30" t="s">
        <v>7776</v>
      </c>
      <c r="C16" s="37" t="s">
        <v>8874</v>
      </c>
      <c r="D16" s="25"/>
      <c r="E16" s="25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6" customHeight="1">
      <c r="A17" s="7"/>
      <c r="B17" s="30" t="s">
        <v>8875</v>
      </c>
      <c r="C17" s="37" t="e">
        <f>CONCATENATE(this_instance,"-m01-fd-ccm")</f>
        <v>#REF!</v>
      </c>
      <c r="D17" s="25"/>
      <c r="E17" s="25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6" customHeight="1">
      <c r="A18" s="7"/>
      <c r="B18" s="30" t="s">
        <v>7793</v>
      </c>
      <c r="C18" s="37" t="e">
        <f>CONCATENATE(this_instance,"-w0",wld_domain_number_chosen,"-fd-hcx")</f>
        <v>#REF!</v>
      </c>
      <c r="D18" s="25"/>
      <c r="E18" s="25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6" customHeight="1">
      <c r="A19" s="7"/>
      <c r="B19" s="30" t="s">
        <v>7797</v>
      </c>
      <c r="C19" s="37" t="e">
        <f>CONCATENATE(this_instance,"-w0",wld_domain_number_chosen,"-cl01-rp-hcx")</f>
        <v>#REF!</v>
      </c>
      <c r="D19" s="25"/>
      <c r="E19" s="25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6" customHeight="1">
      <c r="A20" s="7"/>
      <c r="B20" s="30" t="s">
        <v>7809</v>
      </c>
      <c r="C20" s="37" t="s">
        <v>8876</v>
      </c>
      <c r="D20" s="25"/>
      <c r="E20" s="25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6" customHeight="1">
      <c r="A21" s="7"/>
      <c r="B21" s="30" t="s">
        <v>7687</v>
      </c>
      <c r="C21" s="37" t="s">
        <v>6502</v>
      </c>
      <c r="D21" s="25"/>
      <c r="E21" s="25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6" customHeight="1">
      <c r="A22" s="7"/>
      <c r="B22" s="30" t="s">
        <v>7693</v>
      </c>
      <c r="C22" s="37" t="s">
        <v>8877</v>
      </c>
      <c r="D22" s="25"/>
      <c r="E22" s="25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6" customHeight="1">
      <c r="A23" s="7"/>
      <c r="B23" s="30" t="s">
        <v>7696</v>
      </c>
      <c r="C23" s="37">
        <v>2</v>
      </c>
      <c r="D23" s="25"/>
      <c r="E23" s="25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6" customHeight="1">
      <c r="A24" s="7"/>
      <c r="B24" s="30" t="s">
        <v>7697</v>
      </c>
      <c r="C24" s="37" t="s">
        <v>8797</v>
      </c>
      <c r="D24" s="25"/>
      <c r="E24" s="25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6" customHeight="1">
      <c r="A25" s="7"/>
      <c r="B25" s="30" t="s">
        <v>7700</v>
      </c>
      <c r="C25" s="37" t="s">
        <v>8797</v>
      </c>
      <c r="D25" s="25"/>
      <c r="E25" s="25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6" customHeight="1">
      <c r="A26" s="7"/>
      <c r="B26" s="30" t="s">
        <v>7704</v>
      </c>
      <c r="C26" s="37" t="s">
        <v>8798</v>
      </c>
      <c r="D26" s="25"/>
      <c r="E26" s="25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6" customHeight="1">
      <c r="A27" s="7"/>
      <c r="B27" s="30" t="s">
        <v>8799</v>
      </c>
      <c r="C27" s="37" t="s">
        <v>8800</v>
      </c>
      <c r="D27" s="25"/>
      <c r="E27" s="25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6" customHeight="1">
      <c r="A28" s="7"/>
      <c r="B28" s="30" t="s">
        <v>7834</v>
      </c>
      <c r="C28" s="37" t="s">
        <v>8878</v>
      </c>
      <c r="D28" s="25"/>
      <c r="E28" s="25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6" customHeight="1">
      <c r="A29" s="7"/>
      <c r="B29" s="30" t="s">
        <v>8801</v>
      </c>
      <c r="C29" s="37" t="s">
        <v>8802</v>
      </c>
      <c r="D29" s="25"/>
      <c r="E29" s="25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6" customHeight="1">
      <c r="A30" s="7"/>
      <c r="B30" s="30" t="s">
        <v>7843</v>
      </c>
      <c r="C30" s="37" t="s">
        <v>8803</v>
      </c>
      <c r="D30" s="25"/>
      <c r="E30" s="25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6" customHeight="1">
      <c r="A31" s="7"/>
      <c r="B31" s="30" t="s">
        <v>7846</v>
      </c>
      <c r="C31" s="37" t="s">
        <v>8735</v>
      </c>
      <c r="D31" s="25"/>
      <c r="E31" s="25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6" customHeight="1">
      <c r="A32" s="7"/>
      <c r="B32" s="30" t="s">
        <v>7851</v>
      </c>
      <c r="C32" s="37" t="s">
        <v>8879</v>
      </c>
      <c r="D32" s="25"/>
      <c r="E32" s="25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6" customHeight="1">
      <c r="A33" s="7"/>
      <c r="B33" s="30" t="s">
        <v>7859</v>
      </c>
      <c r="C33" s="37" t="s">
        <v>6763</v>
      </c>
      <c r="D33" s="25"/>
      <c r="E33" s="25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6" customHeight="1">
      <c r="A34" s="7"/>
      <c r="B34" s="30" t="s">
        <v>7863</v>
      </c>
      <c r="C34" s="37" t="s">
        <v>6763</v>
      </c>
      <c r="D34" s="25"/>
      <c r="E34" s="25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6" customHeight="1">
      <c r="A35" s="7"/>
      <c r="B35" s="30" t="s">
        <v>7873</v>
      </c>
      <c r="C35" s="37" t="s">
        <v>8880</v>
      </c>
      <c r="D35" s="25"/>
      <c r="E35" s="25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6" customHeight="1">
      <c r="A36" s="7"/>
      <c r="B36" s="30" t="s">
        <v>7878</v>
      </c>
      <c r="C36" s="37" t="s">
        <v>8881</v>
      </c>
      <c r="D36" s="25"/>
      <c r="E36" s="25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6" customHeight="1">
      <c r="A37" s="7"/>
      <c r="B37" s="30" t="s">
        <v>7882</v>
      </c>
      <c r="C37" s="37" t="s">
        <v>8882</v>
      </c>
      <c r="D37" s="25"/>
      <c r="E37" s="25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6" customHeight="1">
      <c r="A38" s="7"/>
      <c r="B38" s="30" t="s">
        <v>7894</v>
      </c>
      <c r="C38" s="37" t="e">
        <f>CONCATENATE(this_instance,"-w0",wld_domain_number_chosen,"-compute-profile")</f>
        <v>#REF!</v>
      </c>
      <c r="D38" s="25"/>
      <c r="E38" s="25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6" customHeight="1">
      <c r="A39" s="7"/>
      <c r="B39" s="30" t="s">
        <v>7897</v>
      </c>
      <c r="C39" s="37" t="e">
        <f>CONCATENATE(this_instance,"-w0",wld_domain_number_chosen,"-service-mesh")</f>
        <v>#REF!</v>
      </c>
      <c r="D39" s="25"/>
      <c r="E39" s="25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6">
      <c r="A40" s="147"/>
      <c r="B40" s="147"/>
      <c r="C40" s="147"/>
      <c r="D40" s="147"/>
      <c r="E40" s="147"/>
      <c r="F40" s="147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27"/>
      <c r="U40" s="27"/>
      <c r="V40" s="27"/>
      <c r="W40" s="27"/>
      <c r="X40" s="27"/>
      <c r="Y40" s="27"/>
      <c r="Z40" s="27"/>
    </row>
    <row r="41" spans="1:26" ht="45" customHeight="1">
      <c r="A41" s="147"/>
      <c r="B41" s="235" t="s">
        <v>8787</v>
      </c>
      <c r="C41" s="183"/>
      <c r="D41" s="183"/>
      <c r="E41" s="181"/>
      <c r="F41" s="147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27"/>
      <c r="U41" s="27"/>
      <c r="V41" s="27"/>
      <c r="W41" s="27"/>
      <c r="X41" s="27"/>
      <c r="Y41" s="27"/>
      <c r="Z41" s="27"/>
    </row>
    <row r="42" spans="1:26" ht="16">
      <c r="A42" s="147"/>
      <c r="B42" s="147"/>
      <c r="C42" s="147"/>
      <c r="D42" s="147"/>
      <c r="E42" s="147"/>
      <c r="F42" s="147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1:26" ht="45" customHeight="1">
      <c r="A43" s="155"/>
      <c r="B43" s="203" t="s">
        <v>8883</v>
      </c>
      <c r="C43" s="183"/>
      <c r="D43" s="183"/>
      <c r="E43" s="181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27"/>
      <c r="U43" s="27"/>
      <c r="V43" s="27"/>
      <c r="W43" s="27"/>
      <c r="X43" s="27"/>
      <c r="Y43" s="27"/>
      <c r="Z43" s="27"/>
    </row>
    <row r="44" spans="1:26" ht="26" customHeight="1">
      <c r="A44" s="155"/>
      <c r="B44" s="88" t="s">
        <v>6780</v>
      </c>
      <c r="C44" s="88" t="s">
        <v>8191</v>
      </c>
      <c r="D44" s="88" t="s">
        <v>6943</v>
      </c>
      <c r="E44" s="88" t="s">
        <v>8181</v>
      </c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27"/>
      <c r="U44" s="27"/>
      <c r="V44" s="27"/>
      <c r="W44" s="27"/>
      <c r="X44" s="27"/>
      <c r="Y44" s="27"/>
      <c r="Z44" s="27"/>
    </row>
    <row r="45" spans="1:26" ht="26" customHeight="1">
      <c r="A45" s="155"/>
      <c r="B45" s="30" t="s">
        <v>8369</v>
      </c>
      <c r="C45" s="31" t="e">
        <f>sample_mgmt_vc_fqdn</f>
        <v>#REF!</v>
      </c>
      <c r="D45" s="13" t="e">
        <f>mgmt_vc_fqdn</f>
        <v>#REF!</v>
      </c>
      <c r="E45" s="156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27"/>
      <c r="U45" s="27"/>
      <c r="V45" s="27"/>
      <c r="W45" s="27"/>
      <c r="X45" s="27"/>
      <c r="Y45" s="27"/>
      <c r="Z45" s="27"/>
    </row>
    <row r="46" spans="1:26" ht="26" customHeight="1">
      <c r="A46" s="155"/>
      <c r="B46" s="157" t="s">
        <v>8884</v>
      </c>
      <c r="C46" s="110" t="str">
        <f>sample_ccm_hcx_vsphere_role</f>
        <v>VMware HCX to vSphere Integration</v>
      </c>
      <c r="D46" s="32" t="str">
        <f t="array" ref="D46">ccm_hcx_vsphere_role</f>
        <v>Value Missing</v>
      </c>
      <c r="E46" s="156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26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45" customHeight="1">
      <c r="A48" s="68"/>
      <c r="B48" s="203" t="s">
        <v>8885</v>
      </c>
      <c r="C48" s="183"/>
      <c r="D48" s="183"/>
      <c r="E48" s="181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26" customHeight="1">
      <c r="A49" s="68"/>
      <c r="B49" s="88" t="s">
        <v>6780</v>
      </c>
      <c r="C49" s="88" t="s">
        <v>8191</v>
      </c>
      <c r="D49" s="88" t="s">
        <v>6943</v>
      </c>
      <c r="E49" s="88" t="s">
        <v>8181</v>
      </c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26" customHeight="1">
      <c r="A50" s="68"/>
      <c r="B50" s="30" t="s">
        <v>8369</v>
      </c>
      <c r="C50" s="31" t="e">
        <f>sample_mgmt_vc_fqdn</f>
        <v>#REF!</v>
      </c>
      <c r="D50" s="13" t="e">
        <f>mgmt_vc_fqdn</f>
        <v>#REF!</v>
      </c>
      <c r="E50" s="156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26" customHeight="1">
      <c r="A51" s="68"/>
      <c r="B51" s="30" t="s">
        <v>8886</v>
      </c>
      <c r="C51" s="31" t="e">
        <f>sample_child_dns_zone</f>
        <v>#REF!</v>
      </c>
      <c r="D51" s="13" t="str">
        <f>child_dns_zone</f>
        <v>Value Missing</v>
      </c>
      <c r="E51" s="156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26" customHeight="1">
      <c r="A52" s="68"/>
      <c r="B52" s="30" t="s">
        <v>8887</v>
      </c>
      <c r="C52" s="31" t="str">
        <f>sample_svc_ccm_hcx_vsphere_user</f>
        <v>svc-hcx-vsphere</v>
      </c>
      <c r="D52" s="13" t="str">
        <f>ccm_hcx_vsphere_svc_user</f>
        <v>Value Missing</v>
      </c>
      <c r="E52" s="156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26" customHeight="1">
      <c r="A53" s="68"/>
      <c r="B53" s="80" t="s">
        <v>8888</v>
      </c>
      <c r="C53" s="31" t="str">
        <f>sample_ccm_hcx_vsphere_role</f>
        <v>VMware HCX to vSphere Integration</v>
      </c>
      <c r="D53" s="13" t="str">
        <f>ccm_hcx_vsphere_role</f>
        <v>Value Missing</v>
      </c>
      <c r="E53" s="156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26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45" customHeight="1">
      <c r="A55" s="155"/>
      <c r="B55" s="203" t="s">
        <v>8889</v>
      </c>
      <c r="C55" s="183"/>
      <c r="D55" s="183"/>
      <c r="E55" s="181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26" customHeight="1">
      <c r="A56" s="155"/>
      <c r="B56" s="88" t="s">
        <v>6780</v>
      </c>
      <c r="C56" s="88" t="s">
        <v>8191</v>
      </c>
      <c r="D56" s="88" t="s">
        <v>6943</v>
      </c>
      <c r="E56" s="88" t="s">
        <v>8181</v>
      </c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26" customHeight="1">
      <c r="A57" s="155"/>
      <c r="B57" s="30" t="s">
        <v>8369</v>
      </c>
      <c r="C57" s="31" t="e">
        <f>sample_mgmt_vc_fqdn</f>
        <v>#REF!</v>
      </c>
      <c r="D57" s="13" t="e">
        <f>mgmt_vc_fqdn</f>
        <v>#REF!</v>
      </c>
      <c r="E57" s="156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26" customHeight="1">
      <c r="A58" s="155"/>
      <c r="B58" s="30" t="s">
        <v>8814</v>
      </c>
      <c r="C58" s="31" t="e">
        <f>sample_mgmt_datacenter</f>
        <v>#REF!</v>
      </c>
      <c r="D58" s="13" t="e">
        <f>mgmt_datacenter</f>
        <v>#REF!</v>
      </c>
      <c r="E58" s="156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26" customHeight="1">
      <c r="A59" s="155"/>
      <c r="B59" s="56" t="s">
        <v>8890</v>
      </c>
      <c r="C59" s="31" t="e">
        <f>sample_ccm_vm_folder</f>
        <v>#REF!</v>
      </c>
      <c r="D59" s="13" t="str">
        <f>ccm_vm_folder</f>
        <v>Value Missing</v>
      </c>
      <c r="E59" s="156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26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45" customHeight="1">
      <c r="A61" s="68"/>
      <c r="B61" s="203" t="s">
        <v>8891</v>
      </c>
      <c r="C61" s="183"/>
      <c r="D61" s="183"/>
      <c r="E61" s="181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26" customHeight="1">
      <c r="A62" s="68"/>
      <c r="B62" s="88" t="s">
        <v>6780</v>
      </c>
      <c r="C62" s="88" t="s">
        <v>8191</v>
      </c>
      <c r="D62" s="88" t="s">
        <v>6943</v>
      </c>
      <c r="E62" s="88" t="s">
        <v>8181</v>
      </c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26" customHeight="1">
      <c r="A63" s="68"/>
      <c r="B63" s="30" t="s">
        <v>8892</v>
      </c>
      <c r="C63" s="31" t="e">
        <f>sample_wld_vc_fqdn</f>
        <v>#REF!</v>
      </c>
      <c r="D63" s="13" t="e">
        <f>wld_vc_fqdn</f>
        <v>#REF!</v>
      </c>
      <c r="E63" s="156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26" customHeight="1">
      <c r="A64" s="68"/>
      <c r="B64" s="30" t="s">
        <v>8814</v>
      </c>
      <c r="C64" s="31" t="e">
        <f>sample_wld_datacenter</f>
        <v>#REF!</v>
      </c>
      <c r="D64" s="13" t="e">
        <f>wld_datacenter</f>
        <v>#REF!</v>
      </c>
      <c r="E64" s="156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26" customHeight="1">
      <c r="A65" s="68"/>
      <c r="B65" s="30" t="s">
        <v>8893</v>
      </c>
      <c r="C65" s="31" t="e">
        <f>sample_ccm_hcx_vm_folder</f>
        <v>#REF!</v>
      </c>
      <c r="D65" s="13"/>
      <c r="E65" s="156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26" customHeight="1">
      <c r="A66" s="68"/>
      <c r="B66" s="30" t="s">
        <v>7797</v>
      </c>
      <c r="C66" s="31" t="e">
        <f>sample_ccm_hcx_resource_pool</f>
        <v>#REF!</v>
      </c>
      <c r="D66" s="13"/>
      <c r="E66" s="156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26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45" customHeight="1">
      <c r="A68" s="68"/>
      <c r="B68" s="203" t="s">
        <v>8894</v>
      </c>
      <c r="C68" s="183"/>
      <c r="D68" s="183"/>
      <c r="E68" s="181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26" customHeight="1">
      <c r="A69" s="68"/>
      <c r="B69" s="88" t="s">
        <v>6780</v>
      </c>
      <c r="C69" s="88" t="s">
        <v>8191</v>
      </c>
      <c r="D69" s="88" t="s">
        <v>6943</v>
      </c>
      <c r="E69" s="88" t="s">
        <v>8181</v>
      </c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26" customHeight="1">
      <c r="A70" s="68"/>
      <c r="B70" s="30" t="s">
        <v>8895</v>
      </c>
      <c r="C70" s="31" t="e">
        <f>sample_mgmt_vc_fqdn</f>
        <v>#REF!</v>
      </c>
      <c r="D70" s="13" t="e">
        <f>wld_nsxt_hostname&amp;"."&amp;child_dns_zone</f>
        <v>#REF!</v>
      </c>
      <c r="E70" s="156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26" customHeight="1">
      <c r="A71" s="68"/>
      <c r="B71" s="30" t="s">
        <v>7561</v>
      </c>
      <c r="C71" s="31" t="e">
        <f>sample_svc_ccm_hcx_nsx_user&amp;"@"&amp;sample_child_dns_zone</f>
        <v>#REF!</v>
      </c>
      <c r="D71" s="13" t="str">
        <f>ccm_hcx_nsx_svc_user&amp;"@"&amp;child_dns_zone</f>
        <v>Value Missing@Value Missing</v>
      </c>
      <c r="E71" s="156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26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45" customHeight="1">
      <c r="A73" s="68"/>
      <c r="B73" s="203" t="s">
        <v>8896</v>
      </c>
      <c r="C73" s="183"/>
      <c r="D73" s="183"/>
      <c r="E73" s="181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26" customHeight="1">
      <c r="A74" s="68"/>
      <c r="B74" s="88" t="s">
        <v>6780</v>
      </c>
      <c r="C74" s="88" t="s">
        <v>8191</v>
      </c>
      <c r="D74" s="88" t="s">
        <v>6943</v>
      </c>
      <c r="E74" s="88" t="s">
        <v>8181</v>
      </c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26" customHeight="1">
      <c r="A75" s="68"/>
      <c r="B75" s="30" t="s">
        <v>8817</v>
      </c>
      <c r="C75" s="31" t="s">
        <v>8818</v>
      </c>
      <c r="D75" s="96" t="str">
        <f>C75</f>
        <v>console.cloud.vmware.com</v>
      </c>
      <c r="E75" s="156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26" customHeight="1">
      <c r="A76" s="68"/>
      <c r="B76" s="30" t="s">
        <v>8819</v>
      </c>
      <c r="C76" s="31" t="str">
        <f>sample_ccm_aws_sddc_name</f>
        <v>mobility-sddc</v>
      </c>
      <c r="D76" s="13" t="str">
        <f>ccm_aws_sddc_name</f>
        <v>Value Missing</v>
      </c>
      <c r="E76" s="156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26" customHeight="1">
      <c r="A77" s="68"/>
      <c r="B77" s="30" t="s">
        <v>7687</v>
      </c>
      <c r="C77" s="31" t="str">
        <f>sample_ccm_aws_region</f>
        <v>Europe (Ireland)</v>
      </c>
      <c r="D77" s="13" t="str">
        <f>ccm_aws_region</f>
        <v>Value Missing</v>
      </c>
      <c r="E77" s="156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26" customHeight="1">
      <c r="A78" s="68"/>
      <c r="B78" s="30" t="s">
        <v>7693</v>
      </c>
      <c r="C78" s="31" t="str">
        <f>sample_ccm_aws_host_type</f>
        <v>I3 (Local SSD)</v>
      </c>
      <c r="D78" s="13" t="str">
        <f>ccm_aws_host_type</f>
        <v>Value Missing</v>
      </c>
      <c r="E78" s="156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26" customHeight="1">
      <c r="A79" s="68"/>
      <c r="B79" s="30" t="s">
        <v>7696</v>
      </c>
      <c r="C79" s="31">
        <f>sample_ccm_aws_host_count</f>
        <v>2</v>
      </c>
      <c r="D79" s="13" t="str">
        <f>ccm_aws_host_count</f>
        <v>Value Missing</v>
      </c>
      <c r="E79" s="156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26" customHeight="1">
      <c r="A80" s="68"/>
      <c r="B80" s="30" t="s">
        <v>7697</v>
      </c>
      <c r="C80" s="31" t="str">
        <f>sample_ccm_aws_vpc</f>
        <v>&lt;generated&gt;</v>
      </c>
      <c r="D80" s="13" t="str">
        <f>ccm_aws_vpc</f>
        <v>Value Missing</v>
      </c>
      <c r="E80" s="156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26" customHeight="1">
      <c r="A81" s="68"/>
      <c r="B81" s="30" t="s">
        <v>7700</v>
      </c>
      <c r="C81" s="31" t="str">
        <f>sample_ccm_aws_subnet</f>
        <v>&lt;generated&gt;</v>
      </c>
      <c r="D81" s="13" t="str">
        <f>ccm_aws_subnet</f>
        <v>Value Missing</v>
      </c>
      <c r="E81" s="156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26" customHeight="1">
      <c r="A82" s="68"/>
      <c r="B82" s="30" t="s">
        <v>7704</v>
      </c>
      <c r="C82" s="31" t="str">
        <f>sample_ccm_aws_management_subnet</f>
        <v>10.2.0.0/16</v>
      </c>
      <c r="D82" s="13" t="str">
        <f>ccm_aws_management_subnet</f>
        <v>Value Missing</v>
      </c>
      <c r="E82" s="156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26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45" customHeight="1">
      <c r="A84" s="68"/>
      <c r="B84" s="203" t="s">
        <v>8897</v>
      </c>
      <c r="C84" s="183"/>
      <c r="D84" s="183"/>
      <c r="E84" s="181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26" customHeight="1">
      <c r="A85" s="68"/>
      <c r="B85" s="88" t="s">
        <v>6780</v>
      </c>
      <c r="C85" s="88" t="s">
        <v>8191</v>
      </c>
      <c r="D85" s="88" t="s">
        <v>6943</v>
      </c>
      <c r="E85" s="88" t="s">
        <v>8181</v>
      </c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26" customHeight="1">
      <c r="A86" s="68"/>
      <c r="B86" s="30" t="s">
        <v>8817</v>
      </c>
      <c r="C86" s="31" t="s">
        <v>8818</v>
      </c>
      <c r="D86" s="13" t="s">
        <v>8818</v>
      </c>
      <c r="E86" s="156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26" customHeight="1">
      <c r="A87" s="68"/>
      <c r="B87" s="30" t="s">
        <v>8821</v>
      </c>
      <c r="C87" s="31" t="str">
        <f>sample_ccm_firewall_rule_vcenter</f>
        <v>vCenter Inbound Rule</v>
      </c>
      <c r="D87" s="13" t="str">
        <f>ccm_firewall_rule_vcenter</f>
        <v>Value Missing</v>
      </c>
      <c r="E87" s="156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26" customHeight="1">
      <c r="A88" s="68"/>
      <c r="B88" s="30" t="s">
        <v>8822</v>
      </c>
      <c r="C88" s="31" t="str">
        <f>sample_ccm_firewall_group</f>
        <v>External-Access</v>
      </c>
      <c r="D88" s="13" t="str">
        <f>ccm_firewall_group</f>
        <v>Value Missing</v>
      </c>
      <c r="E88" s="156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26" customHeight="1">
      <c r="A89" s="68"/>
      <c r="B89" s="30" t="s">
        <v>8823</v>
      </c>
      <c r="C89" s="31" t="s">
        <v>6248</v>
      </c>
      <c r="D89" s="13" t="str">
        <f t="shared" ref="D89:D91" si="0">C89</f>
        <v>vCenter</v>
      </c>
      <c r="E89" s="156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26" customHeight="1">
      <c r="A90" s="68"/>
      <c r="B90" s="30" t="s">
        <v>8824</v>
      </c>
      <c r="C90" s="31" t="s">
        <v>8825</v>
      </c>
      <c r="D90" s="13" t="str">
        <f t="shared" si="0"/>
        <v>HTTPS (TCP 443)</v>
      </c>
      <c r="E90" s="156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26" customHeight="1">
      <c r="A91" s="68"/>
      <c r="B91" s="30" t="s">
        <v>8824</v>
      </c>
      <c r="C91" s="31" t="s">
        <v>8826</v>
      </c>
      <c r="D91" s="13" t="str">
        <f t="shared" si="0"/>
        <v>SSO (TCP 7444)</v>
      </c>
      <c r="E91" s="156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26" customHeight="1">
      <c r="A92" s="68"/>
      <c r="B92" s="30" t="s">
        <v>8827</v>
      </c>
      <c r="C92" s="31" t="str">
        <f>sample_ccm_firewall_ip_addresses</f>
        <v>69.34.34.11</v>
      </c>
      <c r="D92" s="13" t="str">
        <f>ccm_firewall_ip_addresses</f>
        <v>Value Missing</v>
      </c>
      <c r="E92" s="156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26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45" customHeight="1">
      <c r="A94" s="68"/>
      <c r="B94" s="203" t="s">
        <v>8898</v>
      </c>
      <c r="C94" s="183"/>
      <c r="D94" s="183"/>
      <c r="E94" s="181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26" customHeight="1">
      <c r="A95" s="68"/>
      <c r="B95" s="88" t="s">
        <v>6780</v>
      </c>
      <c r="C95" s="88" t="s">
        <v>8191</v>
      </c>
      <c r="D95" s="88" t="s">
        <v>6943</v>
      </c>
      <c r="E95" s="88" t="s">
        <v>8181</v>
      </c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26" customHeight="1">
      <c r="A96" s="68"/>
      <c r="B96" s="30" t="s">
        <v>8817</v>
      </c>
      <c r="C96" s="31" t="s">
        <v>8818</v>
      </c>
      <c r="D96" s="13" t="s">
        <v>8818</v>
      </c>
      <c r="E96" s="156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26" customHeight="1">
      <c r="A97" s="68"/>
      <c r="B97" s="30" t="s">
        <v>7809</v>
      </c>
      <c r="C97" s="31" t="str">
        <f>sample_ccm_aws_sddc_name</f>
        <v>mobility-sddc</v>
      </c>
      <c r="D97" s="13" t="str">
        <f>ccm_aws_sddc_name</f>
        <v>Value Missing</v>
      </c>
      <c r="E97" s="156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26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45" customHeight="1">
      <c r="A99" s="68"/>
      <c r="B99" s="203" t="s">
        <v>8899</v>
      </c>
      <c r="C99" s="183"/>
      <c r="D99" s="183"/>
      <c r="E99" s="181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26" customHeight="1">
      <c r="A100" s="68"/>
      <c r="B100" s="88" t="s">
        <v>6780</v>
      </c>
      <c r="C100" s="88" t="s">
        <v>8191</v>
      </c>
      <c r="D100" s="88" t="s">
        <v>6943</v>
      </c>
      <c r="E100" s="88" t="s">
        <v>8181</v>
      </c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26" customHeight="1">
      <c r="A101" s="68"/>
      <c r="B101" s="30" t="s">
        <v>8817</v>
      </c>
      <c r="C101" s="31" t="s">
        <v>8818</v>
      </c>
      <c r="D101" s="96" t="str">
        <f>C101</f>
        <v>console.cloud.vmware.com</v>
      </c>
      <c r="E101" s="156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26" customHeight="1">
      <c r="A102" s="68"/>
      <c r="B102" s="157" t="s">
        <v>7809</v>
      </c>
      <c r="C102" s="110" t="str">
        <f>sample_ccm_aws_sddc_name</f>
        <v>mobility-sddc</v>
      </c>
      <c r="D102" s="32" t="str">
        <f>ccm_aws_sddc_name</f>
        <v>Value Missing</v>
      </c>
      <c r="E102" s="156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26" customHeight="1">
      <c r="A103" s="68"/>
      <c r="B103" s="219" t="s">
        <v>8900</v>
      </c>
      <c r="C103" s="183"/>
      <c r="D103" s="183"/>
      <c r="E103" s="181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26" customHeight="1">
      <c r="A104" s="68"/>
      <c r="B104" s="30" t="s">
        <v>8369</v>
      </c>
      <c r="C104" s="31" t="e">
        <f>sample_mgmt_vc_fqdn</f>
        <v>#REF!</v>
      </c>
      <c r="D104" s="13" t="e">
        <f>mgmt_vc_fqdn</f>
        <v>#REF!</v>
      </c>
      <c r="E104" s="156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26" customHeight="1">
      <c r="A105" s="68"/>
      <c r="B105" s="30" t="s">
        <v>8901</v>
      </c>
      <c r="C105" s="31" t="e">
        <f>sample_ccm_vm_folder</f>
        <v>#REF!</v>
      </c>
      <c r="D105" s="13" t="str">
        <f>ccm_vm_folder</f>
        <v>Value Missing</v>
      </c>
      <c r="E105" s="156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26" customHeight="1">
      <c r="A106" s="68"/>
      <c r="B106" s="30" t="s">
        <v>8303</v>
      </c>
      <c r="C106" s="31" t="e">
        <f>sample_ccm_hcx_cdp_hostname</f>
        <v>#REF!</v>
      </c>
      <c r="D106" s="13" t="str">
        <f>ccm_hcx_cdp_hostname</f>
        <v>Value Missing</v>
      </c>
      <c r="E106" s="156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26" customHeight="1">
      <c r="A107" s="68"/>
      <c r="B107" s="30" t="s">
        <v>8305</v>
      </c>
      <c r="C107" s="31" t="e">
        <f>sample_mgmt_cl01_cluster</f>
        <v>#REF!</v>
      </c>
      <c r="D107" s="13" t="e">
        <f>mgmt_cl01_cluster</f>
        <v>#REF!</v>
      </c>
      <c r="E107" s="156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26" customHeight="1">
      <c r="A108" s="68"/>
      <c r="B108" s="30" t="s">
        <v>8839</v>
      </c>
      <c r="C108" s="31" t="e">
        <f>sample_mgmt_cl01_vsan_datastore</f>
        <v>#REF!</v>
      </c>
      <c r="D108" s="13" t="e">
        <f>mgmt_cl01_vsan_datastore</f>
        <v>#REF!</v>
      </c>
      <c r="E108" s="156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26" customHeight="1">
      <c r="A109" s="68"/>
      <c r="B109" s="30" t="s">
        <v>334</v>
      </c>
      <c r="C109" s="31" t="e">
        <f>sample_mgmt_cl01_az1_mgmt_pg</f>
        <v>#REF!</v>
      </c>
      <c r="D109" s="13" t="e">
        <f>mgmt_cl01_az1_mgmt_pg</f>
        <v>#REF!</v>
      </c>
      <c r="E109" s="156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26" customHeight="1">
      <c r="A110" s="68"/>
      <c r="B110" s="30" t="s">
        <v>8902</v>
      </c>
      <c r="C110" s="31" t="str">
        <f>sample_ccm_hcx_admin_password</f>
        <v>VMw@re1!</v>
      </c>
      <c r="D110" s="13" t="str">
        <f>ccm_hcx_admin_password</f>
        <v>Value Missing</v>
      </c>
      <c r="E110" s="156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26" customHeight="1">
      <c r="A111" s="68"/>
      <c r="B111" s="30" t="s">
        <v>8903</v>
      </c>
      <c r="C111" s="31" t="str">
        <f>sample_ccm_hcx_root_password</f>
        <v>VMw@re1!</v>
      </c>
      <c r="D111" s="13" t="str">
        <f>ccm_hcx_root_password</f>
        <v>Value Missing</v>
      </c>
      <c r="E111" s="156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26" customHeight="1">
      <c r="A112" s="68"/>
      <c r="B112" s="30" t="s">
        <v>6786</v>
      </c>
      <c r="C112" s="31"/>
      <c r="D112" s="13" t="str">
        <f>ccm_hcx_cdp_hostname&amp;"."&amp;child_dns_zone</f>
        <v>Value Missing.Value Missing</v>
      </c>
      <c r="E112" s="156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26" customHeight="1">
      <c r="A113" s="68"/>
      <c r="B113" s="30" t="s">
        <v>8904</v>
      </c>
      <c r="C113" s="31" t="e">
        <f>sample_ccm_hcx_cdp_ip</f>
        <v>#REF!</v>
      </c>
      <c r="D113" s="13" t="str">
        <f>ccm_hcx_cdp_ip</f>
        <v>Value Missing</v>
      </c>
      <c r="E113" s="156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26" customHeight="1">
      <c r="A114" s="68"/>
      <c r="B114" s="30" t="s">
        <v>8905</v>
      </c>
      <c r="C114" s="31" t="e">
        <f>INT(RIGHT(sample_mgmt_az1_mgmt_cidr,LEN(sample_mgmt_az1_mgmt_cidr)-FIND("/",sample_mgmt_az1_mgmt_cidr)))</f>
        <v>#NAME?</v>
      </c>
      <c r="D114" s="13"/>
      <c r="E114" s="156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26" customHeight="1">
      <c r="A115" s="68"/>
      <c r="B115" s="30" t="s">
        <v>6698</v>
      </c>
      <c r="C115" s="31" t="e">
        <f>sample_mgmt_az1_mgmt_gateway_cidr</f>
        <v>#REF!</v>
      </c>
      <c r="D115" s="13" t="e">
        <f>mgmt_az1_mgmt_gateway_ip</f>
        <v>#REF!</v>
      </c>
      <c r="E115" s="156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26" customHeight="1">
      <c r="A116" s="68"/>
      <c r="B116" s="30" t="s">
        <v>8906</v>
      </c>
      <c r="C116" s="31" t="e">
        <f>CONCATENATE(sample_region_dns1_ip," ",sample_region_dns2_ip)</f>
        <v>#REF!</v>
      </c>
      <c r="D116" s="13" t="e">
        <f>CONCATENATE(region_dns1_ip," ",region_dns2_ip)</f>
        <v>#REF!</v>
      </c>
      <c r="E116" s="156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26" customHeight="1">
      <c r="A117" s="68"/>
      <c r="B117" s="30" t="s">
        <v>8907</v>
      </c>
      <c r="C117" s="31" t="e">
        <f>sample_child_dns_zone</f>
        <v>#REF!</v>
      </c>
      <c r="D117" s="13" t="str">
        <f>child_dns_zone</f>
        <v>Value Missing</v>
      </c>
      <c r="E117" s="156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26" customHeight="1">
      <c r="A118" s="68"/>
      <c r="B118" s="30" t="s">
        <v>8908</v>
      </c>
      <c r="C118" s="31" t="e">
        <f>sample_region_ntp1_server</f>
        <v>#REF!</v>
      </c>
      <c r="D118" s="13" t="e">
        <f>region_ntp1_server</f>
        <v>#REF!</v>
      </c>
      <c r="E118" s="156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26" customHeight="1">
      <c r="A119" s="68"/>
      <c r="B119" s="219" t="s">
        <v>8909</v>
      </c>
      <c r="C119" s="183"/>
      <c r="D119" s="183"/>
      <c r="E119" s="181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26" customHeight="1">
      <c r="A120" s="68"/>
      <c r="B120" s="30" t="s">
        <v>7846</v>
      </c>
      <c r="C120" s="31" t="str">
        <f>sample_ccm_hcx_license</f>
        <v>xxxxx-xxxxx-xxxxx-xxxxx-xxxxx</v>
      </c>
      <c r="D120" s="13" t="str">
        <f>ccm_hcx_license</f>
        <v>Value Missing</v>
      </c>
      <c r="E120" s="156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26" customHeight="1">
      <c r="A121" s="68"/>
      <c r="B121" s="30" t="s">
        <v>8910</v>
      </c>
      <c r="C121" s="31" t="str">
        <f>sample_ccm_hcx_dc_location</f>
        <v>San Francisco, United States of America</v>
      </c>
      <c r="D121" s="13" t="str">
        <f>ccm_hcx_dc_location</f>
        <v>Value Missing</v>
      </c>
      <c r="E121" s="156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26" customHeight="1">
      <c r="A122" s="68"/>
      <c r="B122" s="30" t="s">
        <v>8911</v>
      </c>
      <c r="C122" s="31" t="e">
        <f>CONCATENATE(sample_ccm_hcx_cdp_hostname,".",sample_child_dns_zone)</f>
        <v>#REF!</v>
      </c>
      <c r="D122" s="13" t="str">
        <f>CONCATENATE(ccm_hcx_cdp_hostname,".",child_dns_zone)</f>
        <v>Value Missing.Value Missing</v>
      </c>
      <c r="E122" s="156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26" customHeight="1">
      <c r="A123" s="68"/>
      <c r="B123" s="30" t="s">
        <v>7187</v>
      </c>
      <c r="C123" s="31" t="e">
        <f>sample_wld_vc_fqdn</f>
        <v>#REF!</v>
      </c>
      <c r="D123" s="13" t="e">
        <f>wld_vc_fqdn</f>
        <v>#REF!</v>
      </c>
      <c r="E123" s="156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26" customHeight="1">
      <c r="A124" s="68"/>
      <c r="B124" s="30" t="s">
        <v>6808</v>
      </c>
      <c r="C124" s="31" t="e">
        <f>sample_svc_ccm_hcx_vsphere_user&amp;"@"&amp;sample_child_dns_zone</f>
        <v>#REF!</v>
      </c>
      <c r="D124" s="13" t="str">
        <f>ccm_hcx_vsphere_svc_user&amp;"@"&amp;child_dns_zone</f>
        <v>Value Missing@Value Missing</v>
      </c>
      <c r="E124" s="156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26" customHeight="1">
      <c r="A125" s="68"/>
      <c r="B125" s="30" t="s">
        <v>6792</v>
      </c>
      <c r="C125" s="31" t="str">
        <f>sample_svc_ccm_hcx_vsphere_password</f>
        <v>VMw@re1!</v>
      </c>
      <c r="D125" s="13" t="str">
        <f>ccm_hcx_vsphere_svc_password</f>
        <v>Value Missing</v>
      </c>
      <c r="E125" s="156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26" customHeight="1">
      <c r="A126" s="68"/>
      <c r="B126" s="30" t="s">
        <v>8912</v>
      </c>
      <c r="C126" s="31" t="e">
        <f>sample_wld_nsxt_vip_fqdn</f>
        <v>#REF!</v>
      </c>
      <c r="D126" s="13" t="e">
        <f>wld_nsxt_mgra_fqdn</f>
        <v>#REF!</v>
      </c>
      <c r="E126" s="156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26" customHeight="1">
      <c r="A127" s="68"/>
      <c r="B127" s="30" t="s">
        <v>6808</v>
      </c>
      <c r="C127" s="31" t="e">
        <f>sample_svc_ccm_hcx_nsx_user&amp;"@"&amp;sample_child_dns_zone</f>
        <v>#REF!</v>
      </c>
      <c r="D127" s="13" t="str">
        <f>ccm_hcx_nsx_svc_user&amp;"@"&amp;child_dns_zone</f>
        <v>Value Missing@Value Missing</v>
      </c>
      <c r="E127" s="156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26" customHeight="1">
      <c r="A128" s="68"/>
      <c r="B128" s="30" t="s">
        <v>6792</v>
      </c>
      <c r="C128" s="31" t="str">
        <f>sample_svc_ccm_hcx_nsx_password</f>
        <v>VMw@re1!</v>
      </c>
      <c r="D128" s="13" t="str">
        <f>ccm_hcx_nsx_svc_password</f>
        <v>Value Missing</v>
      </c>
      <c r="E128" s="156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26" customHeight="1">
      <c r="A129" s="68"/>
      <c r="B129" s="30" t="s">
        <v>8913</v>
      </c>
      <c r="C129" s="31" t="e">
        <f>sample_wld_vc_fqdn</f>
        <v>#REF!</v>
      </c>
      <c r="D129" s="13" t="e">
        <f>wld_vc_fqdn</f>
        <v>#REF!</v>
      </c>
      <c r="E129" s="156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26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45" customHeight="1">
      <c r="A131" s="68"/>
      <c r="B131" s="203" t="s">
        <v>8914</v>
      </c>
      <c r="C131" s="183"/>
      <c r="D131" s="183"/>
      <c r="E131" s="181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26" customHeight="1">
      <c r="A132" s="68"/>
      <c r="B132" s="88" t="s">
        <v>6780</v>
      </c>
      <c r="C132" s="88" t="s">
        <v>8191</v>
      </c>
      <c r="D132" s="88" t="s">
        <v>6943</v>
      </c>
      <c r="E132" s="88" t="s">
        <v>8181</v>
      </c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26" customHeight="1">
      <c r="A133" s="68"/>
      <c r="B133" s="30" t="s">
        <v>8915</v>
      </c>
      <c r="C133" s="31" t="e">
        <f>CONCATENATE(sample_ccm_hcx_cdp_hostname,".",sample_child_dns_zone)</f>
        <v>#REF!</v>
      </c>
      <c r="D133" s="13" t="str">
        <f>CONCATENATE(ccm_hcx_cdp_hostname,".",child_dns_zone)</f>
        <v>Value Missing.Value Missing</v>
      </c>
      <c r="E133" s="156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26" customHeight="1">
      <c r="A134" s="68"/>
      <c r="B134" s="30" t="s">
        <v>8902</v>
      </c>
      <c r="C134" s="31" t="str">
        <f>sample_ccm_hcx_admin_password</f>
        <v>VMw@re1!</v>
      </c>
      <c r="D134" s="13" t="str">
        <f>ccm_hcx_admin_password</f>
        <v>Value Missing</v>
      </c>
      <c r="E134" s="156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26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45" customHeight="1">
      <c r="A136" s="68"/>
      <c r="B136" s="203" t="s">
        <v>8916</v>
      </c>
      <c r="C136" s="183"/>
      <c r="D136" s="183"/>
      <c r="E136" s="181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26" customHeight="1">
      <c r="A137" s="68"/>
      <c r="B137" s="88" t="s">
        <v>6780</v>
      </c>
      <c r="C137" s="88" t="s">
        <v>8191</v>
      </c>
      <c r="D137" s="88" t="s">
        <v>6943</v>
      </c>
      <c r="E137" s="88" t="s">
        <v>8181</v>
      </c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26" customHeight="1">
      <c r="A138" s="68"/>
      <c r="B138" s="30" t="s">
        <v>8369</v>
      </c>
      <c r="C138" s="31" t="e">
        <f>sample_mgmt_vc_fqdn</f>
        <v>#REF!</v>
      </c>
      <c r="D138" s="13" t="e">
        <f>mgmt_vc_fqdn</f>
        <v>#REF!</v>
      </c>
      <c r="E138" s="156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26" customHeight="1">
      <c r="A139" s="68"/>
      <c r="B139" s="30" t="s">
        <v>6780</v>
      </c>
      <c r="C139" s="31" t="e">
        <f>CONCATENATE(sample_mgmt_cl01_cluster,"_primary-az-vmgroup")</f>
        <v>#REF!</v>
      </c>
      <c r="D139" s="13" t="e">
        <f>CONCATENATE(mgmt_cl01_cluster,"_primary-az-vmgroup")</f>
        <v>#REF!</v>
      </c>
      <c r="E139" s="156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26" customHeight="1">
      <c r="A140" s="68"/>
      <c r="B140" s="157" t="s">
        <v>8917</v>
      </c>
      <c r="C140" s="110" t="e">
        <f>sample_ccm_hcx_cdp_hostname</f>
        <v>#REF!</v>
      </c>
      <c r="D140" s="32" t="str">
        <f>ccm_hcx_cdp_hostname</f>
        <v>Value Missing</v>
      </c>
      <c r="E140" s="156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26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45" customHeight="1">
      <c r="A142" s="68"/>
      <c r="B142" s="203" t="s">
        <v>8918</v>
      </c>
      <c r="C142" s="183"/>
      <c r="D142" s="183"/>
      <c r="E142" s="181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26" customHeight="1">
      <c r="A143" s="68"/>
      <c r="B143" s="88" t="s">
        <v>6780</v>
      </c>
      <c r="C143" s="88" t="s">
        <v>8191</v>
      </c>
      <c r="D143" s="88" t="s">
        <v>6943</v>
      </c>
      <c r="E143" s="88" t="s">
        <v>8181</v>
      </c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26" customHeight="1">
      <c r="A144" s="68"/>
      <c r="B144" s="30" t="s">
        <v>8817</v>
      </c>
      <c r="C144" s="31" t="s">
        <v>8818</v>
      </c>
      <c r="D144" s="13" t="s">
        <v>8818</v>
      </c>
      <c r="E144" s="156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26" customHeight="1">
      <c r="A145" s="68"/>
      <c r="B145" s="30" t="s">
        <v>8821</v>
      </c>
      <c r="C145" s="31" t="str">
        <f>sample_ccm_firewall_rule_hcx</f>
        <v>HCX Inbound Rule</v>
      </c>
      <c r="D145" s="13" t="str">
        <f>ccm_firewall_rule_hcx</f>
        <v>Value Missing</v>
      </c>
      <c r="E145" s="156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26" customHeight="1">
      <c r="A146" s="68"/>
      <c r="B146" s="30" t="s">
        <v>8822</v>
      </c>
      <c r="C146" s="31" t="str">
        <f>sample_ccm_firewall_group</f>
        <v>External-Access</v>
      </c>
      <c r="D146" s="13" t="str">
        <f>ccm_firewall_group</f>
        <v>Value Missing</v>
      </c>
      <c r="E146" s="156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26" customHeight="1">
      <c r="A147" s="68"/>
      <c r="B147" s="30" t="s">
        <v>8823</v>
      </c>
      <c r="C147" s="31" t="s">
        <v>8919</v>
      </c>
      <c r="D147" s="13" t="str">
        <f t="shared" ref="D147:D149" si="1">C147</f>
        <v>HCX</v>
      </c>
      <c r="E147" s="156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26" customHeight="1">
      <c r="A148" s="68"/>
      <c r="B148" s="30" t="s">
        <v>8824</v>
      </c>
      <c r="C148" s="31" t="s">
        <v>8920</v>
      </c>
      <c r="D148" s="13" t="str">
        <f t="shared" si="1"/>
        <v>Appliance Management (TCP 9443)</v>
      </c>
      <c r="E148" s="156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26" customHeight="1">
      <c r="A149" s="68"/>
      <c r="B149" s="30" t="s">
        <v>8824</v>
      </c>
      <c r="C149" s="31" t="s">
        <v>8825</v>
      </c>
      <c r="D149" s="13" t="str">
        <f t="shared" si="1"/>
        <v>HTTPS (TCP 443)</v>
      </c>
      <c r="E149" s="156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26" customHeight="1">
      <c r="A150" s="68"/>
      <c r="B150" s="30" t="s">
        <v>8827</v>
      </c>
      <c r="C150" s="31" t="str">
        <f>sample_ccm_firewall_ip_addresses</f>
        <v>69.34.34.11</v>
      </c>
      <c r="D150" s="13" t="str">
        <f>ccm_firewall_ip_addresses</f>
        <v>Value Missing</v>
      </c>
      <c r="E150" s="156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26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45" customHeight="1">
      <c r="A152" s="68"/>
      <c r="B152" s="203" t="s">
        <v>8921</v>
      </c>
      <c r="C152" s="183"/>
      <c r="D152" s="183"/>
      <c r="E152" s="181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26" customHeight="1">
      <c r="A153" s="68"/>
      <c r="B153" s="88" t="s">
        <v>6780</v>
      </c>
      <c r="C153" s="88" t="s">
        <v>8191</v>
      </c>
      <c r="D153" s="88" t="s">
        <v>6943</v>
      </c>
      <c r="E153" s="88" t="s">
        <v>8181</v>
      </c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26" customHeight="1">
      <c r="A154" s="68"/>
      <c r="B154" s="30" t="s">
        <v>8892</v>
      </c>
      <c r="C154" s="31" t="e">
        <f>sample_wld_vc_fqdn</f>
        <v>#REF!</v>
      </c>
      <c r="D154" s="13" t="e">
        <f>wld_vc_fqdn</f>
        <v>#REF!</v>
      </c>
      <c r="E154" s="156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26" customHeight="1">
      <c r="A155" s="68"/>
      <c r="B155" s="30" t="s">
        <v>7873</v>
      </c>
      <c r="C155" s="104" t="str">
        <f>sample_ccm_hcx_remote_url</f>
        <v>https://hcx.sddc-44-231-98-23.vmwarevmc.com/</v>
      </c>
      <c r="D155" s="13" t="str">
        <f>ccm_hcx_remote_url</f>
        <v>Value Missing</v>
      </c>
      <c r="E155" s="156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26" customHeight="1">
      <c r="A156" s="68"/>
      <c r="B156" s="30" t="s">
        <v>6808</v>
      </c>
      <c r="C156" s="31" t="str">
        <f>sample_ccm_aws_admin_ssouser</f>
        <v>cloudadmin@vmc.local</v>
      </c>
      <c r="D156" s="13" t="str">
        <f>ccm_aws_admin_ssouser</f>
        <v>Value Missing</v>
      </c>
      <c r="E156" s="156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26" customHeight="1">
      <c r="A157" s="68"/>
      <c r="B157" s="30" t="s">
        <v>6792</v>
      </c>
      <c r="C157" s="31" t="str">
        <f>sample_ccm_aws_admin_password</f>
        <v>TBvAZf-Aj*1ap6T</v>
      </c>
      <c r="D157" s="13" t="str">
        <f>ccm_aws_admin_password</f>
        <v>Value Missing</v>
      </c>
      <c r="E157" s="156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26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45" customHeight="1">
      <c r="A159" s="68"/>
      <c r="B159" s="203" t="s">
        <v>8922</v>
      </c>
      <c r="C159" s="183"/>
      <c r="D159" s="183"/>
      <c r="E159" s="181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26" customHeight="1">
      <c r="A160" s="68"/>
      <c r="B160" s="88" t="s">
        <v>6780</v>
      </c>
      <c r="C160" s="88" t="s">
        <v>8191</v>
      </c>
      <c r="D160" s="88" t="s">
        <v>6943</v>
      </c>
      <c r="E160" s="88" t="s">
        <v>8181</v>
      </c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26" customHeight="1">
      <c r="A161" s="68"/>
      <c r="B161" s="30" t="s">
        <v>8892</v>
      </c>
      <c r="C161" s="31" t="e">
        <f>sample_wld_vc_fqdn</f>
        <v>#REF!</v>
      </c>
      <c r="D161" s="13" t="e">
        <f>wld_vc_fqdn</f>
        <v>#REF!</v>
      </c>
      <c r="E161" s="156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26" customHeight="1">
      <c r="A162" s="68"/>
      <c r="B162" s="219" t="s">
        <v>8923</v>
      </c>
      <c r="C162" s="183"/>
      <c r="D162" s="183"/>
      <c r="E162" s="181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26" customHeight="1">
      <c r="A163" s="68"/>
      <c r="B163" s="30" t="s">
        <v>6248</v>
      </c>
      <c r="C163" s="31" t="e">
        <f>sample_wld_vc_fqdn</f>
        <v>#REF!</v>
      </c>
      <c r="D163" s="13" t="e">
        <f>wld_vc_fqdn</f>
        <v>#REF!</v>
      </c>
      <c r="E163" s="156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26" customHeight="1">
      <c r="A164" s="68"/>
      <c r="B164" s="30" t="s">
        <v>334</v>
      </c>
      <c r="C164" s="31" t="e">
        <f t="shared" ref="C164:C165" si="2">sample_wld_cl01_az1_mgmt_pg</f>
        <v>#REF!</v>
      </c>
      <c r="D164" s="13" t="e">
        <f>wld_cl01_az1_mgmt_pg</f>
        <v>#REF!</v>
      </c>
      <c r="E164" s="156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26" customHeight="1">
      <c r="A165" s="68"/>
      <c r="B165" s="30" t="s">
        <v>6780</v>
      </c>
      <c r="C165" s="31" t="e">
        <f t="shared" si="2"/>
        <v>#REF!</v>
      </c>
      <c r="D165" s="13" t="e">
        <f>wld_cl01_az1_mgmt_pg</f>
        <v>#REF!</v>
      </c>
      <c r="E165" s="156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26" customHeight="1">
      <c r="A166" s="68"/>
      <c r="B166" s="30" t="s">
        <v>8924</v>
      </c>
      <c r="C166" s="31" t="e">
        <f>sample_ccm_hcx_mgmt_network_ip_range</f>
        <v>#REF!</v>
      </c>
      <c r="D166" s="13" t="str">
        <f>ccm_hcx_mgmt_network_ip_range</f>
        <v>Value Missing</v>
      </c>
      <c r="E166" s="156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26" customHeight="1">
      <c r="A167" s="68"/>
      <c r="B167" s="30" t="s">
        <v>8925</v>
      </c>
      <c r="C167" s="31" t="e">
        <f>INT(RIGHT(sample_mgmt_az1_mgmt_cidr,LEN(sample_mgmt_az1_mgmt_cidr)-FIND("/",sample_mgmt_az1_mgmt_cidr)))</f>
        <v>#NAME?</v>
      </c>
      <c r="D167" s="13" t="e">
        <f>IF(ISBLANK(input_mgmt_az1_mgmt_cidr),"Value Missing",INT(RIGHT(mgmt_az1_mgmt_cidr,LEN(mgmt_az1_mgmt_cidr)-FIND("/",mgmt_az1_mgmt_cidr))))</f>
        <v>#REF!</v>
      </c>
      <c r="E167" s="156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26" customHeight="1">
      <c r="A168" s="68"/>
      <c r="B168" s="30" t="s">
        <v>7180</v>
      </c>
      <c r="C168" s="31" t="e">
        <f>sample_wld_az1_mgmt_gateway_ip</f>
        <v>#NAME?</v>
      </c>
      <c r="D168" s="13" t="e">
        <f>wld_az1_mgmt_gateway_ip</f>
        <v>#REF!</v>
      </c>
      <c r="E168" s="156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26" customHeight="1">
      <c r="A169" s="68"/>
      <c r="B169" s="30" t="s">
        <v>8926</v>
      </c>
      <c r="C169" s="31" t="e">
        <f>sample_region_dns1_ip</f>
        <v>#REF!</v>
      </c>
      <c r="D169" s="13" t="e">
        <f>region_dns1_ip</f>
        <v>#REF!</v>
      </c>
      <c r="E169" s="156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26" customHeight="1">
      <c r="A170" s="68"/>
      <c r="B170" s="30" t="s">
        <v>8927</v>
      </c>
      <c r="C170" s="31" t="e">
        <f>sample_region_dns2_ip</f>
        <v>#REF!</v>
      </c>
      <c r="D170" s="13" t="e">
        <f>region_dns2_ip</f>
        <v>#REF!</v>
      </c>
      <c r="E170" s="156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26" customHeight="1">
      <c r="A171" s="68"/>
      <c r="B171" s="30" t="s">
        <v>8928</v>
      </c>
      <c r="C171" s="31" t="e">
        <f>sample_child_dns_zone</f>
        <v>#REF!</v>
      </c>
      <c r="D171" s="13" t="str">
        <f>child_dns_zone</f>
        <v>Value Missing</v>
      </c>
      <c r="E171" s="156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26" customHeight="1">
      <c r="A172" s="68"/>
      <c r="B172" s="219" t="s">
        <v>8929</v>
      </c>
      <c r="C172" s="183"/>
      <c r="D172" s="183"/>
      <c r="E172" s="181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26" customHeight="1">
      <c r="A173" s="68"/>
      <c r="B173" s="30" t="s">
        <v>6248</v>
      </c>
      <c r="C173" s="31" t="e">
        <f>sample_wld_vc_fqdn</f>
        <v>#REF!</v>
      </c>
      <c r="D173" s="13" t="e">
        <f>wld_vc_fqdn</f>
        <v>#REF!</v>
      </c>
      <c r="E173" s="156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26" customHeight="1">
      <c r="A174" s="68"/>
      <c r="B174" s="30" t="s">
        <v>334</v>
      </c>
      <c r="C174" s="31" t="e">
        <f t="shared" ref="C174:C175" si="3">sample_wld_cl01_az1_vmotion_pg</f>
        <v>#REF!</v>
      </c>
      <c r="D174" s="13" t="e">
        <f>wld_cl01_az1_vmotion_pg</f>
        <v>#REF!</v>
      </c>
      <c r="E174" s="156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26" customHeight="1">
      <c r="A175" s="68"/>
      <c r="B175" s="30" t="s">
        <v>6780</v>
      </c>
      <c r="C175" s="31" t="e">
        <f t="shared" si="3"/>
        <v>#REF!</v>
      </c>
      <c r="D175" s="13" t="e">
        <f>wld_cl01_az1_vmotion_pg</f>
        <v>#REF!</v>
      </c>
      <c r="E175" s="156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26" customHeight="1">
      <c r="A176" s="68"/>
      <c r="B176" s="30" t="s">
        <v>8924</v>
      </c>
      <c r="C176" s="31" t="e">
        <f>sample_ccm_hcx_vmotion_network_ip_range</f>
        <v>#REF!</v>
      </c>
      <c r="D176" s="13" t="str">
        <f>ccm_hcx_vmotion_network_ip_range</f>
        <v>Value Missing</v>
      </c>
      <c r="E176" s="156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26" customHeight="1">
      <c r="A177" s="68"/>
      <c r="B177" s="30" t="s">
        <v>8925</v>
      </c>
      <c r="C177" s="31" t="e">
        <f>INT(RIGHT(sample_wld_az1_vmotion_cidr,LEN(sample_wld_az1_vmotion_cidr)-FIND("/",sample_wld_az1_vmotion_cidr)))</f>
        <v>#NAME?</v>
      </c>
      <c r="D177" s="13" t="e">
        <f>IF(ISBLANK(input_mgmt_az1_mgmt_cidr),"Value Missing",INT(RIGHT(mgmt_az1_mgmt_cidr,LEN(mgmt_az1_mgmt_cidr)-FIND("/",mgmt_az1_mgmt_cidr))))</f>
        <v>#REF!</v>
      </c>
      <c r="E177" s="156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26" customHeight="1">
      <c r="A178" s="68"/>
      <c r="B178" s="30" t="s">
        <v>7180</v>
      </c>
      <c r="C178" s="31" t="e">
        <f>sample_wld_az1_vmotion_gateway_ip</f>
        <v>#NAME?</v>
      </c>
      <c r="D178" s="13" t="e">
        <f>wld_az1_vmotion_gateway_ip</f>
        <v>#REF!</v>
      </c>
      <c r="E178" s="156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26" customHeight="1">
      <c r="A179" s="68"/>
      <c r="B179" s="30" t="s">
        <v>7196</v>
      </c>
      <c r="C179" s="31" t="e">
        <f>sample_wld_az1_vmotion_mtu</f>
        <v>#REF!</v>
      </c>
      <c r="D179" s="13" t="e">
        <f>wld_az1_vmotion_mtu</f>
        <v>#REF!</v>
      </c>
      <c r="E179" s="156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26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45" customHeight="1">
      <c r="A181" s="68"/>
      <c r="B181" s="203" t="s">
        <v>8930</v>
      </c>
      <c r="C181" s="183"/>
      <c r="D181" s="183"/>
      <c r="E181" s="181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26" customHeight="1">
      <c r="A182" s="68"/>
      <c r="B182" s="88" t="s">
        <v>6780</v>
      </c>
      <c r="C182" s="88" t="s">
        <v>8191</v>
      </c>
      <c r="D182" s="88" t="s">
        <v>6943</v>
      </c>
      <c r="E182" s="88" t="s">
        <v>8181</v>
      </c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26" customHeight="1">
      <c r="A183" s="68"/>
      <c r="B183" s="30" t="s">
        <v>8892</v>
      </c>
      <c r="C183" s="31" t="e">
        <f>sample_wld_vc_fqdn</f>
        <v>#REF!</v>
      </c>
      <c r="D183" s="13" t="e">
        <f>wld_vc_fqdn</f>
        <v>#REF!</v>
      </c>
      <c r="E183" s="156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26" customHeight="1">
      <c r="A184" s="68"/>
      <c r="B184" s="30" t="s">
        <v>8931</v>
      </c>
      <c r="C184" s="31" t="e">
        <f>sample_ccm_hcx_compute_profile</f>
        <v>#REF!</v>
      </c>
      <c r="D184" s="13" t="str">
        <f>ccm_hcx_compute_profile</f>
        <v>Value Missing</v>
      </c>
      <c r="E184" s="156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26" customHeight="1">
      <c r="A185" s="68"/>
      <c r="B185" s="30" t="s">
        <v>8932</v>
      </c>
      <c r="C185" s="31" t="e">
        <f>sample_wld_datacenter</f>
        <v>#REF!</v>
      </c>
      <c r="D185" s="13" t="e">
        <f>wld_datacenter</f>
        <v>#REF!</v>
      </c>
      <c r="E185" s="156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26" customHeight="1">
      <c r="A186" s="68"/>
      <c r="B186" s="30" t="s">
        <v>8933</v>
      </c>
      <c r="C186" s="31" t="e">
        <f>sample_ccm_hcx_resource_pool</f>
        <v>#REF!</v>
      </c>
      <c r="D186" s="13" t="str">
        <f>ccm_hcx_resource_pool</f>
        <v>Value Missing</v>
      </c>
      <c r="E186" s="156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26" customHeight="1">
      <c r="A187" s="68"/>
      <c r="B187" s="30" t="s">
        <v>6691</v>
      </c>
      <c r="C187" s="31" t="e">
        <f>sample_wld_cl01_vsan_datastore</f>
        <v>#REF!</v>
      </c>
      <c r="D187" s="13" t="e">
        <f>wld_cl01_vsan_datastore</f>
        <v>#REF!</v>
      </c>
      <c r="E187" s="156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26" customHeight="1">
      <c r="A188" s="68"/>
      <c r="B188" s="30" t="s">
        <v>6687</v>
      </c>
      <c r="C188" s="31" t="e">
        <f>sample_ccm_hcx_vm_folder</f>
        <v>#REF!</v>
      </c>
      <c r="D188" s="13" t="str">
        <f>ccm_hcx_vm_folder</f>
        <v>Value Missing</v>
      </c>
      <c r="E188" s="156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26" customHeight="1">
      <c r="A189" s="68"/>
      <c r="B189" s="30" t="s">
        <v>8934</v>
      </c>
      <c r="C189" s="31" t="e">
        <f t="shared" ref="C189:C190" si="4">sample_wld_cl01_az1_mgmt_pg</f>
        <v>#REF!</v>
      </c>
      <c r="D189" s="13" t="e">
        <f>wld_cl01_az1_mgmt_pg</f>
        <v>#REF!</v>
      </c>
      <c r="E189" s="156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26" customHeight="1">
      <c r="A190" s="68"/>
      <c r="B190" s="30" t="s">
        <v>8935</v>
      </c>
      <c r="C190" s="31" t="e">
        <f t="shared" si="4"/>
        <v>#REF!</v>
      </c>
      <c r="D190" s="13" t="e">
        <f>wld_cl01_az1_mgmt_pg</f>
        <v>#REF!</v>
      </c>
      <c r="E190" s="156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26" customHeight="1">
      <c r="A191" s="68"/>
      <c r="B191" s="30" t="s">
        <v>8936</v>
      </c>
      <c r="C191" s="31" t="e">
        <f>sample_wld_cl01_az1_vmotion_pg</f>
        <v>#REF!</v>
      </c>
      <c r="D191" s="13" t="e">
        <f>wld_cl01_az1_vmotion_pg</f>
        <v>#REF!</v>
      </c>
      <c r="E191" s="156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26" customHeight="1">
      <c r="A192" s="68"/>
      <c r="B192" s="30" t="s">
        <v>8937</v>
      </c>
      <c r="C192" s="31" t="e">
        <f>sample_wld_cl01_az1_mgmt_pg</f>
        <v>#REF!</v>
      </c>
      <c r="D192" s="13" t="e">
        <f>wld_cl01_az1_mgmt_pg</f>
        <v>#REF!</v>
      </c>
      <c r="E192" s="156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26" customHeight="1">
      <c r="A193" s="68"/>
      <c r="B193" s="30" t="s">
        <v>8938</v>
      </c>
      <c r="C193" s="31" t="e">
        <f>IF(mgmt_consolidated_result="Included",CONCATENATE("overlay-tz-",sample_mgmt_nsxt_vip_fqdn),CONCATENATE("overlay-tz-",sample_wld_nsxt_vip_fqdn))</f>
        <v>#REF!</v>
      </c>
      <c r="D193" s="13" t="e">
        <f>IF(mgmt_consolidated_result="Included","overlay-tz-"&amp;mgmt_nsxt_vip_fqdn,"overlay-tz-"&amp;wld_nsxt_vip_fqdn)</f>
        <v>#REF!</v>
      </c>
      <c r="E193" s="156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26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45" customHeight="1">
      <c r="A195" s="68"/>
      <c r="B195" s="203" t="s">
        <v>8939</v>
      </c>
      <c r="C195" s="183"/>
      <c r="D195" s="183"/>
      <c r="E195" s="181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26" customHeight="1">
      <c r="A196" s="68"/>
      <c r="B196" s="88" t="s">
        <v>6780</v>
      </c>
      <c r="C196" s="88" t="s">
        <v>8191</v>
      </c>
      <c r="D196" s="88" t="s">
        <v>6943</v>
      </c>
      <c r="E196" s="88" t="s">
        <v>8181</v>
      </c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26" customHeight="1">
      <c r="A197" s="68"/>
      <c r="B197" s="30" t="s">
        <v>8892</v>
      </c>
      <c r="C197" s="31" t="e">
        <f>sample_wld_vc_fqdn</f>
        <v>#REF!</v>
      </c>
      <c r="D197" s="13" t="e">
        <f>wld_vc_fqdn</f>
        <v>#REF!</v>
      </c>
      <c r="E197" s="156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26" customHeight="1">
      <c r="A198" s="68"/>
      <c r="B198" s="30" t="s">
        <v>8940</v>
      </c>
      <c r="C198" s="31" t="e">
        <f>sample_ccm_hcx_compute_profile</f>
        <v>#REF!</v>
      </c>
      <c r="D198" s="13" t="str">
        <f>ccm_hcx_compute_profile</f>
        <v>Value Missing</v>
      </c>
      <c r="E198" s="156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26" customHeight="1">
      <c r="A199" s="68"/>
      <c r="B199" s="30" t="s">
        <v>8941</v>
      </c>
      <c r="C199" s="31" t="s">
        <v>8942</v>
      </c>
      <c r="D199" s="13" t="str">
        <f>C199</f>
        <v>ComputeProfile(vcenter)</v>
      </c>
      <c r="E199" s="156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26" customHeight="1">
      <c r="A200" s="68"/>
      <c r="B200" s="30" t="s">
        <v>8943</v>
      </c>
      <c r="C200" s="31" t="e">
        <f>sample_ccm_hcx_service_mesh</f>
        <v>#REF!</v>
      </c>
      <c r="D200" s="13" t="str">
        <f>ccm_hcx_service_mesh</f>
        <v>Value Missing</v>
      </c>
      <c r="E200" s="156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26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45" customHeight="1">
      <c r="A202" s="147"/>
      <c r="B202" s="235" t="s">
        <v>8387</v>
      </c>
      <c r="C202" s="183"/>
      <c r="D202" s="183"/>
      <c r="E202" s="200"/>
      <c r="F202" s="147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26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45" customHeight="1">
      <c r="A204" s="68"/>
      <c r="B204" s="203" t="s">
        <v>8862</v>
      </c>
      <c r="C204" s="183"/>
      <c r="D204" s="183"/>
      <c r="E204" s="181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26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45" customHeight="1">
      <c r="A206" s="68"/>
      <c r="B206" s="203" t="s">
        <v>8944</v>
      </c>
      <c r="C206" s="183"/>
      <c r="D206" s="183"/>
      <c r="E206" s="181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26" customHeight="1">
      <c r="A207" s="68"/>
      <c r="B207" s="88" t="s">
        <v>6780</v>
      </c>
      <c r="C207" s="88" t="s">
        <v>8191</v>
      </c>
      <c r="D207" s="88" t="s">
        <v>6943</v>
      </c>
      <c r="E207" s="88" t="s">
        <v>8181</v>
      </c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26" customHeight="1">
      <c r="A208" s="68"/>
      <c r="B208" s="30" t="s">
        <v>8559</v>
      </c>
      <c r="C208" s="31" t="e">
        <f>sample_xreg_vrops_virtual_fqdn</f>
        <v>#REF!</v>
      </c>
      <c r="D208" s="13" t="e">
        <f>xreg_vrops_virtual_fqdn</f>
        <v>#REF!</v>
      </c>
      <c r="E208" s="156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26" customHeight="1">
      <c r="A209" s="68"/>
      <c r="B209" s="30" t="s">
        <v>6780</v>
      </c>
      <c r="C209" s="31" t="str">
        <f>"cross-cloud-proxies"</f>
        <v>cross-cloud-proxies</v>
      </c>
      <c r="D209" s="13" t="str">
        <f t="shared" ref="D209:D210" si="5">C209</f>
        <v>cross-cloud-proxies</v>
      </c>
      <c r="E209" s="156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26" customHeight="1">
      <c r="A210" s="68"/>
      <c r="B210" s="30" t="s">
        <v>8864</v>
      </c>
      <c r="C210" s="31" t="str">
        <f>C209</f>
        <v>cross-cloud-proxies</v>
      </c>
      <c r="D210" s="13" t="str">
        <f t="shared" si="5"/>
        <v>cross-cloud-proxies</v>
      </c>
      <c r="E210" s="156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26" customHeight="1">
      <c r="A211" s="68"/>
      <c r="B211" s="30" t="s">
        <v>8865</v>
      </c>
      <c r="C211" s="31" t="e">
        <f>sample_ccm_hcx_cdp_ip</f>
        <v>#REF!</v>
      </c>
      <c r="D211" s="13" t="str">
        <f>ccm_hcx_cdp_ip</f>
        <v>Value Missing</v>
      </c>
      <c r="E211" s="156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26" customHeight="1">
      <c r="A212" s="68"/>
      <c r="B212" s="30" t="s">
        <v>8866</v>
      </c>
      <c r="C212" s="31" t="e">
        <f>CONCATENATE(sample_mgmt_sddc_domain,"-collector-group")</f>
        <v>#REF!</v>
      </c>
      <c r="D212" s="13" t="e">
        <f>CONCATENATE(mgmt_sddc_domain,"-collector-group")</f>
        <v>#REF!</v>
      </c>
      <c r="E212" s="156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26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45" customHeight="1">
      <c r="A214" s="68"/>
      <c r="B214" s="203" t="s">
        <v>8945</v>
      </c>
      <c r="C214" s="183"/>
      <c r="D214" s="183"/>
      <c r="E214" s="181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26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45" customHeight="1">
      <c r="A216" s="68"/>
      <c r="B216" s="203" t="s">
        <v>8946</v>
      </c>
      <c r="C216" s="183"/>
      <c r="D216" s="183"/>
      <c r="E216" s="181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26" customHeight="1">
      <c r="A217" s="68"/>
      <c r="B217" s="88" t="s">
        <v>6780</v>
      </c>
      <c r="C217" s="88" t="s">
        <v>8191</v>
      </c>
      <c r="D217" s="88" t="s">
        <v>6943</v>
      </c>
      <c r="E217" s="88" t="s">
        <v>8181</v>
      </c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26" customHeight="1">
      <c r="A218" s="68"/>
      <c r="B218" s="30" t="s">
        <v>8947</v>
      </c>
      <c r="C218" s="31" t="e">
        <f>sample_sftp_server</f>
        <v>#REF!</v>
      </c>
      <c r="D218" s="13" t="e">
        <f>sftp_server_ip</f>
        <v>#REF!</v>
      </c>
      <c r="E218" s="156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26" customHeight="1">
      <c r="A219" s="68"/>
      <c r="B219" s="30" t="s">
        <v>8948</v>
      </c>
      <c r="C219" s="31" t="e">
        <f>sample_sftp_server_port</f>
        <v>#REF!</v>
      </c>
      <c r="D219" s="13" t="str">
        <f>sftp_server_port</f>
        <v>#REF!</v>
      </c>
      <c r="E219" s="156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26" customHeight="1">
      <c r="A220" s="68"/>
      <c r="B220" s="30" t="s">
        <v>6789</v>
      </c>
      <c r="C220" s="31" t="e">
        <f>sample_sftp_server_protocol</f>
        <v>#REF!</v>
      </c>
      <c r="D220" s="13" t="str">
        <f>sftp_server_protocol</f>
        <v>#REF!</v>
      </c>
      <c r="E220" s="156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26" customHeight="1">
      <c r="A221" s="68"/>
      <c r="B221" s="30" t="s">
        <v>6808</v>
      </c>
      <c r="C221" s="31" t="e">
        <f>sample_svc_vcf_bck_user</f>
        <v>#REF!</v>
      </c>
      <c r="D221" s="13" t="str">
        <f>user_svc_vcf_bck</f>
        <v>#REF!</v>
      </c>
      <c r="E221" s="156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26" customHeight="1">
      <c r="A222" s="68"/>
      <c r="B222" s="30" t="s">
        <v>6792</v>
      </c>
      <c r="C222" s="31" t="e">
        <f>sample_svc_vcf_bck_password</f>
        <v>#REF!</v>
      </c>
      <c r="D222" s="13" t="e">
        <f>svc_vcf_bck_password</f>
        <v>#REF!</v>
      </c>
      <c r="E222" s="156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26" customHeight="1">
      <c r="A223" s="68"/>
      <c r="B223" s="30" t="s">
        <v>8949</v>
      </c>
      <c r="C223" s="31" t="e">
        <f>sample_sftp_server_backup_dir</f>
        <v>#REF!</v>
      </c>
      <c r="D223" s="13" t="str">
        <f>sftp_server_backup_dir</f>
        <v>#REF!</v>
      </c>
      <c r="E223" s="156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26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45" customHeight="1">
      <c r="A225" s="68"/>
      <c r="B225" s="203" t="s">
        <v>8950</v>
      </c>
      <c r="C225" s="183"/>
      <c r="D225" s="183"/>
      <c r="E225" s="181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26" customHeight="1">
      <c r="A226" s="68"/>
      <c r="B226" s="88" t="s">
        <v>6780</v>
      </c>
      <c r="C226" s="88" t="s">
        <v>8191</v>
      </c>
      <c r="D226" s="88" t="s">
        <v>6943</v>
      </c>
      <c r="E226" s="88" t="s">
        <v>8181</v>
      </c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26" customHeight="1">
      <c r="A227" s="68"/>
      <c r="B227" s="30" t="s">
        <v>8951</v>
      </c>
      <c r="C227" s="31" t="s">
        <v>8952</v>
      </c>
      <c r="D227" s="13" t="str">
        <f t="shared" ref="D227:D229" si="6">C227</f>
        <v>DAILY</v>
      </c>
      <c r="E227" s="156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26" customHeight="1">
      <c r="A228" s="68"/>
      <c r="B228" s="30" t="s">
        <v>8953</v>
      </c>
      <c r="C228" s="31">
        <v>3</v>
      </c>
      <c r="D228" s="13">
        <f t="shared" si="6"/>
        <v>3</v>
      </c>
      <c r="E228" s="156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26" customHeight="1">
      <c r="A229" s="68"/>
      <c r="B229" s="30" t="s">
        <v>8954</v>
      </c>
      <c r="C229" s="31">
        <v>30</v>
      </c>
      <c r="D229" s="13">
        <f t="shared" si="6"/>
        <v>30</v>
      </c>
      <c r="E229" s="156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16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16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16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16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16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16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1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16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16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16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16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16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16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16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16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16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1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16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spans="1:26" ht="16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spans="1:26" ht="16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spans="1:26" ht="16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spans="1:26" ht="16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spans="1:26" ht="16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spans="1:26" ht="16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spans="1:26" ht="16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spans="1:26" ht="16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spans="1:26" ht="1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spans="1:26" ht="16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spans="1:26" ht="16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spans="1:26" ht="16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spans="1:26" ht="16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spans="1:26" ht="16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spans="1:26" ht="16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spans="1:26" ht="16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spans="1:26" ht="16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spans="1:26" ht="16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spans="1:26" ht="1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spans="1:26" ht="16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spans="1:26" ht="16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spans="1:26" ht="16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spans="1:26" ht="16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spans="1:26" ht="16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spans="1:26" ht="16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spans="1:26" ht="16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spans="1:26" ht="16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spans="1:26" ht="16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spans="1:26" ht="1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spans="1:26" ht="16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spans="1:26" ht="16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spans="1:26" ht="16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spans="1:26" ht="16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spans="1:26" ht="16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spans="1:26" ht="16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spans="1:26" ht="16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spans="1:26" ht="16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spans="1:26" ht="16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spans="1:26" ht="1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spans="1:26" ht="16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spans="1:26" ht="16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spans="1:26" ht="16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spans="1:26" ht="16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spans="1:26" ht="16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spans="1:26" ht="16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spans="1:26" ht="16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spans="1:26" ht="16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16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spans="1:26" ht="1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spans="1:26" ht="16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spans="1:26" ht="16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spans="1:26" ht="16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spans="1:26" ht="16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spans="1:26" ht="16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spans="1:26" ht="16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spans="1:26" ht="16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spans="1:26" ht="16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spans="1:26" ht="16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spans="1:26" ht="1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spans="1:26" ht="16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spans="1:26" ht="16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spans="1:26" ht="16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spans="1:26" ht="16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spans="1:26" ht="16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spans="1:26" ht="16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spans="1:26" ht="16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spans="1:26" ht="16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16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spans="1:26" ht="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spans="1:26" ht="16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spans="1:26" ht="16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spans="1:26" ht="16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spans="1:26" ht="16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spans="1:26" ht="16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spans="1:26" ht="16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spans="1:26" ht="16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spans="1:26" ht="16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spans="1:26" ht="16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spans="1:26" ht="1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spans="1:26" ht="16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spans="1:26" ht="16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spans="1:26" ht="16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spans="1:26" ht="16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spans="1:26" ht="16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spans="1:26" ht="16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spans="1:26" ht="16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spans="1:26" ht="16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16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spans="1:26" ht="1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spans="1:26" ht="16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spans="1:26" ht="16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spans="1:26" ht="16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spans="1:26" ht="16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spans="1:26" ht="16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spans="1:26" ht="16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spans="1:26" ht="16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spans="1:26" ht="16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spans="1:26" ht="16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spans="1:26" ht="1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spans="1:26" ht="16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spans="1:26" ht="16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spans="1:26" ht="16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spans="1:26" ht="16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spans="1:26" ht="16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spans="1:26" ht="16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spans="1:26" ht="16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spans="1:26" ht="16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spans="1:26" ht="16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spans="1:26" ht="1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spans="1:26" ht="16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spans="1:26" ht="16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spans="1:26" ht="16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spans="1:26" ht="16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spans="1:26" ht="16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spans="1:26" ht="16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spans="1:26" ht="16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spans="1:26" ht="16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spans="1:26" ht="16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spans="1:26" ht="1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spans="1:26" ht="16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spans="1:26" ht="16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spans="1:26" ht="16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spans="1:26" ht="16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spans="1:26" ht="16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spans="1:26" ht="16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spans="1:26" ht="16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spans="1:26" ht="16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spans="1:26" ht="16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spans="1:26" ht="1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spans="1:26" ht="16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spans="1:26" ht="16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spans="1:26" ht="16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spans="1:26" ht="16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spans="1:26" ht="16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spans="1:26" ht="16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spans="1:26" ht="16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spans="1:26" ht="16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spans="1:26" ht="16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spans="1:26" ht="1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spans="1:26" ht="16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spans="1:26" ht="16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spans="1:26" ht="16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spans="1:26" ht="16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spans="1:26" ht="16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spans="1:26" ht="16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spans="1:26" ht="16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spans="1:26" ht="16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spans="1:26" ht="16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spans="1:26" ht="1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spans="1:26" ht="16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spans="1:26" ht="16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spans="1:26" ht="16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spans="1:26" ht="16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spans="1:26" ht="16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spans="1:26" ht="16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spans="1:26" ht="16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spans="1:26" ht="16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spans="1:26" ht="16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spans="1:26" ht="1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spans="1:26" ht="16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spans="1:26" ht="16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spans="1:26" ht="16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spans="1:26" ht="16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spans="1:26" ht="16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spans="1:26" ht="16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spans="1:26" ht="16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spans="1:26" ht="16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spans="1:26" ht="16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spans="1:26" ht="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spans="1:26" ht="16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spans="1:26" ht="16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spans="1:26" ht="16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spans="1:26" ht="16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spans="1:26" ht="16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spans="1:26" ht="16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spans="1:26" ht="16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spans="1:26" ht="16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spans="1:26" ht="16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spans="1:26" ht="1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spans="1:26" ht="16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spans="1:26" ht="16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spans="1:26" ht="16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spans="1:26" ht="16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spans="1:26" ht="16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spans="1:26" ht="16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spans="1:26" ht="16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spans="1:26" ht="16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spans="1:26" ht="16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spans="1:26" ht="1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spans="1:26" ht="16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spans="1:26" ht="16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spans="1:26" ht="16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spans="1:26" ht="16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spans="1:26" ht="16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spans="1:26" ht="16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spans="1:26" ht="16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spans="1:26" ht="16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spans="1:26" ht="16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spans="1:26" ht="1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spans="1:26" ht="16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spans="1:26" ht="16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spans="1:26" ht="16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spans="1:26" ht="16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spans="1:26" ht="16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spans="1:26" ht="16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spans="1:26" ht="16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spans="1:26" ht="16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spans="1:26" ht="16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spans="1:26" ht="1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spans="1:26" ht="16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spans="1:26" ht="16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spans="1:26" ht="16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spans="1:26" ht="16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spans="1:26" ht="16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spans="1:26" ht="16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spans="1:26" ht="16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spans="1:26" ht="16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spans="1:26" ht="16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spans="1:26" ht="1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spans="1:26" ht="16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spans="1:26" ht="16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spans="1:26" ht="16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spans="1:26" ht="16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spans="1:26" ht="16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spans="1:26" ht="16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spans="1:26" ht="16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spans="1:26" ht="16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spans="1:26" ht="16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spans="1:26" ht="1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spans="1:26" ht="16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spans="1:26" ht="16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spans="1:26" ht="16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spans="1:26" ht="16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spans="1:26" ht="16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spans="1:26" ht="16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spans="1:26" ht="16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spans="1:26" ht="16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spans="1:26" ht="16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spans="1:26" ht="1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spans="1:26" ht="16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spans="1:26" ht="16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spans="1:26" ht="16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spans="1:26" ht="16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spans="1:26" ht="16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spans="1:26" ht="16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spans="1:26" ht="16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spans="1:26" ht="16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spans="1:26" ht="16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spans="1:26" ht="1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spans="1:26" ht="16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spans="1:26" ht="16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spans="1:26" ht="16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spans="1:26" ht="16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spans="1:26" ht="16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spans="1:26" ht="16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spans="1:26" ht="16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spans="1:26" ht="16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spans="1:26" ht="16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spans="1:26" ht="1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spans="1:26" ht="16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spans="1:26" ht="16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spans="1:26" ht="16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spans="1:26" ht="16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spans="1:26" ht="16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spans="1:26" ht="16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spans="1:26" ht="16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spans="1:26" ht="16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spans="1:26" ht="16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spans="1:26" ht="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spans="1:26" ht="16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spans="1:26" ht="16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spans="1:26" ht="16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spans="1:26" ht="16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spans="1:26" ht="16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spans="1:26" ht="16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spans="1:26" ht="16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spans="1:26" ht="16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spans="1:26" ht="16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spans="1:26" ht="1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spans="1:26" ht="16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spans="1:26" ht="16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spans="1:26" ht="16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spans="1:26" ht="16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spans="1:26" ht="16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spans="1:26" ht="16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spans="1:26" ht="16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spans="1:26" ht="16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spans="1:26" ht="16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spans="1:26" ht="1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spans="1:26" ht="16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spans="1:26" ht="16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spans="1:26" ht="16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spans="1:26" ht="16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spans="1:26" ht="16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spans="1:26" ht="16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spans="1:26" ht="16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spans="1:26" ht="16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spans="1:26" ht="16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spans="1:26" ht="1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spans="1:26" ht="16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spans="1:26" ht="16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spans="1:26" ht="16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spans="1:26" ht="16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spans="1:26" ht="16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spans="1:26" ht="16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spans="1:26" ht="16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spans="1:26" ht="16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spans="1:26" ht="16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spans="1:26" ht="1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spans="1:26" ht="16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spans="1:26" ht="16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spans="1:26" ht="16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spans="1:26" ht="16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spans="1:26" ht="16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spans="1:26" ht="16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spans="1:26" ht="16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spans="1:26" ht="16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spans="1:26" ht="16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spans="1:26" ht="1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spans="1:26" ht="16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spans="1:26" ht="16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spans="1:26" ht="16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spans="1:26" ht="16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spans="1:26" ht="16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spans="1:26" ht="16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spans="1:26" ht="16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spans="1:26" ht="16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spans="1:26" ht="16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spans="1:26" ht="1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spans="1:26" ht="16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spans="1:26" ht="16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spans="1:26" ht="16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spans="1:26" ht="16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spans="1:26" ht="16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spans="1:26" ht="16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spans="1:26" ht="16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spans="1:26" ht="16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spans="1:26" ht="16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spans="1:26" ht="1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spans="1:26" ht="16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spans="1:26" ht="16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spans="1:26" ht="16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spans="1:26" ht="16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spans="1:26" ht="16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spans="1:26" ht="16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spans="1:26" ht="16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spans="1:26" ht="16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spans="1:26" ht="16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spans="1:26" ht="1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spans="1:26" ht="16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spans="1:26" ht="16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spans="1:26" ht="16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spans="1:26" ht="16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spans="1:26" ht="16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spans="1:26" ht="16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spans="1:26" ht="16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spans="1:26" ht="16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spans="1:26" ht="16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spans="1:26" ht="1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spans="1:26" ht="16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spans="1:26" ht="16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spans="1:26" ht="16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spans="1:26" ht="16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spans="1:26" ht="16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spans="1:26" ht="16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spans="1:26" ht="16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spans="1:26" ht="16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spans="1:26" ht="16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spans="1:26" ht="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spans="1:26" ht="16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spans="1:26" ht="16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spans="1:26" ht="16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spans="1:26" ht="16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spans="1:26" ht="16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spans="1:26" ht="16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spans="1:26" ht="16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spans="1:26" ht="16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spans="1:26" ht="16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spans="1:26" ht="1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spans="1:26" ht="16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spans="1:26" ht="16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spans="1:26" ht="16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spans="1:26" ht="16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spans="1:26" ht="16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spans="1:26" ht="16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spans="1:26" ht="16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spans="1:26" ht="16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spans="1:26" ht="16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spans="1:26" ht="1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spans="1:26" ht="16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spans="1:26" ht="16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spans="1:26" ht="16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spans="1:26" ht="16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spans="1:26" ht="16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spans="1:26" ht="16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spans="1:26" ht="16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spans="1:26" ht="16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spans="1:26" ht="16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spans="1:26" ht="1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spans="1:26" ht="16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spans="1:26" ht="16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spans="1:26" ht="16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spans="1:26" ht="16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spans="1:26" ht="16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spans="1:26" ht="16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spans="1:26" ht="16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spans="1:26" ht="16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spans="1:26" ht="16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spans="1:26" ht="1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spans="1:26" ht="16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spans="1:26" ht="16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spans="1:26" ht="16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spans="1:26" ht="16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spans="1:26" ht="16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spans="1:26" ht="16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spans="1:26" ht="16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spans="1:26" ht="16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spans="1:26" ht="16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spans="1:26" ht="1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spans="1:26" ht="16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spans="1:26" ht="16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spans="1:26" ht="16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spans="1:26" ht="16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spans="1:26" ht="16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spans="1:26" ht="16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spans="1:26" ht="16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spans="1:26" ht="16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spans="1:26" ht="16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spans="1:26" ht="1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spans="1:26" ht="16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spans="1:26" ht="16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spans="1:26" ht="16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spans="1:26" ht="16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spans="1:26" ht="16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spans="1:26" ht="16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spans="1:26" ht="16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spans="1:26" ht="16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spans="1:26" ht="16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spans="1:26" ht="1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spans="1:26" ht="16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spans="1:26" ht="16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spans="1:26" ht="16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spans="1:26" ht="16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spans="1:26" ht="16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spans="1:26" ht="16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spans="1:26" ht="16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spans="1:26" ht="16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spans="1:26" ht="16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spans="1:26" ht="1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spans="1:26" ht="16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spans="1:26" ht="16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spans="1:26" ht="16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spans="1:26" ht="16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spans="1:26" ht="16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spans="1:26" ht="16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spans="1:26" ht="16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spans="1:26" ht="16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spans="1:26" ht="16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spans="1:26" ht="1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spans="1:26" ht="16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spans="1:26" ht="16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spans="1:26" ht="16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spans="1:26" ht="16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spans="1:26" ht="16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spans="1:26" ht="16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spans="1:26" ht="16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spans="1:26" ht="16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spans="1:26" ht="16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spans="1:26" ht="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spans="1:26" ht="16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spans="1:26" ht="16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spans="1:26" ht="16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spans="1:26" ht="16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spans="1:26" ht="16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spans="1:26" ht="16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spans="1:26" ht="16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spans="1:26" ht="16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spans="1:26" ht="16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spans="1:26" ht="1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spans="1:26" ht="16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spans="1:26" ht="16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spans="1:26" ht="16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spans="1:26" ht="16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spans="1:26" ht="16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spans="1:26" ht="16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spans="1:26" ht="16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spans="1:26" ht="16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spans="1:26" ht="16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spans="1:26" ht="1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spans="1:26" ht="16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spans="1:26" ht="16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spans="1:26" ht="16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spans="1:26" ht="16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spans="1:26" ht="16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spans="1:26" ht="16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spans="1:26" ht="16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spans="1:26" ht="16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spans="1:26" ht="16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spans="1:26" ht="1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spans="1:26" ht="16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spans="1:26" ht="16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spans="1:26" ht="16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spans="1:26" ht="16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spans="1:26" ht="16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spans="1:26" ht="16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spans="1:26" ht="16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spans="1:26" ht="16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spans="1:26" ht="16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spans="1:26" ht="1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spans="1:26" ht="16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spans="1:26" ht="16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spans="1:26" ht="16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spans="1:26" ht="16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spans="1:26" ht="16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spans="1:26" ht="16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spans="1:26" ht="16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spans="1:26" ht="16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spans="1:26" ht="16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spans="1:26" ht="1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spans="1:26" ht="16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spans="1:26" ht="16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spans="1:26" ht="16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spans="1:26" ht="16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spans="1:26" ht="16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spans="1:26" ht="16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spans="1:26" ht="16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spans="1:26" ht="16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spans="1:26" ht="16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spans="1:26" ht="1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spans="1:26" ht="16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spans="1:26" ht="16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spans="1:26" ht="16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spans="1:26" ht="16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spans="1:26" ht="16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spans="1:26" ht="16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spans="1:26" ht="16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spans="1:26" ht="16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spans="1:26" ht="16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spans="1:26" ht="1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spans="1:26" ht="16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spans="1:26" ht="16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spans="1:26" ht="16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spans="1:26" ht="16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spans="1:26" ht="16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spans="1:26" ht="16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spans="1:26" ht="16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spans="1:26" ht="16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spans="1:26" ht="16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spans="1:26" ht="1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spans="1:26" ht="16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spans="1:26" ht="16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spans="1:26" ht="16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spans="1:26" ht="16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spans="1:26" ht="16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spans="1:26" ht="16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spans="1:26" ht="16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spans="1:26" ht="16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spans="1:26" ht="16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spans="1:26" ht="1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spans="1:26" ht="16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spans="1:26" ht="16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spans="1:26" ht="16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spans="1:26" ht="16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spans="1:26" ht="16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spans="1:26" ht="16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spans="1:26" ht="16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spans="1:26" ht="16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spans="1:26" ht="16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spans="1:26" ht="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spans="1:26" ht="16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spans="1:26" ht="16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spans="1:26" ht="16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spans="1:26" ht="16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spans="1:26" ht="16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spans="1:26" ht="16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spans="1:26" ht="16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spans="1:26" ht="16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spans="1:26" ht="16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spans="1:26" ht="1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spans="1:26" ht="16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spans="1:26" ht="16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spans="1:26" ht="16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spans="1:26" ht="16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spans="1:26" ht="16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spans="1:26" ht="16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spans="1:26" ht="16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spans="1:26" ht="16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spans="1:26" ht="16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spans="1:26" ht="1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spans="1:26" ht="16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spans="1:26" ht="16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spans="1:26" ht="16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spans="1:26" ht="16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spans="1:26" ht="16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spans="1:26" ht="16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spans="1:26" ht="16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spans="1:26" ht="16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spans="1:26" ht="16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spans="1:26" ht="1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spans="1:26" ht="16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spans="1:26" ht="16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spans="1:26" ht="16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spans="1:26" ht="16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spans="1:26" ht="16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spans="1:26" ht="16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spans="1:26" ht="16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spans="1:26" ht="16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spans="1:26" ht="16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spans="1:26" ht="1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spans="1:26" ht="16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spans="1:26" ht="16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spans="1:26" ht="16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spans="1:26" ht="16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spans="1:26" ht="16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spans="1:26" ht="16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spans="1:26" ht="16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spans="1:26" ht="16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spans="1:26" ht="16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spans="1:26" ht="1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spans="1:26" ht="16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spans="1:26" ht="16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spans="1:26" ht="16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spans="1:26" ht="16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spans="1:26" ht="16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spans="1:26" ht="16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spans="1:26" ht="16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spans="1:26" ht="16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spans="1:26" ht="16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spans="1:26" ht="1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spans="1:26" ht="16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spans="1:26" ht="16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spans="1:26" ht="16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spans="1:26" ht="16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spans="1:26" ht="16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spans="1:26" ht="16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spans="1:26" ht="16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spans="1:26" ht="16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spans="1:26" ht="16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spans="1:26" ht="1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spans="1:26" ht="16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spans="1:26" ht="16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spans="1:26" ht="16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spans="1:26" ht="16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spans="1:26" ht="16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spans="1:26" ht="16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spans="1:26" ht="16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spans="1:26" ht="16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spans="1:26" ht="16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spans="1:26" ht="1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spans="1:26" ht="16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spans="1:26" ht="16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spans="1:26" ht="16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spans="1:26" ht="16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spans="1:26" ht="16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spans="1:26" ht="16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spans="1:26" ht="16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spans="1:26" ht="16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spans="1:26" ht="16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spans="1:26" ht="1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spans="1:26" ht="16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spans="1:26" ht="16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spans="1:26" ht="16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spans="1:26" ht="16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spans="1:26" ht="16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spans="1:26" ht="16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spans="1:26" ht="16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spans="1:26" ht="16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spans="1:26" ht="16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spans="1:26" ht="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spans="1:26" ht="16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spans="1:26" ht="16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spans="1:26" ht="16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spans="1:26" ht="16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spans="1:26" ht="16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spans="1:26" ht="16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spans="1:26" ht="16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spans="1:26" ht="16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spans="1:26" ht="16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spans="1:26" ht="1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spans="1:26" ht="16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spans="1:26" ht="16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spans="1:26" ht="16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spans="1:26" ht="16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spans="1:26" ht="16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spans="1:26" ht="16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spans="1:26" ht="16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spans="1:26" ht="16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spans="1:26" ht="16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spans="1:26" ht="1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spans="1:26" ht="16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spans="1:26" ht="16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spans="1:26" ht="16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spans="1:26" ht="16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spans="1:26" ht="16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spans="1:26" ht="16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spans="1:26" ht="16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spans="1:26" ht="16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spans="1:26" ht="16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spans="1:26" ht="1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spans="1:26" ht="16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spans="1:26" ht="16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spans="1:26" ht="16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spans="1:26" ht="16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spans="1:26" ht="16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spans="1:26" ht="16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spans="1:26" ht="16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spans="1:26" ht="16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spans="1:26" ht="16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spans="1:26" ht="1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spans="1:26" ht="16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spans="1:26" ht="16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spans="1:26" ht="16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spans="1:26" ht="16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spans="1:26" ht="16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spans="1:26" ht="16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spans="1:26" ht="16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spans="1:26" ht="16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spans="1:26" ht="16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spans="1:26" ht="1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spans="1:26" ht="16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spans="1:26" ht="16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spans="1:26" ht="16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spans="1:26" ht="16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spans="1:26" ht="16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spans="1:26" ht="16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spans="1:26" ht="16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spans="1:26" ht="16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spans="1:26" ht="16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spans="1:26" ht="1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spans="1:26" ht="16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spans="1:26" ht="16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spans="1:26" ht="16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spans="1:26" ht="16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spans="1:26" ht="16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spans="1:26" ht="16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spans="1:26" ht="16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spans="1:26" ht="16">
      <c r="A984" s="68"/>
      <c r="B984" s="27"/>
      <c r="C984" s="27"/>
      <c r="D984" s="27"/>
      <c r="E984" s="27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27"/>
      <c r="U984" s="27"/>
      <c r="V984" s="27"/>
      <c r="W984" s="27"/>
      <c r="X984" s="27"/>
      <c r="Y984" s="27"/>
      <c r="Z984" s="27"/>
    </row>
    <row r="985" spans="1:26" ht="16">
      <c r="A985" s="68"/>
      <c r="B985" s="27"/>
      <c r="C985" s="27"/>
      <c r="D985" s="27"/>
      <c r="E985" s="27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27"/>
      <c r="U985" s="27"/>
      <c r="V985" s="27"/>
      <c r="W985" s="27"/>
      <c r="X985" s="27"/>
      <c r="Y985" s="27"/>
      <c r="Z985" s="27"/>
    </row>
    <row r="986" spans="1:26" ht="16">
      <c r="A986" s="68"/>
      <c r="B986" s="27"/>
      <c r="C986" s="27"/>
      <c r="D986" s="27"/>
      <c r="E986" s="27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27"/>
      <c r="U986" s="27"/>
      <c r="V986" s="27"/>
      <c r="W986" s="27"/>
      <c r="X986" s="27"/>
      <c r="Y986" s="27"/>
      <c r="Z986" s="27"/>
    </row>
    <row r="987" spans="1:26" ht="16">
      <c r="A987" s="68"/>
      <c r="B987" s="27"/>
      <c r="C987" s="27"/>
      <c r="D987" s="27"/>
      <c r="E987" s="27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27"/>
      <c r="U987" s="27"/>
      <c r="V987" s="27"/>
      <c r="W987" s="27"/>
      <c r="X987" s="27"/>
      <c r="Y987" s="27"/>
      <c r="Z987" s="27"/>
    </row>
    <row r="988" spans="1:26" ht="16">
      <c r="A988" s="68"/>
      <c r="B988" s="27"/>
      <c r="C988" s="27"/>
      <c r="D988" s="27"/>
      <c r="E988" s="27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27"/>
      <c r="U988" s="27"/>
      <c r="V988" s="27"/>
      <c r="W988" s="27"/>
      <c r="X988" s="27"/>
      <c r="Y988" s="27"/>
      <c r="Z988" s="27"/>
    </row>
    <row r="989" spans="1:26" ht="16">
      <c r="A989" s="68"/>
      <c r="B989" s="27"/>
      <c r="C989" s="27"/>
      <c r="D989" s="27"/>
      <c r="E989" s="27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27"/>
      <c r="U989" s="27"/>
      <c r="V989" s="27"/>
      <c r="W989" s="27"/>
      <c r="X989" s="27"/>
      <c r="Y989" s="27"/>
      <c r="Z989" s="27"/>
    </row>
    <row r="990" spans="1:26" ht="16">
      <c r="A990" s="68"/>
      <c r="B990" s="27"/>
      <c r="C990" s="27"/>
      <c r="D990" s="27"/>
      <c r="E990" s="27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27"/>
      <c r="U990" s="27"/>
      <c r="V990" s="27"/>
      <c r="W990" s="27"/>
      <c r="X990" s="27"/>
      <c r="Y990" s="27"/>
      <c r="Z990" s="27"/>
    </row>
    <row r="991" spans="1:26" ht="16">
      <c r="A991" s="68"/>
      <c r="B991" s="27"/>
      <c r="C991" s="27"/>
      <c r="D991" s="27"/>
      <c r="E991" s="27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27"/>
      <c r="U991" s="27"/>
      <c r="V991" s="27"/>
      <c r="W991" s="27"/>
      <c r="X991" s="27"/>
      <c r="Y991" s="27"/>
      <c r="Z991" s="27"/>
    </row>
    <row r="992" spans="1:26" ht="16">
      <c r="A992" s="68"/>
      <c r="B992" s="27"/>
      <c r="C992" s="27"/>
      <c r="D992" s="27"/>
      <c r="E992" s="27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27"/>
      <c r="U992" s="27"/>
      <c r="V992" s="27"/>
      <c r="W992" s="27"/>
      <c r="X992" s="27"/>
      <c r="Y992" s="27"/>
      <c r="Z992" s="27"/>
    </row>
    <row r="993" spans="1:26" ht="16">
      <c r="A993" s="68"/>
      <c r="B993" s="27"/>
      <c r="C993" s="27"/>
      <c r="D993" s="27"/>
      <c r="E993" s="27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27"/>
      <c r="U993" s="27"/>
      <c r="V993" s="27"/>
      <c r="W993" s="27"/>
      <c r="X993" s="27"/>
      <c r="Y993" s="27"/>
      <c r="Z993" s="27"/>
    </row>
    <row r="994" spans="1:26" ht="16">
      <c r="A994" s="68"/>
      <c r="B994" s="27"/>
      <c r="C994" s="27"/>
      <c r="D994" s="27"/>
      <c r="E994" s="27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27"/>
      <c r="U994" s="27"/>
      <c r="V994" s="27"/>
      <c r="W994" s="27"/>
      <c r="X994" s="27"/>
      <c r="Y994" s="27"/>
      <c r="Z994" s="27"/>
    </row>
    <row r="995" spans="1:26" ht="16">
      <c r="A995" s="68"/>
      <c r="B995" s="27"/>
      <c r="C995" s="27"/>
      <c r="D995" s="27"/>
      <c r="E995" s="27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27"/>
      <c r="U995" s="27"/>
      <c r="V995" s="27"/>
      <c r="W995" s="27"/>
      <c r="X995" s="27"/>
      <c r="Y995" s="27"/>
      <c r="Z995" s="27"/>
    </row>
    <row r="996" spans="1:26" ht="16">
      <c r="A996" s="68"/>
      <c r="B996" s="27"/>
      <c r="C996" s="27"/>
      <c r="D996" s="27"/>
      <c r="E996" s="27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27"/>
      <c r="U996" s="27"/>
      <c r="V996" s="27"/>
      <c r="W996" s="27"/>
      <c r="X996" s="27"/>
      <c r="Y996" s="27"/>
      <c r="Z996" s="27"/>
    </row>
    <row r="997" spans="1:26" ht="16">
      <c r="A997" s="68"/>
      <c r="B997" s="27"/>
      <c r="C997" s="27"/>
      <c r="D997" s="27"/>
      <c r="E997" s="27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27"/>
      <c r="U997" s="27"/>
      <c r="V997" s="27"/>
      <c r="W997" s="27"/>
      <c r="X997" s="27"/>
      <c r="Y997" s="27"/>
      <c r="Z997" s="27"/>
    </row>
    <row r="998" spans="1:26" ht="16">
      <c r="A998" s="68"/>
      <c r="B998" s="27"/>
      <c r="C998" s="27"/>
      <c r="D998" s="27"/>
      <c r="E998" s="27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27"/>
      <c r="U998" s="27"/>
      <c r="V998" s="27"/>
      <c r="W998" s="27"/>
      <c r="X998" s="27"/>
      <c r="Y998" s="27"/>
      <c r="Z998" s="27"/>
    </row>
    <row r="999" spans="1:26" ht="16">
      <c r="A999" s="68"/>
      <c r="B999" s="27"/>
      <c r="C999" s="27"/>
      <c r="D999" s="27"/>
      <c r="E999" s="27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27"/>
      <c r="U999" s="27"/>
      <c r="V999" s="27"/>
      <c r="W999" s="27"/>
      <c r="X999" s="27"/>
      <c r="Y999" s="27"/>
      <c r="Z999" s="27"/>
    </row>
    <row r="1000" spans="1:26" ht="16">
      <c r="A1000" s="68"/>
      <c r="B1000" s="27"/>
      <c r="C1000" s="27"/>
      <c r="D1000" s="27"/>
      <c r="E1000" s="27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27"/>
      <c r="U1000" s="27"/>
      <c r="V1000" s="27"/>
      <c r="W1000" s="27"/>
      <c r="X1000" s="27"/>
      <c r="Y1000" s="27"/>
      <c r="Z1000" s="27"/>
    </row>
  </sheetData>
  <mergeCells count="45">
    <mergeCell ref="B225:E225"/>
    <mergeCell ref="B131:E131"/>
    <mergeCell ref="B136:E136"/>
    <mergeCell ref="B142:E142"/>
    <mergeCell ref="B152:E152"/>
    <mergeCell ref="B159:E159"/>
    <mergeCell ref="B162:E162"/>
    <mergeCell ref="B172:E172"/>
    <mergeCell ref="B202:E202"/>
    <mergeCell ref="B204:E204"/>
    <mergeCell ref="B206:E206"/>
    <mergeCell ref="B214:E214"/>
    <mergeCell ref="B216:E216"/>
    <mergeCell ref="B99:E99"/>
    <mergeCell ref="B103:E103"/>
    <mergeCell ref="B119:E119"/>
    <mergeCell ref="B181:E181"/>
    <mergeCell ref="B195:E195"/>
    <mergeCell ref="B61:E61"/>
    <mergeCell ref="B68:E68"/>
    <mergeCell ref="B73:E73"/>
    <mergeCell ref="B84:E84"/>
    <mergeCell ref="B94:E94"/>
    <mergeCell ref="B14:E14"/>
    <mergeCell ref="B41:E41"/>
    <mergeCell ref="B43:E43"/>
    <mergeCell ref="B48:E48"/>
    <mergeCell ref="B55:E55"/>
    <mergeCell ref="B11:C11"/>
    <mergeCell ref="D11:E11"/>
    <mergeCell ref="F11:G11"/>
    <mergeCell ref="H11:J11"/>
    <mergeCell ref="B12:C12"/>
    <mergeCell ref="F12:G12"/>
    <mergeCell ref="H12:J12"/>
    <mergeCell ref="D12:E12"/>
    <mergeCell ref="F10:G10"/>
    <mergeCell ref="H10:J10"/>
    <mergeCell ref="B2:E2"/>
    <mergeCell ref="B3:E3"/>
    <mergeCell ref="B7:J7"/>
    <mergeCell ref="H8:J8"/>
    <mergeCell ref="H9:J9"/>
    <mergeCell ref="B10:C10"/>
    <mergeCell ref="D10:E10"/>
  </mergeCells>
  <conditionalFormatting sqref="B14:E39">
    <cfRule type="expression" dxfId="71" priority="1">
      <formula>ccm_result="Excluded"</formula>
    </cfRule>
  </conditionalFormatting>
  <conditionalFormatting sqref="C7:J10 D11:D12 F11:J12">
    <cfRule type="expression" dxfId="70" priority="2">
      <formula>ccm_result="Excluded"</formula>
    </cfRule>
  </conditionalFormatting>
  <conditionalFormatting sqref="D5 D202">
    <cfRule type="expression" dxfId="69" priority="3">
      <formula>OR((ccm_result="Excluded"),AND((intelligent_operations_result="Excluded")))</formula>
    </cfRule>
  </conditionalFormatting>
  <conditionalFormatting sqref="D16:D39">
    <cfRule type="notContainsBlanks" dxfId="68" priority="4">
      <formula>LEN(TRIM(D16))&gt;0</formula>
    </cfRule>
    <cfRule type="containsBlanks" dxfId="67" priority="5">
      <formula>LEN(TRIM(D16))=0</formula>
    </cfRule>
  </conditionalFormatting>
  <conditionalFormatting sqref="D41">
    <cfRule type="expression" dxfId="66" priority="6">
      <formula>ccm_result="Excluded"</formula>
    </cfRule>
  </conditionalFormatting>
  <conditionalFormatting sqref="D43 D45:D46 D48 D50:D53 D55 D57:D59 D61 D63:D66 D68 D70:D71 D73 D75:D82 D84 D86:D92 D94 D96:D97 D99 D101:D129 D131 D133:D134 D136 D138:D140 D142 D144:D150 D152 D154:D157 D159 D161:D179 D181 D183:D193 D195 D197:D200 D216 D218:D223 D225 D227:D229">
    <cfRule type="expression" dxfId="65" priority="7" stopIfTrue="1">
      <formula>ccm_result="Excluded"</formula>
    </cfRule>
    <cfRule type="containsBlanks" dxfId="64" priority="8">
      <formula>LEN(TRIM(D43))=0</formula>
    </cfRule>
    <cfRule type="notContainsBlanks" dxfId="63" priority="9">
      <formula>LEN(TRIM(D43))&gt;0</formula>
    </cfRule>
  </conditionalFormatting>
  <conditionalFormatting sqref="D204 D206 D208:D212">
    <cfRule type="expression" dxfId="62" priority="10" stopIfTrue="1">
      <formula>OR((ccm_result="Excluded"),AND((intelligent_operations_result="Excluded")))</formula>
    </cfRule>
  </conditionalFormatting>
  <conditionalFormatting sqref="D214">
    <cfRule type="expression" dxfId="61" priority="11" stopIfTrue="1">
      <formula>ccm_result="Excluded"</formula>
    </cfRule>
  </conditionalFormatting>
  <conditionalFormatting sqref="E9 G9">
    <cfRule type="notContainsBlanks" dxfId="60" priority="12">
      <formula>LEN(TRIM(E9))&gt;0</formula>
    </cfRule>
    <cfRule type="containsBlanks" dxfId="59" priority="13">
      <formula>LEN(TRIM(E9))=0</formula>
    </cfRule>
  </conditionalFormatting>
  <conditionalFormatting sqref="F11:G12">
    <cfRule type="notContainsBlanks" dxfId="58" priority="14">
      <formula>LEN(TRIM(F11))&gt;0</formula>
    </cfRule>
    <cfRule type="containsBlanks" dxfId="57" priority="15">
      <formula>LEN(TRIM(F11))=0</formula>
    </cfRule>
  </conditionalFormatting>
  <dataValidations count="2">
    <dataValidation type="list" allowBlank="1" showErrorMessage="1" sqref="C15:D15" xr:uid="{00000000-0002-0000-1100-000000000000}">
      <formula1>"Standard,Consolidated"</formula1>
    </dataValidation>
    <dataValidation type="list" allowBlank="1" showErrorMessage="1" sqref="C21:D21" xr:uid="{00000000-0002-0000-1100-000001000000}">
      <formula1>aws_regions</formula1>
    </dataValidation>
  </dataValidations>
  <hyperlinks>
    <hyperlink ref="B5" location="null!H50" display="Section Navigation (Click to Navigate)" xr:uid="{00000000-0004-0000-1100-000000000000}"/>
    <hyperlink ref="C5" location="'Cross Cloud Mobility'!B8" display="Deployment" xr:uid="{00000000-0004-0000-1100-000001000000}"/>
    <hyperlink ref="D5" location="'Cross Cloud Mobility'!B169" display="Solution Interoperability" xr:uid="{00000000-0004-0000-1100-000002000000}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4B083"/>
  </sheetPr>
  <dimension ref="A1:Z1000"/>
  <sheetViews>
    <sheetView showGridLines="0" workbookViewId="0"/>
  </sheetViews>
  <sheetFormatPr baseColWidth="10" defaultColWidth="12.6640625" defaultRowHeight="13"/>
  <cols>
    <col min="1" max="1" width="3.1640625" customWidth="1"/>
    <col min="2" max="2" width="74" customWidth="1"/>
    <col min="3" max="3" width="26.6640625" customWidth="1"/>
    <col min="4" max="4" width="56.33203125" customWidth="1"/>
    <col min="5" max="5" width="49.83203125" customWidth="1"/>
    <col min="6" max="6" width="55.6640625" customWidth="1"/>
    <col min="7" max="7" width="59.1640625" customWidth="1"/>
    <col min="8" max="8" width="68.6640625" customWidth="1"/>
    <col min="9" max="9" width="74.6640625" customWidth="1"/>
    <col min="10" max="26" width="12.1640625" customWidth="1"/>
  </cols>
  <sheetData>
    <row r="1" spans="1:26" ht="1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54" customHeight="1">
      <c r="A2" s="7"/>
      <c r="B2" s="241" t="s">
        <v>8955</v>
      </c>
      <c r="C2" s="177"/>
      <c r="D2" s="177"/>
      <c r="E2" s="177"/>
      <c r="F2" s="177"/>
      <c r="G2" s="178"/>
      <c r="H2" s="160"/>
      <c r="I2" s="160"/>
      <c r="J2" s="160"/>
      <c r="K2" s="160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9.5" customHeight="1">
      <c r="A3" s="7"/>
      <c r="B3" s="161" t="s">
        <v>8956</v>
      </c>
      <c r="C3" s="161"/>
      <c r="D3" s="161"/>
      <c r="E3" s="161"/>
      <c r="F3" s="161"/>
      <c r="G3" s="161"/>
      <c r="H3" s="53"/>
      <c r="I3" s="53"/>
      <c r="J3" s="53"/>
      <c r="K3" s="5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">
      <c r="A4" s="7"/>
      <c r="B4" s="7"/>
      <c r="C4" s="7"/>
      <c r="D4" s="7"/>
      <c r="E4" s="7"/>
      <c r="F4" s="7"/>
      <c r="G4" s="7"/>
      <c r="H4" s="7"/>
      <c r="I4" s="7"/>
      <c r="J4" s="9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7"/>
      <c r="B5" s="7"/>
      <c r="C5" s="7"/>
      <c r="D5" s="7"/>
      <c r="E5" s="7"/>
      <c r="F5" s="7"/>
      <c r="G5" s="7"/>
      <c r="H5" s="7"/>
      <c r="I5" s="7"/>
      <c r="J5" s="9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.75" customHeight="1">
      <c r="A6" s="10"/>
      <c r="B6" s="203" t="s">
        <v>8957</v>
      </c>
      <c r="C6" s="183"/>
      <c r="D6" s="183"/>
      <c r="E6" s="183"/>
      <c r="F6" s="183"/>
      <c r="G6" s="181"/>
      <c r="H6" s="7"/>
      <c r="I6" s="10"/>
      <c r="J6" s="16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9.5" customHeight="1">
      <c r="A7" s="7"/>
      <c r="B7" s="81" t="s">
        <v>8958</v>
      </c>
      <c r="C7" s="81" t="s">
        <v>8176</v>
      </c>
      <c r="D7" s="81" t="s">
        <v>8959</v>
      </c>
      <c r="E7" s="81" t="s">
        <v>8960</v>
      </c>
      <c r="F7" s="81" t="s">
        <v>8961</v>
      </c>
      <c r="G7" s="81"/>
      <c r="H7" s="7"/>
      <c r="I7" s="7"/>
      <c r="J7" s="9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9.5" customHeight="1">
      <c r="A8" s="7"/>
      <c r="B8" s="30" t="s">
        <v>8962</v>
      </c>
      <c r="C8" s="34" t="s">
        <v>7462</v>
      </c>
      <c r="D8" s="7"/>
      <c r="E8" s="13"/>
      <c r="F8" s="34" t="s">
        <v>8963</v>
      </c>
      <c r="G8" s="13"/>
      <c r="H8" s="7"/>
      <c r="I8" s="7"/>
      <c r="J8" s="9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9.5" customHeight="1">
      <c r="A9" s="7"/>
      <c r="B9" s="30" t="s">
        <v>8964</v>
      </c>
      <c r="C9" s="34" t="s">
        <v>7467</v>
      </c>
      <c r="D9" s="7"/>
      <c r="E9" s="13"/>
      <c r="F9" s="34" t="e">
        <f>(UPPER(this_instance))</f>
        <v>#REF!</v>
      </c>
      <c r="G9" s="13"/>
      <c r="H9" s="7"/>
      <c r="I9" s="7"/>
      <c r="J9" s="9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9.5" customHeight="1">
      <c r="A10" s="7"/>
      <c r="B10" s="30" t="s">
        <v>8965</v>
      </c>
      <c r="C10" s="34" t="s">
        <v>7462</v>
      </c>
      <c r="D10" s="34" t="s">
        <v>8966</v>
      </c>
      <c r="E10" s="37"/>
      <c r="F10" s="34" t="s">
        <v>8967</v>
      </c>
      <c r="G10" s="37"/>
      <c r="H10" s="7"/>
      <c r="I10" s="7"/>
      <c r="J10" s="9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9.5" customHeight="1">
      <c r="A11" s="7"/>
      <c r="B11" s="30" t="s">
        <v>8968</v>
      </c>
      <c r="C11" s="34" t="s">
        <v>7467</v>
      </c>
      <c r="D11" s="34" t="e">
        <f>CONCATENATE("ou=Security Groups,dc=",this_instance,",dc=rainpole,dc=io")</f>
        <v>#REF!</v>
      </c>
      <c r="E11" s="13"/>
      <c r="F11" s="34" t="e">
        <f>CONCATENATE("ou=Security Users,dc=",this_instance,",dc=rainpole,dc=io")</f>
        <v>#REF!</v>
      </c>
      <c r="G11" s="13"/>
      <c r="H11" s="7"/>
      <c r="I11" s="7"/>
      <c r="J11" s="9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/>
      <c r="B12" s="7"/>
      <c r="C12" s="7"/>
      <c r="D12" s="7"/>
      <c r="E12" s="7"/>
      <c r="F12" s="7"/>
      <c r="G12" s="7"/>
      <c r="H12" s="7"/>
      <c r="I12" s="7"/>
      <c r="J12" s="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3.75" customHeight="1">
      <c r="A13" s="7"/>
      <c r="B13" s="203" t="s">
        <v>8969</v>
      </c>
      <c r="C13" s="183"/>
      <c r="D13" s="183"/>
      <c r="E13" s="183"/>
      <c r="F13" s="183"/>
      <c r="G13" s="181"/>
      <c r="H13" s="7"/>
      <c r="I13" s="7"/>
      <c r="J13" s="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5" customHeight="1">
      <c r="A14" s="7"/>
      <c r="B14" s="219" t="s">
        <v>8174</v>
      </c>
      <c r="C14" s="183"/>
      <c r="D14" s="183"/>
      <c r="E14" s="183"/>
      <c r="F14" s="183"/>
      <c r="G14" s="181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9.5" customHeight="1">
      <c r="A15" s="7"/>
      <c r="B15" s="81" t="s">
        <v>8958</v>
      </c>
      <c r="C15" s="81" t="s">
        <v>8176</v>
      </c>
      <c r="D15" s="81" t="s">
        <v>8970</v>
      </c>
      <c r="E15" s="81" t="s">
        <v>8971</v>
      </c>
      <c r="F15" s="81" t="s">
        <v>8972</v>
      </c>
      <c r="G15" s="81" t="s">
        <v>8973</v>
      </c>
      <c r="H15" s="7"/>
      <c r="I15" s="7"/>
      <c r="J15" s="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>
      <c r="A16" s="7"/>
      <c r="B16" s="219" t="s">
        <v>8974</v>
      </c>
      <c r="C16" s="183"/>
      <c r="D16" s="183"/>
      <c r="E16" s="183"/>
      <c r="F16" s="183"/>
      <c r="G16" s="181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9.5" customHeight="1">
      <c r="A17" s="7"/>
      <c r="B17" s="81" t="s">
        <v>8958</v>
      </c>
      <c r="C17" s="81" t="s">
        <v>8176</v>
      </c>
      <c r="D17" s="81" t="s">
        <v>8970</v>
      </c>
      <c r="E17" s="81" t="s">
        <v>8971</v>
      </c>
      <c r="F17" s="81" t="s">
        <v>8972</v>
      </c>
      <c r="G17" s="81" t="s">
        <v>8973</v>
      </c>
      <c r="H17" s="7"/>
      <c r="I17" s="7"/>
      <c r="J17" s="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.5" customHeight="1">
      <c r="A18" s="7"/>
      <c r="B18" s="30" t="s">
        <v>8975</v>
      </c>
      <c r="C18" s="34" t="s">
        <v>7467</v>
      </c>
      <c r="D18" s="34" t="s">
        <v>7636</v>
      </c>
      <c r="E18" s="37"/>
      <c r="F18" s="132" t="s">
        <v>6763</v>
      </c>
      <c r="G18" s="13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9.5" customHeight="1">
      <c r="A19" s="7"/>
      <c r="B19" s="30" t="s">
        <v>8976</v>
      </c>
      <c r="C19" s="34" t="s">
        <v>7467</v>
      </c>
      <c r="D19" s="34" t="s">
        <v>8977</v>
      </c>
      <c r="E19" s="37"/>
      <c r="F19" s="132" t="s">
        <v>6763</v>
      </c>
      <c r="G19" s="13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7"/>
      <c r="F20" s="7"/>
      <c r="G20" s="7"/>
      <c r="H20" s="7"/>
      <c r="I20" s="7"/>
      <c r="J20" s="9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3.75" customHeight="1">
      <c r="A21" s="7"/>
      <c r="B21" s="203" t="s">
        <v>8978</v>
      </c>
      <c r="C21" s="183"/>
      <c r="D21" s="183"/>
      <c r="E21" s="183"/>
      <c r="F21" s="183"/>
      <c r="G21" s="181"/>
      <c r="H21" s="7"/>
      <c r="I21" s="7"/>
      <c r="J21" s="9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9.5" customHeight="1">
      <c r="A22" s="7"/>
      <c r="B22" s="219" t="s">
        <v>8979</v>
      </c>
      <c r="C22" s="183"/>
      <c r="D22" s="183"/>
      <c r="E22" s="183"/>
      <c r="F22" s="183"/>
      <c r="G22" s="181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9.5" customHeight="1">
      <c r="A23" s="7"/>
      <c r="B23" s="81" t="s">
        <v>8958</v>
      </c>
      <c r="C23" s="81" t="s">
        <v>8176</v>
      </c>
      <c r="D23" s="81" t="s">
        <v>8970</v>
      </c>
      <c r="E23" s="81" t="s">
        <v>8971</v>
      </c>
      <c r="F23" s="81" t="s">
        <v>8972</v>
      </c>
      <c r="G23" s="81" t="s">
        <v>8973</v>
      </c>
      <c r="H23" s="7"/>
      <c r="I23" s="7"/>
      <c r="J23" s="9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9.5" customHeight="1">
      <c r="A24" s="7"/>
      <c r="B24" s="30" t="s">
        <v>8980</v>
      </c>
      <c r="C24" s="34" t="s">
        <v>7467</v>
      </c>
      <c r="D24" s="34" t="s">
        <v>8981</v>
      </c>
      <c r="E24" s="13"/>
      <c r="F24" s="132" t="s">
        <v>6763</v>
      </c>
      <c r="G24" s="13"/>
      <c r="H24" s="7"/>
      <c r="I24" s="7"/>
      <c r="J24" s="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9.5" customHeight="1">
      <c r="A25" s="7"/>
      <c r="B25" s="219" t="s">
        <v>8982</v>
      </c>
      <c r="C25" s="183"/>
      <c r="D25" s="183"/>
      <c r="E25" s="183"/>
      <c r="F25" s="183"/>
      <c r="G25" s="181"/>
      <c r="H25" s="7"/>
      <c r="I25" s="7"/>
      <c r="J25" s="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5" customHeight="1">
      <c r="A26" s="7"/>
      <c r="B26" s="81" t="s">
        <v>8958</v>
      </c>
      <c r="C26" s="81" t="s">
        <v>8176</v>
      </c>
      <c r="D26" s="81" t="s">
        <v>8970</v>
      </c>
      <c r="E26" s="81" t="s">
        <v>8971</v>
      </c>
      <c r="F26" s="81" t="s">
        <v>8972</v>
      </c>
      <c r="G26" s="81" t="s">
        <v>8973</v>
      </c>
      <c r="H26" s="7"/>
      <c r="I26" s="7"/>
      <c r="J26" s="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5" customHeight="1">
      <c r="A27" s="7"/>
      <c r="B27" s="30" t="s">
        <v>8983</v>
      </c>
      <c r="C27" s="34" t="s">
        <v>7467</v>
      </c>
      <c r="D27" s="34" t="s">
        <v>8984</v>
      </c>
      <c r="E27" s="13"/>
      <c r="F27" s="132" t="s">
        <v>6763</v>
      </c>
      <c r="G27" s="13"/>
      <c r="H27" s="7" t="s">
        <v>8985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9.5" customHeight="1">
      <c r="A28" s="7"/>
      <c r="B28" s="30" t="s">
        <v>8986</v>
      </c>
      <c r="C28" s="34" t="s">
        <v>7467</v>
      </c>
      <c r="D28" s="34" t="s">
        <v>8987</v>
      </c>
      <c r="E28" s="13"/>
      <c r="F28" s="132" t="s">
        <v>6763</v>
      </c>
      <c r="G28" s="13"/>
      <c r="H28" s="7" t="s">
        <v>8985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9.5" customHeight="1">
      <c r="A29" s="7"/>
      <c r="B29" s="30" t="s">
        <v>8988</v>
      </c>
      <c r="C29" s="34" t="s">
        <v>7467</v>
      </c>
      <c r="D29" s="34" t="s">
        <v>8989</v>
      </c>
      <c r="E29" s="13"/>
      <c r="F29" s="132" t="s">
        <v>6763</v>
      </c>
      <c r="G29" s="13"/>
      <c r="H29" s="7" t="s">
        <v>8985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9.5" customHeight="1">
      <c r="A30" s="7"/>
      <c r="B30" s="219" t="s">
        <v>8990</v>
      </c>
      <c r="C30" s="183"/>
      <c r="D30" s="183"/>
      <c r="E30" s="183"/>
      <c r="F30" s="183"/>
      <c r="G30" s="181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9.5" customHeight="1">
      <c r="A31" s="7"/>
      <c r="B31" s="81" t="s">
        <v>8958</v>
      </c>
      <c r="C31" s="81" t="s">
        <v>8176</v>
      </c>
      <c r="D31" s="81" t="s">
        <v>8970</v>
      </c>
      <c r="E31" s="81" t="s">
        <v>8971</v>
      </c>
      <c r="F31" s="81" t="s">
        <v>8972</v>
      </c>
      <c r="G31" s="81" t="s">
        <v>8973</v>
      </c>
      <c r="H31" s="7"/>
      <c r="I31" s="7"/>
      <c r="J31" s="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9.5" customHeight="1">
      <c r="A32" s="7"/>
      <c r="B32" s="30" t="s">
        <v>8991</v>
      </c>
      <c r="C32" s="34" t="s">
        <v>7467</v>
      </c>
      <c r="D32" s="34" t="s">
        <v>8992</v>
      </c>
      <c r="E32" s="37"/>
      <c r="F32" s="132" t="s">
        <v>6763</v>
      </c>
      <c r="G32" s="13"/>
      <c r="H32" s="7"/>
      <c r="I32" s="7"/>
      <c r="J32" s="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9.5" customHeight="1">
      <c r="A33" s="7"/>
      <c r="B33" s="30" t="s">
        <v>8993</v>
      </c>
      <c r="C33" s="34" t="s">
        <v>7467</v>
      </c>
      <c r="D33" s="34" t="s">
        <v>8994</v>
      </c>
      <c r="E33" s="37"/>
      <c r="F33" s="132" t="s">
        <v>6763</v>
      </c>
      <c r="G33" s="13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9.5" customHeight="1">
      <c r="A34" s="7"/>
      <c r="B34" s="30" t="s">
        <v>8995</v>
      </c>
      <c r="C34" s="34" t="s">
        <v>7467</v>
      </c>
      <c r="D34" s="34" t="s">
        <v>8996</v>
      </c>
      <c r="E34" s="37"/>
      <c r="F34" s="132" t="s">
        <v>6763</v>
      </c>
      <c r="G34" s="13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9.5" customHeight="1">
      <c r="A35" s="7"/>
      <c r="B35" s="219" t="s">
        <v>8997</v>
      </c>
      <c r="C35" s="183"/>
      <c r="D35" s="183"/>
      <c r="E35" s="183"/>
      <c r="F35" s="183"/>
      <c r="G35" s="181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9.5" customHeight="1">
      <c r="A36" s="7"/>
      <c r="B36" s="81" t="s">
        <v>8958</v>
      </c>
      <c r="C36" s="81" t="s">
        <v>8176</v>
      </c>
      <c r="D36" s="81" t="s">
        <v>8970</v>
      </c>
      <c r="E36" s="81" t="s">
        <v>8971</v>
      </c>
      <c r="F36" s="81" t="s">
        <v>8972</v>
      </c>
      <c r="G36" s="81" t="s">
        <v>8973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9.5" customHeight="1">
      <c r="A37" s="7"/>
      <c r="B37" s="30"/>
      <c r="C37" s="34" t="s">
        <v>7467</v>
      </c>
      <c r="D37" s="34" t="s">
        <v>8998</v>
      </c>
      <c r="E37" s="37"/>
      <c r="F37" s="132" t="s">
        <v>6763</v>
      </c>
      <c r="G37" s="13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9.5" customHeight="1">
      <c r="A38" s="7"/>
      <c r="B38" s="30"/>
      <c r="C38" s="34" t="s">
        <v>7467</v>
      </c>
      <c r="D38" s="34" t="s">
        <v>8999</v>
      </c>
      <c r="E38" s="37"/>
      <c r="F38" s="132" t="s">
        <v>6763</v>
      </c>
      <c r="G38" s="13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9.5" customHeight="1">
      <c r="A39" s="7"/>
      <c r="B39" s="30"/>
      <c r="C39" s="34" t="s">
        <v>7467</v>
      </c>
      <c r="D39" s="34" t="s">
        <v>9000</v>
      </c>
      <c r="E39" s="37"/>
      <c r="F39" s="132" t="s">
        <v>6763</v>
      </c>
      <c r="G39" s="13"/>
      <c r="H39" s="7"/>
      <c r="I39" s="7"/>
      <c r="J39" s="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9.5" customHeight="1">
      <c r="A40" s="7"/>
      <c r="B40" s="30"/>
      <c r="C40" s="132" t="s">
        <v>7467</v>
      </c>
      <c r="D40" s="34" t="s">
        <v>9001</v>
      </c>
      <c r="E40" s="37"/>
      <c r="F40" s="132" t="s">
        <v>6763</v>
      </c>
      <c r="G40" s="13"/>
      <c r="H40" s="7"/>
      <c r="I40" s="7"/>
      <c r="J40" s="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9.5" customHeight="1">
      <c r="A41" s="7"/>
      <c r="B41" s="30"/>
      <c r="C41" s="132" t="s">
        <v>7467</v>
      </c>
      <c r="D41" s="34" t="s">
        <v>9002</v>
      </c>
      <c r="E41" s="37"/>
      <c r="F41" s="132" t="s">
        <v>6763</v>
      </c>
      <c r="G41" s="13"/>
      <c r="H41" s="7"/>
      <c r="I41" s="7"/>
      <c r="J41" s="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9.5" customHeight="1">
      <c r="A42" s="7"/>
      <c r="B42" s="219" t="s">
        <v>9003</v>
      </c>
      <c r="C42" s="183"/>
      <c r="D42" s="183"/>
      <c r="E42" s="183"/>
      <c r="F42" s="183"/>
      <c r="G42" s="181"/>
      <c r="H42" s="7"/>
      <c r="I42" s="7"/>
      <c r="J42" s="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9.5" customHeight="1">
      <c r="A43" s="7"/>
      <c r="B43" s="81" t="s">
        <v>8958</v>
      </c>
      <c r="C43" s="81" t="s">
        <v>8176</v>
      </c>
      <c r="D43" s="81" t="s">
        <v>8970</v>
      </c>
      <c r="E43" s="81" t="s">
        <v>8971</v>
      </c>
      <c r="F43" s="81" t="s">
        <v>8972</v>
      </c>
      <c r="G43" s="81" t="s">
        <v>8973</v>
      </c>
      <c r="H43" s="7"/>
      <c r="I43" s="7"/>
      <c r="J43" s="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9.5" customHeight="1">
      <c r="A44" s="7"/>
      <c r="B44" s="30" t="s">
        <v>9004</v>
      </c>
      <c r="C44" s="34" t="s">
        <v>7467</v>
      </c>
      <c r="D44" s="34" t="s">
        <v>9005</v>
      </c>
      <c r="E44" s="37"/>
      <c r="F44" s="132" t="s">
        <v>6763</v>
      </c>
      <c r="G44" s="13"/>
      <c r="H44" s="7"/>
      <c r="I44" s="7"/>
      <c r="J44" s="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9.5" customHeight="1">
      <c r="A45" s="7"/>
      <c r="B45" s="30" t="s">
        <v>9006</v>
      </c>
      <c r="C45" s="34" t="s">
        <v>7467</v>
      </c>
      <c r="D45" s="34" t="s">
        <v>9007</v>
      </c>
      <c r="E45" s="37"/>
      <c r="F45" s="132" t="s">
        <v>6763</v>
      </c>
      <c r="G45" s="13"/>
      <c r="H45" s="7"/>
      <c r="I45" s="7"/>
      <c r="J45" s="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9.5" customHeight="1">
      <c r="A46" s="7"/>
      <c r="B46" s="219" t="s">
        <v>8869</v>
      </c>
      <c r="C46" s="183"/>
      <c r="D46" s="183"/>
      <c r="E46" s="183"/>
      <c r="F46" s="183"/>
      <c r="G46" s="181"/>
      <c r="H46" s="7"/>
      <c r="I46" s="7"/>
      <c r="J46" s="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9.5" customHeight="1">
      <c r="A47" s="7"/>
      <c r="B47" s="81" t="s">
        <v>8958</v>
      </c>
      <c r="C47" s="81" t="s">
        <v>8176</v>
      </c>
      <c r="D47" s="81" t="s">
        <v>8970</v>
      </c>
      <c r="E47" s="81" t="s">
        <v>8971</v>
      </c>
      <c r="F47" s="81" t="s">
        <v>8972</v>
      </c>
      <c r="G47" s="81" t="s">
        <v>8973</v>
      </c>
      <c r="H47" s="7"/>
      <c r="I47" s="7"/>
      <c r="J47" s="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9.5" customHeight="1">
      <c r="A48" s="7"/>
      <c r="B48" s="30" t="s">
        <v>9008</v>
      </c>
      <c r="C48" s="34" t="s">
        <v>7467</v>
      </c>
      <c r="D48" s="34" t="s">
        <v>9009</v>
      </c>
      <c r="E48" s="37"/>
      <c r="F48" s="132" t="s">
        <v>6763</v>
      </c>
      <c r="G48" s="13"/>
      <c r="H48" s="7"/>
      <c r="I48" s="7"/>
      <c r="J48" s="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9.5" customHeight="1">
      <c r="A49" s="7"/>
      <c r="B49" s="30" t="s">
        <v>9010</v>
      </c>
      <c r="C49" s="34" t="s">
        <v>7467</v>
      </c>
      <c r="D49" s="34" t="s">
        <v>9011</v>
      </c>
      <c r="E49" s="37"/>
      <c r="F49" s="132" t="s">
        <v>6763</v>
      </c>
      <c r="G49" s="13"/>
      <c r="H49" s="7"/>
      <c r="I49" s="7"/>
      <c r="J49" s="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9.5" customHeight="1">
      <c r="A50" s="7"/>
      <c r="B50" s="7"/>
      <c r="C50" s="7"/>
      <c r="D50" s="7"/>
      <c r="E50" s="7"/>
      <c r="F50" s="7"/>
      <c r="G50" s="7"/>
      <c r="H50" s="7"/>
      <c r="I50" s="7"/>
      <c r="J50" s="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3.75" customHeight="1">
      <c r="A51" s="7"/>
      <c r="B51" s="203" t="s">
        <v>7691</v>
      </c>
      <c r="C51" s="183"/>
      <c r="D51" s="183"/>
      <c r="E51" s="181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9.5" customHeight="1">
      <c r="A52" s="7"/>
      <c r="B52" s="219" t="s">
        <v>9012</v>
      </c>
      <c r="C52" s="183"/>
      <c r="D52" s="183"/>
      <c r="E52" s="181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9.5" customHeight="1">
      <c r="A53" s="7"/>
      <c r="B53" s="81" t="s">
        <v>6025</v>
      </c>
      <c r="C53" s="81" t="s">
        <v>8176</v>
      </c>
      <c r="D53" s="81" t="s">
        <v>9013</v>
      </c>
      <c r="E53" s="81" t="s">
        <v>9014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9.5" customHeight="1">
      <c r="A54" s="7"/>
      <c r="B54" s="30" t="s">
        <v>9012</v>
      </c>
      <c r="C54" s="34" t="s">
        <v>7467</v>
      </c>
      <c r="D54" s="34" t="s">
        <v>9015</v>
      </c>
      <c r="E54" s="13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9.5" customHeight="1">
      <c r="A55" s="7"/>
      <c r="B55" s="30"/>
      <c r="C55" s="34" t="s">
        <v>7467</v>
      </c>
      <c r="D55" s="34" t="s">
        <v>9016</v>
      </c>
      <c r="E55" s="13"/>
      <c r="F55" s="7"/>
      <c r="G55" s="7"/>
      <c r="H55" s="7"/>
      <c r="I55" s="7"/>
      <c r="J55" s="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9.5" customHeight="1">
      <c r="A56" s="7"/>
      <c r="B56" s="30"/>
      <c r="C56" s="34" t="s">
        <v>7467</v>
      </c>
      <c r="D56" s="34" t="s">
        <v>9017</v>
      </c>
      <c r="E56" s="13"/>
      <c r="F56" s="7"/>
      <c r="G56" s="7"/>
      <c r="H56" s="7"/>
      <c r="I56" s="7"/>
      <c r="J56" s="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9.5" customHeight="1">
      <c r="A57" s="7"/>
      <c r="B57" s="219" t="s">
        <v>9018</v>
      </c>
      <c r="C57" s="183"/>
      <c r="D57" s="183"/>
      <c r="E57" s="181"/>
      <c r="F57" s="7"/>
      <c r="G57" s="7"/>
      <c r="H57" s="7"/>
      <c r="I57" s="7"/>
      <c r="J57" s="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9.5" customHeight="1">
      <c r="A58" s="7"/>
      <c r="B58" s="81" t="s">
        <v>6025</v>
      </c>
      <c r="C58" s="81" t="s">
        <v>8176</v>
      </c>
      <c r="D58" s="81" t="s">
        <v>9013</v>
      </c>
      <c r="E58" s="81" t="s">
        <v>9014</v>
      </c>
      <c r="F58" s="7"/>
      <c r="G58" s="7"/>
      <c r="H58" s="7"/>
      <c r="I58" s="7"/>
      <c r="J58" s="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9.5" customHeight="1">
      <c r="A59" s="7"/>
      <c r="B59" s="30" t="s">
        <v>9019</v>
      </c>
      <c r="C59" s="34" t="s">
        <v>7467</v>
      </c>
      <c r="D59" s="34" t="s">
        <v>9020</v>
      </c>
      <c r="E59" s="13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9.5" customHeight="1">
      <c r="A60" s="7"/>
      <c r="B60" s="30"/>
      <c r="C60" s="34" t="s">
        <v>7467</v>
      </c>
      <c r="D60" s="34" t="s">
        <v>9021</v>
      </c>
      <c r="E60" s="13"/>
      <c r="F60" s="7"/>
      <c r="G60" s="7"/>
      <c r="H60" s="7"/>
      <c r="I60" s="7"/>
      <c r="J60" s="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9.5" customHeight="1">
      <c r="A61" s="7"/>
      <c r="B61" s="30"/>
      <c r="C61" s="34" t="s">
        <v>7467</v>
      </c>
      <c r="D61" s="34" t="s">
        <v>9022</v>
      </c>
      <c r="E61" s="13"/>
      <c r="F61" s="7"/>
      <c r="G61" s="7"/>
      <c r="H61" s="7"/>
      <c r="I61" s="7"/>
      <c r="J61" s="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9.5" customHeight="1">
      <c r="A62" s="7"/>
      <c r="B62" s="219" t="s">
        <v>9023</v>
      </c>
      <c r="C62" s="183"/>
      <c r="D62" s="183"/>
      <c r="E62" s="181"/>
      <c r="F62" s="7"/>
      <c r="G62" s="7"/>
      <c r="H62" s="7"/>
      <c r="I62" s="7"/>
      <c r="J62" s="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9.5" customHeight="1">
      <c r="A63" s="7"/>
      <c r="B63" s="81" t="s">
        <v>6025</v>
      </c>
      <c r="C63" s="81" t="s">
        <v>8176</v>
      </c>
      <c r="D63" s="81" t="s">
        <v>9013</v>
      </c>
      <c r="E63" s="81" t="s">
        <v>9014</v>
      </c>
      <c r="F63" s="7"/>
      <c r="G63" s="7"/>
      <c r="H63" s="7"/>
      <c r="I63" s="7"/>
      <c r="J63" s="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9.5" customHeight="1">
      <c r="A64" s="7"/>
      <c r="B64" s="30" t="s">
        <v>5983</v>
      </c>
      <c r="C64" s="34" t="s">
        <v>7467</v>
      </c>
      <c r="D64" s="34" t="s">
        <v>7773</v>
      </c>
      <c r="E64" s="13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9.5" customHeight="1">
      <c r="A65" s="7"/>
      <c r="B65" s="30"/>
      <c r="C65" s="34" t="s">
        <v>7467</v>
      </c>
      <c r="D65" s="34" t="s">
        <v>7775</v>
      </c>
      <c r="E65" s="13"/>
      <c r="F65" s="7"/>
      <c r="G65" s="7"/>
      <c r="H65" s="7"/>
      <c r="I65" s="7"/>
      <c r="J65" s="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9.5" customHeight="1">
      <c r="A66" s="7"/>
      <c r="B66" s="30"/>
      <c r="C66" s="34" t="s">
        <v>7467</v>
      </c>
      <c r="D66" s="34" t="s">
        <v>7779</v>
      </c>
      <c r="E66" s="13"/>
      <c r="F66" s="7"/>
      <c r="G66" s="7"/>
      <c r="H66" s="7"/>
      <c r="I66" s="7"/>
      <c r="J66" s="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9.5" customHeight="1">
      <c r="A67" s="7"/>
      <c r="B67" s="30" t="s">
        <v>7187</v>
      </c>
      <c r="C67" s="34" t="s">
        <v>7467</v>
      </c>
      <c r="D67" s="34" t="s">
        <v>7782</v>
      </c>
      <c r="E67" s="13"/>
      <c r="F67" s="7"/>
      <c r="G67" s="7"/>
      <c r="H67" s="7"/>
      <c r="I67" s="7"/>
      <c r="J67" s="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9.5" customHeight="1">
      <c r="A68" s="7"/>
      <c r="B68" s="30"/>
      <c r="C68" s="34" t="s">
        <v>7467</v>
      </c>
      <c r="D68" s="34" t="s">
        <v>7787</v>
      </c>
      <c r="E68" s="13"/>
      <c r="F68" s="7"/>
      <c r="G68" s="7"/>
      <c r="H68" s="7"/>
      <c r="I68" s="7"/>
      <c r="J68" s="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9.5" customHeight="1">
      <c r="A69" s="7"/>
      <c r="B69" s="30"/>
      <c r="C69" s="34" t="s">
        <v>7467</v>
      </c>
      <c r="D69" s="34" t="s">
        <v>7792</v>
      </c>
      <c r="E69" s="13"/>
      <c r="F69" s="7"/>
      <c r="G69" s="7"/>
      <c r="H69" s="7"/>
      <c r="I69" s="7"/>
      <c r="J69" s="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9.5" customHeight="1">
      <c r="A70" s="7"/>
      <c r="B70" s="30" t="s">
        <v>6064</v>
      </c>
      <c r="C70" s="34" t="s">
        <v>7467</v>
      </c>
      <c r="D70" s="34" t="s">
        <v>7796</v>
      </c>
      <c r="E70" s="13"/>
      <c r="F70" s="7"/>
      <c r="G70" s="7"/>
      <c r="H70" s="7"/>
      <c r="I70" s="7"/>
      <c r="J70" s="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9.5" customHeight="1">
      <c r="A71" s="7"/>
      <c r="B71" s="30"/>
      <c r="C71" s="34" t="s">
        <v>7467</v>
      </c>
      <c r="D71" s="34" t="s">
        <v>7801</v>
      </c>
      <c r="E71" s="13"/>
      <c r="F71" s="7"/>
      <c r="G71" s="7"/>
      <c r="H71" s="7"/>
      <c r="I71" s="7"/>
      <c r="J71" s="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9.5" customHeight="1">
      <c r="A72" s="7"/>
      <c r="B72" s="30"/>
      <c r="C72" s="34" t="s">
        <v>7467</v>
      </c>
      <c r="D72" s="34" t="s">
        <v>7805</v>
      </c>
      <c r="E72" s="13"/>
      <c r="F72" s="7"/>
      <c r="G72" s="7"/>
      <c r="H72" s="7"/>
      <c r="I72" s="7"/>
      <c r="J72" s="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9.5" customHeight="1">
      <c r="A73" s="7"/>
      <c r="B73" s="219" t="s">
        <v>9024</v>
      </c>
      <c r="C73" s="183"/>
      <c r="D73" s="183"/>
      <c r="E73" s="200"/>
      <c r="F73" s="7"/>
      <c r="G73" s="7"/>
      <c r="H73" s="7"/>
      <c r="I73" s="7"/>
      <c r="J73" s="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9.5" customHeight="1">
      <c r="A74" s="7"/>
      <c r="B74" s="81" t="s">
        <v>6025</v>
      </c>
      <c r="C74" s="81" t="s">
        <v>8176</v>
      </c>
      <c r="D74" s="81" t="s">
        <v>9013</v>
      </c>
      <c r="E74" s="81" t="s">
        <v>9014</v>
      </c>
      <c r="F74" s="7"/>
      <c r="G74" s="7"/>
      <c r="H74" s="7"/>
      <c r="I74" s="7"/>
      <c r="J74" s="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9.5" customHeight="1">
      <c r="A75" s="7"/>
      <c r="B75" s="30" t="s">
        <v>9025</v>
      </c>
      <c r="C75" s="34" t="s">
        <v>7467</v>
      </c>
      <c r="D75" s="34" t="s">
        <v>9026</v>
      </c>
      <c r="E75" s="37"/>
      <c r="F75" s="7"/>
      <c r="G75" s="7"/>
      <c r="H75" s="7"/>
      <c r="I75" s="7"/>
      <c r="J75" s="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9.5" customHeight="1">
      <c r="A76" s="7"/>
      <c r="B76" s="13"/>
      <c r="C76" s="34" t="s">
        <v>7467</v>
      </c>
      <c r="D76" s="34" t="s">
        <v>9027</v>
      </c>
      <c r="E76" s="37"/>
      <c r="F76" s="7"/>
      <c r="G76" s="9"/>
      <c r="H76" s="7"/>
      <c r="I76" s="7"/>
      <c r="J76" s="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9.5" customHeight="1">
      <c r="A77" s="7"/>
      <c r="B77" s="219" t="s">
        <v>8979</v>
      </c>
      <c r="C77" s="183"/>
      <c r="D77" s="183"/>
      <c r="E77" s="181"/>
      <c r="F77" s="7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9.5" customHeight="1">
      <c r="A78" s="7"/>
      <c r="B78" s="81" t="s">
        <v>6025</v>
      </c>
      <c r="C78" s="81" t="s">
        <v>8176</v>
      </c>
      <c r="D78" s="81" t="s">
        <v>9013</v>
      </c>
      <c r="E78" s="81" t="s">
        <v>9014</v>
      </c>
      <c r="F78" s="7"/>
      <c r="G78" s="9"/>
      <c r="H78" s="7"/>
      <c r="I78" s="7"/>
      <c r="J78" s="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9.5" customHeight="1">
      <c r="A79" s="7"/>
      <c r="B79" s="30" t="s">
        <v>9028</v>
      </c>
      <c r="C79" s="34" t="s">
        <v>7467</v>
      </c>
      <c r="D79" s="34" t="s">
        <v>9029</v>
      </c>
      <c r="E79" s="13"/>
      <c r="F79" s="7"/>
      <c r="G79" s="7"/>
      <c r="H79" s="7"/>
      <c r="I79" s="7"/>
      <c r="J79" s="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9.5" customHeight="1">
      <c r="A80" s="7"/>
      <c r="B80" s="30"/>
      <c r="C80" s="34" t="s">
        <v>7467</v>
      </c>
      <c r="D80" s="34" t="s">
        <v>9030</v>
      </c>
      <c r="E80" s="13"/>
      <c r="F80" s="7"/>
      <c r="G80" s="7"/>
      <c r="H80" s="7"/>
      <c r="I80" s="7"/>
      <c r="J80" s="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9.5" customHeight="1">
      <c r="A81" s="7"/>
      <c r="B81" s="30"/>
      <c r="C81" s="34" t="s">
        <v>7467</v>
      </c>
      <c r="D81" s="34" t="s">
        <v>9031</v>
      </c>
      <c r="E81" s="13"/>
      <c r="F81" s="7"/>
      <c r="G81" s="7"/>
      <c r="H81" s="7"/>
      <c r="I81" s="7"/>
      <c r="J81" s="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9.5" customHeight="1">
      <c r="A82" s="7"/>
      <c r="B82" s="219" t="s">
        <v>8982</v>
      </c>
      <c r="C82" s="183"/>
      <c r="D82" s="183"/>
      <c r="E82" s="181"/>
      <c r="F82" s="7"/>
      <c r="G82" s="7"/>
      <c r="H82" s="7"/>
      <c r="I82" s="7"/>
      <c r="J82" s="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9.5" customHeight="1">
      <c r="A83" s="7"/>
      <c r="B83" s="81" t="s">
        <v>6025</v>
      </c>
      <c r="C83" s="81" t="s">
        <v>8176</v>
      </c>
      <c r="D83" s="81" t="s">
        <v>9013</v>
      </c>
      <c r="E83" s="81" t="s">
        <v>9014</v>
      </c>
      <c r="F83" s="7"/>
      <c r="G83" s="7"/>
      <c r="H83" s="7"/>
      <c r="I83" s="7"/>
      <c r="J83" s="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9.5" customHeight="1">
      <c r="A84" s="7"/>
      <c r="B84" s="30" t="s">
        <v>9032</v>
      </c>
      <c r="C84" s="34" t="s">
        <v>7467</v>
      </c>
      <c r="D84" s="34" t="s">
        <v>9033</v>
      </c>
      <c r="E84" s="13"/>
      <c r="F84" s="7"/>
      <c r="G84" s="7"/>
      <c r="H84" s="7"/>
      <c r="I84" s="7"/>
      <c r="J84" s="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9.5" customHeight="1">
      <c r="A85" s="7"/>
      <c r="B85" s="30"/>
      <c r="C85" s="34" t="s">
        <v>7467</v>
      </c>
      <c r="D85" s="34" t="s">
        <v>9034</v>
      </c>
      <c r="E85" s="13"/>
      <c r="F85" s="7"/>
      <c r="G85" s="7"/>
      <c r="H85" s="7"/>
      <c r="I85" s="7"/>
      <c r="J85" s="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9.5" customHeight="1">
      <c r="A86" s="7"/>
      <c r="B86" s="30"/>
      <c r="C86" s="34" t="s">
        <v>7467</v>
      </c>
      <c r="D86" s="34" t="s">
        <v>9035</v>
      </c>
      <c r="E86" s="13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9.5" customHeight="1">
      <c r="A87" s="7"/>
      <c r="B87" s="219" t="s">
        <v>8990</v>
      </c>
      <c r="C87" s="183"/>
      <c r="D87" s="183"/>
      <c r="E87" s="181"/>
      <c r="F87" s="7"/>
      <c r="G87" s="7"/>
      <c r="H87" s="7"/>
      <c r="I87" s="7"/>
      <c r="J87" s="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9.5" customHeight="1">
      <c r="A88" s="7"/>
      <c r="B88" s="81" t="s">
        <v>6025</v>
      </c>
      <c r="C88" s="81" t="s">
        <v>8176</v>
      </c>
      <c r="D88" s="81" t="s">
        <v>9013</v>
      </c>
      <c r="E88" s="81" t="s">
        <v>9014</v>
      </c>
      <c r="F88" s="7"/>
      <c r="G88" s="7"/>
      <c r="H88" s="7"/>
      <c r="I88" s="9"/>
      <c r="J88" s="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9.5" customHeight="1">
      <c r="A89" s="7"/>
      <c r="B89" s="30" t="s">
        <v>9036</v>
      </c>
      <c r="C89" s="34" t="s">
        <v>7467</v>
      </c>
      <c r="D89" s="34" t="s">
        <v>9037</v>
      </c>
      <c r="E89" s="13"/>
      <c r="F89" s="7"/>
      <c r="G89" s="7"/>
      <c r="H89" s="7"/>
      <c r="I89" s="7"/>
      <c r="J89" s="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9.5" customHeight="1">
      <c r="A90" s="7"/>
      <c r="B90" s="30"/>
      <c r="C90" s="34" t="s">
        <v>7467</v>
      </c>
      <c r="D90" s="34" t="s">
        <v>9038</v>
      </c>
      <c r="E90" s="13"/>
      <c r="F90" s="7"/>
      <c r="G90" s="7"/>
      <c r="H90" s="7"/>
      <c r="I90" s="7"/>
      <c r="J90" s="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9.5" customHeight="1">
      <c r="A91" s="7"/>
      <c r="B91" s="30"/>
      <c r="C91" s="34" t="s">
        <v>7467</v>
      </c>
      <c r="D91" s="34" t="s">
        <v>9039</v>
      </c>
      <c r="E91" s="13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9.5" customHeight="1">
      <c r="A92" s="7"/>
      <c r="B92" s="219" t="s">
        <v>8997</v>
      </c>
      <c r="C92" s="183"/>
      <c r="D92" s="183"/>
      <c r="E92" s="181"/>
      <c r="F92" s="7"/>
      <c r="G92" s="7"/>
      <c r="H92" s="7"/>
      <c r="I92" s="7"/>
      <c r="J92" s="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9.5" customHeight="1">
      <c r="A93" s="7"/>
      <c r="B93" s="81" t="s">
        <v>6025</v>
      </c>
      <c r="C93" s="81" t="s">
        <v>8176</v>
      </c>
      <c r="D93" s="81" t="s">
        <v>9013</v>
      </c>
      <c r="E93" s="81" t="s">
        <v>9014</v>
      </c>
      <c r="F93" s="7"/>
      <c r="G93" s="7"/>
      <c r="H93" s="7"/>
      <c r="I93" s="7"/>
      <c r="J93" s="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9.5" customHeight="1">
      <c r="A94" s="7"/>
      <c r="B94" s="30" t="s">
        <v>9040</v>
      </c>
      <c r="C94" s="34" t="s">
        <v>7467</v>
      </c>
      <c r="D94" s="34" t="s">
        <v>9041</v>
      </c>
      <c r="E94" s="13"/>
      <c r="F94" s="7"/>
      <c r="G94" s="7"/>
      <c r="H94" s="7"/>
      <c r="I94" s="7"/>
      <c r="J94" s="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9.5" customHeight="1">
      <c r="A95" s="7"/>
      <c r="B95" s="30"/>
      <c r="C95" s="34" t="s">
        <v>7467</v>
      </c>
      <c r="D95" s="34" t="s">
        <v>9042</v>
      </c>
      <c r="E95" s="13"/>
      <c r="F95" s="7"/>
      <c r="G95" s="7"/>
      <c r="H95" s="7"/>
      <c r="I95" s="7"/>
      <c r="J95" s="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9.5" customHeight="1">
      <c r="A96" s="7"/>
      <c r="B96" s="30"/>
      <c r="C96" s="34" t="s">
        <v>7467</v>
      </c>
      <c r="D96" s="34" t="s">
        <v>9043</v>
      </c>
      <c r="E96" s="13"/>
      <c r="F96" s="7"/>
      <c r="G96" s="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9.5" customHeight="1">
      <c r="A97" s="7"/>
      <c r="B97" s="30"/>
      <c r="C97" s="34" t="s">
        <v>7467</v>
      </c>
      <c r="D97" s="34" t="s">
        <v>9044</v>
      </c>
      <c r="E97" s="13"/>
      <c r="F97" s="7"/>
      <c r="G97" s="9"/>
      <c r="H97" s="7"/>
      <c r="I97" s="7"/>
      <c r="J97" s="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9.5" customHeight="1">
      <c r="A98" s="7"/>
      <c r="B98" s="30"/>
      <c r="C98" s="34" t="s">
        <v>7467</v>
      </c>
      <c r="D98" s="34" t="s">
        <v>9045</v>
      </c>
      <c r="E98" s="13"/>
      <c r="F98" s="7"/>
      <c r="G98" s="9"/>
      <c r="H98" s="7"/>
      <c r="I98" s="7"/>
      <c r="J98" s="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9.5" customHeight="1">
      <c r="A99" s="7"/>
      <c r="B99" s="30"/>
      <c r="C99" s="34" t="s">
        <v>7467</v>
      </c>
      <c r="D99" s="34" t="s">
        <v>9046</v>
      </c>
      <c r="E99" s="13"/>
      <c r="F99" s="7"/>
      <c r="G99" s="9"/>
      <c r="H99" s="7"/>
      <c r="I99" s="9"/>
      <c r="J99" s="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9.5" customHeight="1">
      <c r="A100" s="7"/>
      <c r="B100" s="30"/>
      <c r="C100" s="34" t="s">
        <v>7467</v>
      </c>
      <c r="D100" s="34" t="s">
        <v>9047</v>
      </c>
      <c r="E100" s="13"/>
      <c r="F100" s="7"/>
      <c r="G100" s="9"/>
      <c r="H100" s="7"/>
      <c r="I100" s="9"/>
      <c r="J100" s="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9.5" customHeight="1">
      <c r="A101" s="7"/>
      <c r="B101" s="30"/>
      <c r="C101" s="34" t="s">
        <v>7467</v>
      </c>
      <c r="D101" s="34" t="s">
        <v>9048</v>
      </c>
      <c r="E101" s="13"/>
      <c r="F101" s="7"/>
      <c r="G101" s="9"/>
      <c r="H101" s="7"/>
      <c r="I101" s="9"/>
      <c r="J101" s="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9.5" customHeight="1">
      <c r="A102" s="7"/>
      <c r="B102" s="30"/>
      <c r="C102" s="34" t="s">
        <v>7467</v>
      </c>
      <c r="D102" s="34" t="s">
        <v>9049</v>
      </c>
      <c r="E102" s="13"/>
      <c r="F102" s="7"/>
      <c r="G102" s="9"/>
      <c r="H102" s="7"/>
      <c r="I102" s="9"/>
      <c r="J102" s="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9.5" customHeight="1">
      <c r="A103" s="7"/>
      <c r="B103" s="30"/>
      <c r="C103" s="34" t="s">
        <v>7467</v>
      </c>
      <c r="D103" s="34" t="s">
        <v>9050</v>
      </c>
      <c r="E103" s="13"/>
      <c r="F103" s="7"/>
      <c r="G103" s="9"/>
      <c r="H103" s="7"/>
      <c r="I103" s="9"/>
      <c r="J103" s="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9.5" customHeight="1">
      <c r="A104" s="7"/>
      <c r="B104" s="30"/>
      <c r="C104" s="34" t="s">
        <v>7467</v>
      </c>
      <c r="D104" s="34" t="s">
        <v>9051</v>
      </c>
      <c r="E104" s="13"/>
      <c r="F104" s="7"/>
      <c r="G104" s="9"/>
      <c r="H104" s="7"/>
      <c r="I104" s="9"/>
      <c r="J104" s="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9.5" customHeight="1">
      <c r="A105" s="7"/>
      <c r="B105" s="30"/>
      <c r="C105" s="34" t="s">
        <v>7467</v>
      </c>
      <c r="D105" s="34" t="s">
        <v>9052</v>
      </c>
      <c r="E105" s="13"/>
      <c r="F105" s="7"/>
      <c r="G105" s="9"/>
      <c r="H105" s="7"/>
      <c r="I105" s="9"/>
      <c r="J105" s="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9.5" customHeight="1">
      <c r="A106" s="7"/>
      <c r="B106" s="7"/>
      <c r="C106" s="7"/>
      <c r="D106" s="7"/>
      <c r="E106" s="7"/>
      <c r="F106" s="7"/>
      <c r="G106" s="9"/>
      <c r="H106" s="7"/>
      <c r="I106" s="9"/>
      <c r="J106" s="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9.5" customHeight="1">
      <c r="A107" s="7"/>
      <c r="B107" s="7"/>
      <c r="C107" s="7"/>
      <c r="D107" s="7"/>
      <c r="E107" s="7"/>
      <c r="F107" s="7"/>
      <c r="G107" s="9"/>
      <c r="H107" s="7"/>
      <c r="I107" s="9"/>
      <c r="J107" s="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9.5" customHeight="1">
      <c r="A108" s="7"/>
      <c r="B108" s="7"/>
      <c r="C108" s="7"/>
      <c r="D108" s="7"/>
      <c r="E108" s="7"/>
      <c r="F108" s="7"/>
      <c r="G108" s="7"/>
      <c r="H108" s="7"/>
      <c r="I108" s="9"/>
      <c r="J108" s="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9.5" customHeight="1">
      <c r="A109" s="7"/>
      <c r="B109" s="7"/>
      <c r="C109" s="7"/>
      <c r="D109" s="7"/>
      <c r="E109" s="7"/>
      <c r="F109" s="7"/>
      <c r="G109" s="7"/>
      <c r="H109" s="7"/>
      <c r="I109" s="9"/>
      <c r="J109" s="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9.5" customHeight="1">
      <c r="A110" s="7"/>
      <c r="B110" s="7"/>
      <c r="C110" s="7"/>
      <c r="D110" s="7"/>
      <c r="E110" s="7"/>
      <c r="F110" s="7"/>
      <c r="G110" s="7"/>
      <c r="H110" s="7"/>
      <c r="I110" s="9"/>
      <c r="J110" s="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9.5" customHeight="1">
      <c r="A111" s="7"/>
      <c r="B111" s="7"/>
      <c r="C111" s="7"/>
      <c r="D111" s="7"/>
      <c r="E111" s="7"/>
      <c r="F111" s="7"/>
      <c r="G111" s="7"/>
      <c r="H111" s="7"/>
      <c r="I111" s="7"/>
      <c r="J111" s="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9.5" customHeight="1">
      <c r="A112" s="7"/>
      <c r="B112" s="7"/>
      <c r="C112" s="7"/>
      <c r="D112" s="7"/>
      <c r="E112" s="7"/>
      <c r="F112" s="7"/>
      <c r="G112" s="7"/>
      <c r="H112" s="7"/>
      <c r="I112" s="7"/>
      <c r="J112" s="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6">
      <c r="A113" s="7"/>
      <c r="B113" s="7"/>
      <c r="C113" s="7"/>
      <c r="D113" s="7"/>
      <c r="E113" s="7"/>
      <c r="F113" s="7"/>
      <c r="G113" s="7"/>
      <c r="H113" s="7"/>
      <c r="I113" s="7"/>
      <c r="J113" s="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6">
      <c r="A114" s="7"/>
      <c r="B114" s="7"/>
      <c r="C114" s="7"/>
      <c r="D114" s="7"/>
      <c r="E114" s="7"/>
      <c r="F114" s="7"/>
      <c r="G114" s="7"/>
      <c r="H114" s="7"/>
      <c r="I114" s="7"/>
      <c r="J114" s="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6">
      <c r="A115" s="7"/>
      <c r="B115" s="7"/>
      <c r="C115" s="7"/>
      <c r="D115" s="7"/>
      <c r="E115" s="7"/>
      <c r="F115" s="7"/>
      <c r="G115" s="7"/>
      <c r="H115" s="7"/>
      <c r="I115" s="7"/>
      <c r="J115" s="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6">
      <c r="A116" s="7"/>
      <c r="B116" s="7"/>
      <c r="C116" s="7"/>
      <c r="D116" s="7"/>
      <c r="E116" s="7"/>
      <c r="F116" s="7"/>
      <c r="G116" s="7"/>
      <c r="H116" s="7"/>
      <c r="I116" s="7"/>
      <c r="J116" s="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6">
      <c r="A117" s="7"/>
      <c r="B117" s="7"/>
      <c r="C117" s="7"/>
      <c r="D117" s="7"/>
      <c r="E117" s="7"/>
      <c r="F117" s="7"/>
      <c r="G117" s="7"/>
      <c r="H117" s="7"/>
      <c r="I117" s="7"/>
      <c r="J117" s="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6">
      <c r="A118" s="7"/>
      <c r="B118" s="7"/>
      <c r="C118" s="7"/>
      <c r="D118" s="7"/>
      <c r="E118" s="7"/>
      <c r="F118" s="7"/>
      <c r="G118" s="7"/>
      <c r="H118" s="7"/>
      <c r="I118" s="7"/>
      <c r="J118" s="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6">
      <c r="A119" s="7"/>
      <c r="B119" s="7"/>
      <c r="C119" s="7"/>
      <c r="D119" s="7"/>
      <c r="E119" s="7"/>
      <c r="F119" s="7"/>
      <c r="G119" s="7"/>
      <c r="H119" s="7"/>
      <c r="I119" s="7"/>
      <c r="J119" s="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6">
      <c r="A120" s="7"/>
      <c r="B120" s="7"/>
      <c r="C120" s="7"/>
      <c r="D120" s="7"/>
      <c r="E120" s="7"/>
      <c r="F120" s="7"/>
      <c r="G120" s="7"/>
      <c r="H120" s="7"/>
      <c r="I120" s="7"/>
      <c r="J120" s="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6">
      <c r="A121" s="7"/>
      <c r="B121" s="7"/>
      <c r="C121" s="7"/>
      <c r="D121" s="7"/>
      <c r="E121" s="7"/>
      <c r="F121" s="7"/>
      <c r="G121" s="7"/>
      <c r="H121" s="7"/>
      <c r="I121" s="7"/>
      <c r="J121" s="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6">
      <c r="A122" s="7"/>
      <c r="B122" s="7"/>
      <c r="C122" s="7"/>
      <c r="D122" s="7"/>
      <c r="E122" s="7"/>
      <c r="F122" s="7"/>
      <c r="G122" s="7"/>
      <c r="H122" s="7"/>
      <c r="I122" s="7"/>
      <c r="J122" s="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6">
      <c r="A123" s="7"/>
      <c r="B123" s="7"/>
      <c r="C123" s="7"/>
      <c r="D123" s="7"/>
      <c r="E123" s="7"/>
      <c r="F123" s="7"/>
      <c r="G123" s="7"/>
      <c r="H123" s="7"/>
      <c r="I123" s="7"/>
      <c r="J123" s="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6">
      <c r="A124" s="7"/>
      <c r="B124" s="7"/>
      <c r="C124" s="7"/>
      <c r="D124" s="7"/>
      <c r="E124" s="7"/>
      <c r="F124" s="7"/>
      <c r="G124" s="7"/>
      <c r="H124" s="7"/>
      <c r="I124" s="7"/>
      <c r="J124" s="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6">
      <c r="A125" s="7"/>
      <c r="B125" s="7"/>
      <c r="C125" s="7"/>
      <c r="D125" s="7"/>
      <c r="E125" s="7"/>
      <c r="F125" s="7"/>
      <c r="G125" s="7"/>
      <c r="H125" s="7"/>
      <c r="I125" s="7"/>
      <c r="J125" s="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6">
      <c r="A126" s="7"/>
      <c r="B126" s="7"/>
      <c r="C126" s="7"/>
      <c r="D126" s="7"/>
      <c r="E126" s="7"/>
      <c r="F126" s="7"/>
      <c r="G126" s="7"/>
      <c r="H126" s="7"/>
      <c r="I126" s="7"/>
      <c r="J126" s="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6">
      <c r="A127" s="7"/>
      <c r="B127" s="7"/>
      <c r="C127" s="7"/>
      <c r="D127" s="7"/>
      <c r="E127" s="7"/>
      <c r="F127" s="7"/>
      <c r="G127" s="7"/>
      <c r="H127" s="7"/>
      <c r="I127" s="7"/>
      <c r="J127" s="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6">
      <c r="A128" s="7"/>
      <c r="B128" s="7"/>
      <c r="C128" s="7"/>
      <c r="D128" s="7"/>
      <c r="E128" s="7"/>
      <c r="F128" s="7"/>
      <c r="G128" s="7"/>
      <c r="H128" s="7"/>
      <c r="I128" s="7"/>
      <c r="J128" s="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6">
      <c r="A129" s="7"/>
      <c r="B129" s="7"/>
      <c r="C129" s="7"/>
      <c r="D129" s="7"/>
      <c r="E129" s="7"/>
      <c r="F129" s="7"/>
      <c r="G129" s="7"/>
      <c r="H129" s="7"/>
      <c r="I129" s="7"/>
      <c r="J129" s="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6">
      <c r="A130" s="7"/>
      <c r="B130" s="7"/>
      <c r="C130" s="7"/>
      <c r="D130" s="7"/>
      <c r="E130" s="7"/>
      <c r="F130" s="7"/>
      <c r="G130" s="7"/>
      <c r="H130" s="7"/>
      <c r="I130" s="7"/>
      <c r="J130" s="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6">
      <c r="A131" s="7"/>
      <c r="B131" s="7"/>
      <c r="C131" s="7"/>
      <c r="D131" s="7"/>
      <c r="E131" s="7"/>
      <c r="F131" s="7"/>
      <c r="G131" s="7"/>
      <c r="H131" s="7"/>
      <c r="I131" s="7"/>
      <c r="J131" s="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6">
      <c r="A132" s="7"/>
      <c r="B132" s="7"/>
      <c r="C132" s="7"/>
      <c r="D132" s="7"/>
      <c r="E132" s="7"/>
      <c r="F132" s="7"/>
      <c r="G132" s="7"/>
      <c r="H132" s="7"/>
      <c r="I132" s="7"/>
      <c r="J132" s="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6">
      <c r="A133" s="7"/>
      <c r="B133" s="7"/>
      <c r="C133" s="7"/>
      <c r="D133" s="7"/>
      <c r="E133" s="7"/>
      <c r="F133" s="7"/>
      <c r="G133" s="7"/>
      <c r="H133" s="7"/>
      <c r="I133" s="7"/>
      <c r="J133" s="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6">
      <c r="A134" s="7"/>
      <c r="B134" s="7"/>
      <c r="C134" s="7"/>
      <c r="D134" s="7"/>
      <c r="E134" s="7"/>
      <c r="F134" s="7"/>
      <c r="G134" s="7"/>
      <c r="H134" s="7"/>
      <c r="I134" s="7"/>
      <c r="J134" s="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6">
      <c r="A135" s="7"/>
      <c r="B135" s="7"/>
      <c r="C135" s="7"/>
      <c r="D135" s="7"/>
      <c r="E135" s="7"/>
      <c r="F135" s="7"/>
      <c r="G135" s="7"/>
      <c r="H135" s="7"/>
      <c r="I135" s="7"/>
      <c r="J135" s="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6">
      <c r="A136" s="7"/>
      <c r="B136" s="7"/>
      <c r="C136" s="7"/>
      <c r="D136" s="7"/>
      <c r="E136" s="7"/>
      <c r="F136" s="7"/>
      <c r="G136" s="7"/>
      <c r="H136" s="7"/>
      <c r="I136" s="7"/>
      <c r="J136" s="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6">
      <c r="A137" s="7"/>
      <c r="B137" s="7"/>
      <c r="C137" s="7"/>
      <c r="D137" s="7"/>
      <c r="E137" s="7"/>
      <c r="F137" s="7"/>
      <c r="G137" s="7"/>
      <c r="H137" s="7"/>
      <c r="I137" s="7"/>
      <c r="J137" s="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6">
      <c r="A138" s="7"/>
      <c r="B138" s="7"/>
      <c r="C138" s="7"/>
      <c r="D138" s="7"/>
      <c r="E138" s="7"/>
      <c r="F138" s="7"/>
      <c r="G138" s="7"/>
      <c r="H138" s="7"/>
      <c r="I138" s="7"/>
      <c r="J138" s="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6">
      <c r="A139" s="7"/>
      <c r="B139" s="7"/>
      <c r="C139" s="7"/>
      <c r="D139" s="7"/>
      <c r="E139" s="7"/>
      <c r="F139" s="7"/>
      <c r="G139" s="7"/>
      <c r="H139" s="7"/>
      <c r="I139" s="7"/>
      <c r="J139" s="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6">
      <c r="A140" s="7"/>
      <c r="B140" s="7"/>
      <c r="C140" s="7"/>
      <c r="D140" s="7"/>
      <c r="E140" s="7"/>
      <c r="F140" s="7"/>
      <c r="G140" s="7"/>
      <c r="H140" s="7"/>
      <c r="I140" s="7"/>
      <c r="J140" s="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6">
      <c r="A141" s="7"/>
      <c r="B141" s="7"/>
      <c r="C141" s="7"/>
      <c r="D141" s="7"/>
      <c r="E141" s="7"/>
      <c r="F141" s="7"/>
      <c r="G141" s="7"/>
      <c r="H141" s="7"/>
      <c r="I141" s="7"/>
      <c r="J141" s="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6">
      <c r="A142" s="7"/>
      <c r="B142" s="7"/>
      <c r="C142" s="7"/>
      <c r="D142" s="7"/>
      <c r="E142" s="7"/>
      <c r="F142" s="7"/>
      <c r="G142" s="7"/>
      <c r="H142" s="7"/>
      <c r="I142" s="7"/>
      <c r="J142" s="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6">
      <c r="A143" s="7"/>
      <c r="B143" s="7"/>
      <c r="C143" s="7"/>
      <c r="D143" s="7"/>
      <c r="E143" s="7"/>
      <c r="F143" s="7"/>
      <c r="G143" s="7"/>
      <c r="H143" s="7"/>
      <c r="I143" s="7"/>
      <c r="J143" s="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6">
      <c r="A144" s="7"/>
      <c r="B144" s="7"/>
      <c r="C144" s="7"/>
      <c r="D144" s="7"/>
      <c r="E144" s="7"/>
      <c r="F144" s="7"/>
      <c r="G144" s="7"/>
      <c r="H144" s="7"/>
      <c r="I144" s="7"/>
      <c r="J144" s="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6">
      <c r="A145" s="7"/>
      <c r="B145" s="7"/>
      <c r="C145" s="7"/>
      <c r="D145" s="7"/>
      <c r="E145" s="7"/>
      <c r="F145" s="7"/>
      <c r="G145" s="7"/>
      <c r="H145" s="7"/>
      <c r="I145" s="7"/>
      <c r="J145" s="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6">
      <c r="A146" s="7"/>
      <c r="B146" s="7"/>
      <c r="C146" s="7"/>
      <c r="D146" s="7"/>
      <c r="E146" s="7"/>
      <c r="F146" s="7"/>
      <c r="G146" s="7"/>
      <c r="H146" s="7"/>
      <c r="I146" s="7"/>
      <c r="J146" s="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6">
      <c r="A147" s="7"/>
      <c r="B147" s="7"/>
      <c r="C147" s="7"/>
      <c r="D147" s="7"/>
      <c r="E147" s="7"/>
      <c r="F147" s="7"/>
      <c r="G147" s="7"/>
      <c r="H147" s="7"/>
      <c r="I147" s="7"/>
      <c r="J147" s="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6">
      <c r="A148" s="7"/>
      <c r="B148" s="7"/>
      <c r="C148" s="7"/>
      <c r="D148" s="7"/>
      <c r="E148" s="7"/>
      <c r="F148" s="7"/>
      <c r="G148" s="7"/>
      <c r="H148" s="7"/>
      <c r="I148" s="7"/>
      <c r="J148" s="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6">
      <c r="A149" s="7"/>
      <c r="B149" s="7"/>
      <c r="C149" s="7"/>
      <c r="D149" s="7"/>
      <c r="E149" s="7"/>
      <c r="F149" s="7"/>
      <c r="G149" s="7"/>
      <c r="H149" s="7"/>
      <c r="I149" s="7"/>
      <c r="J149" s="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6">
      <c r="A150" s="7"/>
      <c r="B150" s="7"/>
      <c r="C150" s="7"/>
      <c r="D150" s="7"/>
      <c r="E150" s="7"/>
      <c r="F150" s="7"/>
      <c r="G150" s="7"/>
      <c r="H150" s="7"/>
      <c r="I150" s="7"/>
      <c r="J150" s="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6">
      <c r="A151" s="7"/>
      <c r="B151" s="7"/>
      <c r="C151" s="7"/>
      <c r="D151" s="7"/>
      <c r="E151" s="7"/>
      <c r="F151" s="7"/>
      <c r="G151" s="7"/>
      <c r="H151" s="7"/>
      <c r="I151" s="7"/>
      <c r="J151" s="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6">
      <c r="A152" s="7"/>
      <c r="B152" s="7"/>
      <c r="C152" s="7"/>
      <c r="D152" s="7"/>
      <c r="E152" s="7"/>
      <c r="F152" s="7"/>
      <c r="G152" s="7"/>
      <c r="H152" s="7"/>
      <c r="I152" s="7"/>
      <c r="J152" s="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6">
      <c r="A153" s="7"/>
      <c r="B153" s="7"/>
      <c r="C153" s="7"/>
      <c r="D153" s="7"/>
      <c r="E153" s="7"/>
      <c r="F153" s="7"/>
      <c r="G153" s="7"/>
      <c r="H153" s="7"/>
      <c r="I153" s="7"/>
      <c r="J153" s="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6">
      <c r="A154" s="7"/>
      <c r="B154" s="7"/>
      <c r="C154" s="7"/>
      <c r="D154" s="7"/>
      <c r="E154" s="7"/>
      <c r="F154" s="7"/>
      <c r="G154" s="7"/>
      <c r="H154" s="7"/>
      <c r="I154" s="7"/>
      <c r="J154" s="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6">
      <c r="A155" s="7"/>
      <c r="B155" s="7"/>
      <c r="C155" s="7"/>
      <c r="D155" s="7"/>
      <c r="E155" s="7"/>
      <c r="F155" s="7"/>
      <c r="G155" s="7"/>
      <c r="H155" s="7"/>
      <c r="I155" s="7"/>
      <c r="J155" s="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6">
      <c r="A156" s="7"/>
      <c r="B156" s="7"/>
      <c r="C156" s="7"/>
      <c r="D156" s="7"/>
      <c r="E156" s="7"/>
      <c r="F156" s="7"/>
      <c r="G156" s="7"/>
      <c r="H156" s="7"/>
      <c r="I156" s="7"/>
      <c r="J156" s="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6">
      <c r="A157" s="7"/>
      <c r="B157" s="7"/>
      <c r="C157" s="7"/>
      <c r="D157" s="7"/>
      <c r="E157" s="7"/>
      <c r="F157" s="7"/>
      <c r="G157" s="7"/>
      <c r="H157" s="7"/>
      <c r="I157" s="7"/>
      <c r="J157" s="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6">
      <c r="A158" s="7"/>
      <c r="B158" s="7"/>
      <c r="C158" s="7"/>
      <c r="D158" s="7"/>
      <c r="E158" s="7"/>
      <c r="F158" s="7"/>
      <c r="G158" s="7"/>
      <c r="H158" s="7"/>
      <c r="I158" s="7"/>
      <c r="J158" s="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6">
      <c r="A159" s="7"/>
      <c r="B159" s="7"/>
      <c r="C159" s="7"/>
      <c r="D159" s="7"/>
      <c r="E159" s="7"/>
      <c r="F159" s="7"/>
      <c r="G159" s="7"/>
      <c r="H159" s="7"/>
      <c r="I159" s="7"/>
      <c r="J159" s="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6">
      <c r="A160" s="7"/>
      <c r="B160" s="7"/>
      <c r="C160" s="7"/>
      <c r="D160" s="7"/>
      <c r="E160" s="7"/>
      <c r="F160" s="7"/>
      <c r="G160" s="7"/>
      <c r="H160" s="7"/>
      <c r="I160" s="7"/>
      <c r="J160" s="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6">
      <c r="A161" s="7"/>
      <c r="B161" s="7"/>
      <c r="C161" s="7"/>
      <c r="D161" s="7"/>
      <c r="E161" s="7"/>
      <c r="F161" s="7"/>
      <c r="G161" s="7"/>
      <c r="H161" s="7"/>
      <c r="I161" s="7"/>
      <c r="J161" s="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6">
      <c r="A162" s="7"/>
      <c r="B162" s="7"/>
      <c r="C162" s="7"/>
      <c r="D162" s="7"/>
      <c r="E162" s="7"/>
      <c r="F162" s="7"/>
      <c r="G162" s="7"/>
      <c r="H162" s="7"/>
      <c r="I162" s="7"/>
      <c r="J162" s="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6">
      <c r="A163" s="7"/>
      <c r="B163" s="7"/>
      <c r="C163" s="7"/>
      <c r="D163" s="7"/>
      <c r="E163" s="7"/>
      <c r="F163" s="7"/>
      <c r="G163" s="7"/>
      <c r="H163" s="7"/>
      <c r="I163" s="7"/>
      <c r="J163" s="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6">
      <c r="A164" s="7"/>
      <c r="B164" s="7"/>
      <c r="C164" s="7"/>
      <c r="D164" s="7"/>
      <c r="E164" s="7"/>
      <c r="F164" s="7"/>
      <c r="G164" s="7"/>
      <c r="H164" s="7"/>
      <c r="I164" s="7"/>
      <c r="J164" s="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6">
      <c r="A165" s="7"/>
      <c r="B165" s="7"/>
      <c r="C165" s="7"/>
      <c r="D165" s="7"/>
      <c r="E165" s="7"/>
      <c r="F165" s="7"/>
      <c r="G165" s="7"/>
      <c r="H165" s="7"/>
      <c r="I165" s="7"/>
      <c r="J165" s="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6">
      <c r="A166" s="7"/>
      <c r="B166" s="7"/>
      <c r="C166" s="7"/>
      <c r="D166" s="7"/>
      <c r="E166" s="7"/>
      <c r="F166" s="7"/>
      <c r="G166" s="7"/>
      <c r="H166" s="7"/>
      <c r="I166" s="7"/>
      <c r="J166" s="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6">
      <c r="A167" s="7"/>
      <c r="B167" s="7"/>
      <c r="C167" s="7"/>
      <c r="D167" s="7"/>
      <c r="E167" s="7"/>
      <c r="F167" s="7"/>
      <c r="G167" s="7"/>
      <c r="H167" s="7"/>
      <c r="I167" s="7"/>
      <c r="J167" s="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6">
      <c r="A168" s="7"/>
      <c r="B168" s="7"/>
      <c r="C168" s="7"/>
      <c r="D168" s="7"/>
      <c r="E168" s="7"/>
      <c r="F168" s="7"/>
      <c r="G168" s="7"/>
      <c r="H168" s="7"/>
      <c r="I168" s="7"/>
      <c r="J168" s="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6">
      <c r="A169" s="7"/>
      <c r="B169" s="7"/>
      <c r="C169" s="7"/>
      <c r="D169" s="7"/>
      <c r="E169" s="7"/>
      <c r="F169" s="7"/>
      <c r="G169" s="7"/>
      <c r="H169" s="7"/>
      <c r="I169" s="7"/>
      <c r="J169" s="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6">
      <c r="A170" s="7"/>
      <c r="B170" s="7"/>
      <c r="C170" s="7"/>
      <c r="D170" s="7"/>
      <c r="E170" s="7"/>
      <c r="F170" s="7"/>
      <c r="G170" s="7"/>
      <c r="H170" s="7"/>
      <c r="I170" s="7"/>
      <c r="J170" s="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6">
      <c r="A171" s="7"/>
      <c r="B171" s="7"/>
      <c r="C171" s="7"/>
      <c r="D171" s="7"/>
      <c r="E171" s="7"/>
      <c r="F171" s="7"/>
      <c r="G171" s="7"/>
      <c r="H171" s="7"/>
      <c r="I171" s="7"/>
      <c r="J171" s="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6">
      <c r="A172" s="7"/>
      <c r="B172" s="7"/>
      <c r="C172" s="7"/>
      <c r="D172" s="7"/>
      <c r="E172" s="7"/>
      <c r="F172" s="7"/>
      <c r="G172" s="7"/>
      <c r="H172" s="7"/>
      <c r="I172" s="7"/>
      <c r="J172" s="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6">
      <c r="A173" s="7"/>
      <c r="B173" s="7"/>
      <c r="C173" s="7"/>
      <c r="D173" s="7"/>
      <c r="E173" s="7"/>
      <c r="F173" s="7"/>
      <c r="G173" s="7"/>
      <c r="H173" s="7"/>
      <c r="I173" s="7"/>
      <c r="J173" s="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6">
      <c r="A174" s="7"/>
      <c r="B174" s="7"/>
      <c r="C174" s="7"/>
      <c r="D174" s="7"/>
      <c r="E174" s="7"/>
      <c r="F174" s="7"/>
      <c r="G174" s="7"/>
      <c r="H174" s="7"/>
      <c r="I174" s="7"/>
      <c r="J174" s="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6">
      <c r="A175" s="7"/>
      <c r="B175" s="7"/>
      <c r="C175" s="7"/>
      <c r="D175" s="7"/>
      <c r="E175" s="7"/>
      <c r="F175" s="7"/>
      <c r="G175" s="7"/>
      <c r="H175" s="7"/>
      <c r="I175" s="7"/>
      <c r="J175" s="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6">
      <c r="A176" s="7"/>
      <c r="B176" s="7"/>
      <c r="C176" s="7"/>
      <c r="D176" s="7"/>
      <c r="E176" s="7"/>
      <c r="F176" s="7"/>
      <c r="G176" s="7"/>
      <c r="H176" s="7"/>
      <c r="I176" s="7"/>
      <c r="J176" s="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6">
      <c r="A177" s="7"/>
      <c r="B177" s="7"/>
      <c r="C177" s="7"/>
      <c r="D177" s="7"/>
      <c r="E177" s="7"/>
      <c r="F177" s="7"/>
      <c r="G177" s="7"/>
      <c r="H177" s="7"/>
      <c r="I177" s="7"/>
      <c r="J177" s="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6">
      <c r="A178" s="7"/>
      <c r="B178" s="7"/>
      <c r="C178" s="7"/>
      <c r="D178" s="7"/>
      <c r="E178" s="7"/>
      <c r="F178" s="7"/>
      <c r="G178" s="7"/>
      <c r="H178" s="7"/>
      <c r="I178" s="7"/>
      <c r="J178" s="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6">
      <c r="A179" s="7"/>
      <c r="B179" s="7"/>
      <c r="C179" s="7"/>
      <c r="D179" s="7"/>
      <c r="E179" s="7"/>
      <c r="F179" s="7"/>
      <c r="G179" s="7"/>
      <c r="H179" s="7"/>
      <c r="I179" s="7"/>
      <c r="J179" s="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6">
      <c r="A180" s="7"/>
      <c r="B180" s="7"/>
      <c r="C180" s="7"/>
      <c r="D180" s="7"/>
      <c r="E180" s="7"/>
      <c r="F180" s="7"/>
      <c r="G180" s="7"/>
      <c r="H180" s="7"/>
      <c r="I180" s="7"/>
      <c r="J180" s="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6">
      <c r="A181" s="7"/>
      <c r="B181" s="7"/>
      <c r="C181" s="7"/>
      <c r="D181" s="7"/>
      <c r="E181" s="7"/>
      <c r="F181" s="7"/>
      <c r="G181" s="7"/>
      <c r="H181" s="7"/>
      <c r="I181" s="7"/>
      <c r="J181" s="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6">
      <c r="A182" s="7"/>
      <c r="B182" s="7"/>
      <c r="C182" s="7"/>
      <c r="D182" s="7"/>
      <c r="E182" s="7"/>
      <c r="F182" s="7"/>
      <c r="G182" s="7"/>
      <c r="H182" s="7"/>
      <c r="I182" s="7"/>
      <c r="J182" s="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6">
      <c r="A183" s="7"/>
      <c r="B183" s="7"/>
      <c r="C183" s="7"/>
      <c r="D183" s="7"/>
      <c r="E183" s="7"/>
      <c r="F183" s="7"/>
      <c r="G183" s="7"/>
      <c r="H183" s="7"/>
      <c r="I183" s="7"/>
      <c r="J183" s="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6">
      <c r="A184" s="7"/>
      <c r="B184" s="7"/>
      <c r="C184" s="7"/>
      <c r="D184" s="7"/>
      <c r="E184" s="7"/>
      <c r="F184" s="7"/>
      <c r="G184" s="7"/>
      <c r="H184" s="7"/>
      <c r="I184" s="7"/>
      <c r="J184" s="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6">
      <c r="A185" s="7"/>
      <c r="B185" s="7"/>
      <c r="C185" s="7"/>
      <c r="D185" s="7"/>
      <c r="E185" s="7"/>
      <c r="F185" s="7"/>
      <c r="G185" s="7"/>
      <c r="H185" s="7"/>
      <c r="I185" s="7"/>
      <c r="J185" s="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6">
      <c r="A186" s="7"/>
      <c r="B186" s="7"/>
      <c r="C186" s="7"/>
      <c r="D186" s="7"/>
      <c r="E186" s="7"/>
      <c r="F186" s="7"/>
      <c r="G186" s="7"/>
      <c r="H186" s="7"/>
      <c r="I186" s="7"/>
      <c r="J186" s="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6">
      <c r="A187" s="7"/>
      <c r="B187" s="7"/>
      <c r="C187" s="7"/>
      <c r="D187" s="7"/>
      <c r="E187" s="7"/>
      <c r="F187" s="7"/>
      <c r="G187" s="7"/>
      <c r="H187" s="7"/>
      <c r="I187" s="7"/>
      <c r="J187" s="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6">
      <c r="A188" s="7"/>
      <c r="B188" s="7"/>
      <c r="C188" s="7"/>
      <c r="D188" s="7"/>
      <c r="E188" s="7"/>
      <c r="F188" s="7"/>
      <c r="G188" s="7"/>
      <c r="H188" s="7"/>
      <c r="I188" s="7"/>
      <c r="J188" s="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6">
      <c r="A189" s="7"/>
      <c r="B189" s="7"/>
      <c r="C189" s="7"/>
      <c r="D189" s="7"/>
      <c r="E189" s="7"/>
      <c r="F189" s="7"/>
      <c r="G189" s="7"/>
      <c r="H189" s="7"/>
      <c r="I189" s="7"/>
      <c r="J189" s="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6">
      <c r="A190" s="7"/>
      <c r="B190" s="7"/>
      <c r="C190" s="7"/>
      <c r="D190" s="7"/>
      <c r="E190" s="7"/>
      <c r="F190" s="7"/>
      <c r="G190" s="7"/>
      <c r="H190" s="7"/>
      <c r="I190" s="7"/>
      <c r="J190" s="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6">
      <c r="A191" s="7"/>
      <c r="B191" s="7"/>
      <c r="C191" s="7"/>
      <c r="D191" s="7"/>
      <c r="E191" s="7"/>
      <c r="F191" s="7"/>
      <c r="G191" s="7"/>
      <c r="H191" s="7"/>
      <c r="I191" s="7"/>
      <c r="J191" s="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6">
      <c r="A192" s="7"/>
      <c r="B192" s="7"/>
      <c r="C192" s="7"/>
      <c r="D192" s="7"/>
      <c r="E192" s="7"/>
      <c r="F192" s="7"/>
      <c r="G192" s="7"/>
      <c r="H192" s="7"/>
      <c r="I192" s="7"/>
      <c r="J192" s="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6">
      <c r="A193" s="7"/>
      <c r="B193" s="7"/>
      <c r="C193" s="7"/>
      <c r="D193" s="7"/>
      <c r="E193" s="7"/>
      <c r="F193" s="7"/>
      <c r="G193" s="7"/>
      <c r="H193" s="7"/>
      <c r="I193" s="7"/>
      <c r="J193" s="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6">
      <c r="A194" s="7"/>
      <c r="B194" s="7"/>
      <c r="C194" s="7"/>
      <c r="D194" s="7"/>
      <c r="E194" s="7"/>
      <c r="F194" s="7"/>
      <c r="G194" s="7"/>
      <c r="H194" s="7"/>
      <c r="I194" s="7"/>
      <c r="J194" s="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6">
      <c r="A195" s="7"/>
      <c r="B195" s="7"/>
      <c r="C195" s="7"/>
      <c r="D195" s="7"/>
      <c r="E195" s="7"/>
      <c r="F195" s="7"/>
      <c r="G195" s="7"/>
      <c r="H195" s="7"/>
      <c r="I195" s="7"/>
      <c r="J195" s="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6">
      <c r="A196" s="7"/>
      <c r="B196" s="7"/>
      <c r="C196" s="7"/>
      <c r="D196" s="7"/>
      <c r="E196" s="7"/>
      <c r="F196" s="7"/>
      <c r="G196" s="7"/>
      <c r="H196" s="7"/>
      <c r="I196" s="7"/>
      <c r="J196" s="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6">
      <c r="A197" s="7"/>
      <c r="B197" s="7"/>
      <c r="C197" s="7"/>
      <c r="D197" s="7"/>
      <c r="E197" s="7"/>
      <c r="F197" s="7"/>
      <c r="G197" s="7"/>
      <c r="H197" s="7"/>
      <c r="I197" s="7"/>
      <c r="J197" s="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6">
      <c r="A198" s="7"/>
      <c r="B198" s="7"/>
      <c r="C198" s="7"/>
      <c r="D198" s="7"/>
      <c r="E198" s="7"/>
      <c r="F198" s="7"/>
      <c r="G198" s="7"/>
      <c r="H198" s="7"/>
      <c r="I198" s="7"/>
      <c r="J198" s="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6">
      <c r="A199" s="7"/>
      <c r="B199" s="7"/>
      <c r="C199" s="7"/>
      <c r="D199" s="7"/>
      <c r="E199" s="7"/>
      <c r="F199" s="7"/>
      <c r="G199" s="7"/>
      <c r="H199" s="7"/>
      <c r="I199" s="7"/>
      <c r="J199" s="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6">
      <c r="A200" s="7"/>
      <c r="B200" s="7"/>
      <c r="C200" s="7"/>
      <c r="D200" s="7"/>
      <c r="E200" s="7"/>
      <c r="F200" s="7"/>
      <c r="G200" s="7"/>
      <c r="H200" s="7"/>
      <c r="I200" s="7"/>
      <c r="J200" s="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6">
      <c r="A201" s="7"/>
      <c r="B201" s="7"/>
      <c r="C201" s="7"/>
      <c r="D201" s="7"/>
      <c r="E201" s="7"/>
      <c r="F201" s="7"/>
      <c r="G201" s="7"/>
      <c r="H201" s="7"/>
      <c r="I201" s="7"/>
      <c r="J201" s="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6">
      <c r="A202" s="7"/>
      <c r="B202" s="7"/>
      <c r="C202" s="7"/>
      <c r="D202" s="7"/>
      <c r="E202" s="7"/>
      <c r="F202" s="7"/>
      <c r="G202" s="7"/>
      <c r="H202" s="7"/>
      <c r="I202" s="7"/>
      <c r="J202" s="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6">
      <c r="A203" s="7"/>
      <c r="B203" s="7"/>
      <c r="C203" s="7"/>
      <c r="D203" s="7"/>
      <c r="E203" s="7"/>
      <c r="F203" s="7"/>
      <c r="G203" s="7"/>
      <c r="H203" s="7"/>
      <c r="I203" s="7"/>
      <c r="J203" s="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6">
      <c r="A204" s="7"/>
      <c r="B204" s="7"/>
      <c r="C204" s="7"/>
      <c r="D204" s="7"/>
      <c r="E204" s="7"/>
      <c r="F204" s="7"/>
      <c r="G204" s="7"/>
      <c r="H204" s="7"/>
      <c r="I204" s="7"/>
      <c r="J204" s="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6">
      <c r="A205" s="7"/>
      <c r="B205" s="7"/>
      <c r="C205" s="7"/>
      <c r="D205" s="7"/>
      <c r="E205" s="7"/>
      <c r="F205" s="7"/>
      <c r="G205" s="7"/>
      <c r="H205" s="7"/>
      <c r="I205" s="7"/>
      <c r="J205" s="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6">
      <c r="A206" s="7"/>
      <c r="B206" s="7"/>
      <c r="C206" s="7"/>
      <c r="D206" s="7"/>
      <c r="E206" s="7"/>
      <c r="F206" s="7"/>
      <c r="G206" s="7"/>
      <c r="H206" s="7"/>
      <c r="I206" s="7"/>
      <c r="J206" s="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6">
      <c r="A207" s="7"/>
      <c r="B207" s="7"/>
      <c r="C207" s="7"/>
      <c r="D207" s="7"/>
      <c r="E207" s="7"/>
      <c r="F207" s="7"/>
      <c r="G207" s="7"/>
      <c r="H207" s="7"/>
      <c r="I207" s="7"/>
      <c r="J207" s="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6">
      <c r="A208" s="7"/>
      <c r="B208" s="7"/>
      <c r="C208" s="7"/>
      <c r="D208" s="7"/>
      <c r="E208" s="7"/>
      <c r="F208" s="7"/>
      <c r="G208" s="7"/>
      <c r="H208" s="7"/>
      <c r="I208" s="7"/>
      <c r="J208" s="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6">
      <c r="A209" s="7"/>
      <c r="B209" s="7"/>
      <c r="C209" s="7"/>
      <c r="D209" s="7"/>
      <c r="E209" s="7"/>
      <c r="F209" s="7"/>
      <c r="G209" s="7"/>
      <c r="H209" s="7"/>
      <c r="I209" s="7"/>
      <c r="J209" s="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6">
      <c r="A210" s="7"/>
      <c r="B210" s="7"/>
      <c r="C210" s="7"/>
      <c r="D210" s="7"/>
      <c r="E210" s="7"/>
      <c r="F210" s="7"/>
      <c r="G210" s="7"/>
      <c r="H210" s="7"/>
      <c r="I210" s="7"/>
      <c r="J210" s="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6">
      <c r="A211" s="7"/>
      <c r="B211" s="7"/>
      <c r="C211" s="7"/>
      <c r="D211" s="7"/>
      <c r="E211" s="7"/>
      <c r="F211" s="7"/>
      <c r="G211" s="7"/>
      <c r="H211" s="7"/>
      <c r="I211" s="7"/>
      <c r="J211" s="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6">
      <c r="A212" s="7"/>
      <c r="B212" s="7"/>
      <c r="C212" s="7"/>
      <c r="D212" s="7"/>
      <c r="E212" s="7"/>
      <c r="F212" s="7"/>
      <c r="G212" s="7"/>
      <c r="H212" s="7"/>
      <c r="I212" s="7"/>
      <c r="J212" s="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6">
      <c r="A213" s="7"/>
      <c r="B213" s="7"/>
      <c r="C213" s="7"/>
      <c r="D213" s="7"/>
      <c r="E213" s="7"/>
      <c r="F213" s="7"/>
      <c r="G213" s="7"/>
      <c r="H213" s="7"/>
      <c r="I213" s="7"/>
      <c r="J213" s="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6">
      <c r="A214" s="7"/>
      <c r="B214" s="7"/>
      <c r="C214" s="7"/>
      <c r="D214" s="7"/>
      <c r="E214" s="7"/>
      <c r="F214" s="7"/>
      <c r="G214" s="7"/>
      <c r="H214" s="7"/>
      <c r="I214" s="7"/>
      <c r="J214" s="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6">
      <c r="A215" s="7"/>
      <c r="B215" s="7"/>
      <c r="C215" s="7"/>
      <c r="D215" s="7"/>
      <c r="E215" s="7"/>
      <c r="F215" s="7"/>
      <c r="G215" s="7"/>
      <c r="H215" s="7"/>
      <c r="I215" s="7"/>
      <c r="J215" s="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6">
      <c r="A216" s="7"/>
      <c r="B216" s="7"/>
      <c r="C216" s="7"/>
      <c r="D216" s="7"/>
      <c r="E216" s="7"/>
      <c r="F216" s="7"/>
      <c r="G216" s="7"/>
      <c r="H216" s="7"/>
      <c r="I216" s="7"/>
      <c r="J216" s="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6">
      <c r="A217" s="7"/>
      <c r="B217" s="7"/>
      <c r="C217" s="7"/>
      <c r="D217" s="7"/>
      <c r="E217" s="7"/>
      <c r="F217" s="7"/>
      <c r="G217" s="7"/>
      <c r="H217" s="7"/>
      <c r="I217" s="7"/>
      <c r="J217" s="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6">
      <c r="A218" s="7"/>
      <c r="B218" s="7"/>
      <c r="C218" s="7"/>
      <c r="D218" s="7"/>
      <c r="E218" s="7"/>
      <c r="F218" s="7"/>
      <c r="G218" s="7"/>
      <c r="H218" s="7"/>
      <c r="I218" s="7"/>
      <c r="J218" s="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6">
      <c r="A219" s="7"/>
      <c r="B219" s="7"/>
      <c r="C219" s="7"/>
      <c r="D219" s="7"/>
      <c r="E219" s="7"/>
      <c r="F219" s="7"/>
      <c r="G219" s="7"/>
      <c r="H219" s="7"/>
      <c r="I219" s="7"/>
      <c r="J219" s="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6">
      <c r="A220" s="7"/>
      <c r="B220" s="7"/>
      <c r="C220" s="7"/>
      <c r="D220" s="7"/>
      <c r="E220" s="7"/>
      <c r="F220" s="7"/>
      <c r="G220" s="7"/>
      <c r="H220" s="7"/>
      <c r="I220" s="7"/>
      <c r="J220" s="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6">
      <c r="A221" s="7"/>
      <c r="B221" s="7"/>
      <c r="C221" s="7"/>
      <c r="D221" s="7"/>
      <c r="E221" s="7"/>
      <c r="F221" s="7"/>
      <c r="G221" s="7"/>
      <c r="H221" s="7"/>
      <c r="I221" s="7"/>
      <c r="J221" s="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6">
      <c r="A222" s="7"/>
      <c r="B222" s="7"/>
      <c r="C222" s="7"/>
      <c r="D222" s="7"/>
      <c r="E222" s="7"/>
      <c r="F222" s="7"/>
      <c r="G222" s="7"/>
      <c r="H222" s="7"/>
      <c r="I222" s="7"/>
      <c r="J222" s="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6">
      <c r="A223" s="7"/>
      <c r="B223" s="7"/>
      <c r="C223" s="7"/>
      <c r="D223" s="7"/>
      <c r="E223" s="7"/>
      <c r="F223" s="7"/>
      <c r="G223" s="7"/>
      <c r="H223" s="7"/>
      <c r="I223" s="7"/>
      <c r="J223" s="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6">
      <c r="A224" s="7"/>
      <c r="B224" s="7"/>
      <c r="C224" s="7"/>
      <c r="D224" s="7"/>
      <c r="E224" s="7"/>
      <c r="F224" s="7"/>
      <c r="G224" s="7"/>
      <c r="H224" s="7"/>
      <c r="I224" s="7"/>
      <c r="J224" s="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6">
      <c r="A225" s="7"/>
      <c r="B225" s="7"/>
      <c r="C225" s="7"/>
      <c r="D225" s="7"/>
      <c r="E225" s="7"/>
      <c r="F225" s="7"/>
      <c r="G225" s="7"/>
      <c r="H225" s="7"/>
      <c r="I225" s="7"/>
      <c r="J225" s="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6">
      <c r="A226" s="7"/>
      <c r="B226" s="7"/>
      <c r="C226" s="7"/>
      <c r="D226" s="7"/>
      <c r="E226" s="7"/>
      <c r="F226" s="7"/>
      <c r="G226" s="7"/>
      <c r="H226" s="7"/>
      <c r="I226" s="7"/>
      <c r="J226" s="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6">
      <c r="A227" s="7"/>
      <c r="B227" s="7"/>
      <c r="C227" s="7"/>
      <c r="D227" s="7"/>
      <c r="E227" s="7"/>
      <c r="F227" s="7"/>
      <c r="G227" s="7"/>
      <c r="H227" s="7"/>
      <c r="I227" s="7"/>
      <c r="J227" s="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6">
      <c r="A228" s="7"/>
      <c r="B228" s="7"/>
      <c r="C228" s="7"/>
      <c r="D228" s="7"/>
      <c r="E228" s="7"/>
      <c r="F228" s="7"/>
      <c r="G228" s="7"/>
      <c r="H228" s="7"/>
      <c r="I228" s="7"/>
      <c r="J228" s="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6">
      <c r="A229" s="7"/>
      <c r="B229" s="7"/>
      <c r="C229" s="7"/>
      <c r="D229" s="7"/>
      <c r="E229" s="7"/>
      <c r="F229" s="7"/>
      <c r="G229" s="7"/>
      <c r="H229" s="7"/>
      <c r="I229" s="7"/>
      <c r="J229" s="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6">
      <c r="A230" s="7"/>
      <c r="B230" s="7"/>
      <c r="C230" s="7"/>
      <c r="D230" s="7"/>
      <c r="E230" s="7"/>
      <c r="F230" s="7"/>
      <c r="G230" s="7"/>
      <c r="H230" s="7"/>
      <c r="I230" s="7"/>
      <c r="J230" s="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6">
      <c r="A231" s="7"/>
      <c r="B231" s="7"/>
      <c r="C231" s="7"/>
      <c r="D231" s="7"/>
      <c r="E231" s="7"/>
      <c r="F231" s="7"/>
      <c r="G231" s="7"/>
      <c r="H231" s="7"/>
      <c r="I231" s="7"/>
      <c r="J231" s="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6">
      <c r="A232" s="7"/>
      <c r="B232" s="7"/>
      <c r="C232" s="7"/>
      <c r="D232" s="7"/>
      <c r="E232" s="7"/>
      <c r="F232" s="7"/>
      <c r="G232" s="7"/>
      <c r="H232" s="7"/>
      <c r="I232" s="7"/>
      <c r="J232" s="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6">
      <c r="A233" s="7"/>
      <c r="B233" s="7"/>
      <c r="C233" s="7"/>
      <c r="D233" s="7"/>
      <c r="E233" s="7"/>
      <c r="F233" s="7"/>
      <c r="G233" s="7"/>
      <c r="H233" s="7"/>
      <c r="I233" s="7"/>
      <c r="J233" s="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6">
      <c r="A234" s="7"/>
      <c r="B234" s="7"/>
      <c r="C234" s="7"/>
      <c r="D234" s="7"/>
      <c r="E234" s="7"/>
      <c r="F234" s="7"/>
      <c r="G234" s="7"/>
      <c r="H234" s="7"/>
      <c r="I234" s="7"/>
      <c r="J234" s="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6">
      <c r="A235" s="7"/>
      <c r="B235" s="7"/>
      <c r="C235" s="7"/>
      <c r="D235" s="7"/>
      <c r="E235" s="7"/>
      <c r="F235" s="7"/>
      <c r="G235" s="7"/>
      <c r="H235" s="7"/>
      <c r="I235" s="7"/>
      <c r="J235" s="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6">
      <c r="A236" s="7"/>
      <c r="B236" s="7"/>
      <c r="C236" s="7"/>
      <c r="D236" s="7"/>
      <c r="E236" s="7"/>
      <c r="F236" s="7"/>
      <c r="G236" s="7"/>
      <c r="H236" s="7"/>
      <c r="I236" s="7"/>
      <c r="J236" s="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6">
      <c r="A237" s="7"/>
      <c r="B237" s="7"/>
      <c r="C237" s="7"/>
      <c r="D237" s="7"/>
      <c r="E237" s="7"/>
      <c r="F237" s="7"/>
      <c r="G237" s="7"/>
      <c r="H237" s="7"/>
      <c r="I237" s="7"/>
      <c r="J237" s="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6">
      <c r="A238" s="7"/>
      <c r="B238" s="7"/>
      <c r="C238" s="7"/>
      <c r="D238" s="7"/>
      <c r="E238" s="7"/>
      <c r="F238" s="7"/>
      <c r="G238" s="7"/>
      <c r="H238" s="7"/>
      <c r="I238" s="7"/>
      <c r="J238" s="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6">
      <c r="A239" s="7"/>
      <c r="B239" s="7"/>
      <c r="C239" s="7"/>
      <c r="D239" s="7"/>
      <c r="E239" s="7"/>
      <c r="F239" s="7"/>
      <c r="G239" s="7"/>
      <c r="H239" s="7"/>
      <c r="I239" s="7"/>
      <c r="J239" s="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6">
      <c r="A240" s="7"/>
      <c r="B240" s="7"/>
      <c r="C240" s="7"/>
      <c r="D240" s="7"/>
      <c r="E240" s="7"/>
      <c r="F240" s="7"/>
      <c r="G240" s="7"/>
      <c r="H240" s="7"/>
      <c r="I240" s="7"/>
      <c r="J240" s="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6">
      <c r="A241" s="7"/>
      <c r="B241" s="7"/>
      <c r="C241" s="7"/>
      <c r="D241" s="7"/>
      <c r="E241" s="7"/>
      <c r="F241" s="7"/>
      <c r="G241" s="7"/>
      <c r="H241" s="7"/>
      <c r="I241" s="7"/>
      <c r="J241" s="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6">
      <c r="A242" s="7"/>
      <c r="B242" s="7"/>
      <c r="C242" s="7"/>
      <c r="D242" s="7"/>
      <c r="E242" s="7"/>
      <c r="F242" s="7"/>
      <c r="G242" s="7"/>
      <c r="H242" s="7"/>
      <c r="I242" s="7"/>
      <c r="J242" s="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6">
      <c r="A243" s="7"/>
      <c r="B243" s="7"/>
      <c r="C243" s="7"/>
      <c r="D243" s="7"/>
      <c r="E243" s="7"/>
      <c r="F243" s="7"/>
      <c r="G243" s="7"/>
      <c r="H243" s="7"/>
      <c r="I243" s="7"/>
      <c r="J243" s="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6">
      <c r="A244" s="7"/>
      <c r="B244" s="7"/>
      <c r="C244" s="7"/>
      <c r="D244" s="7"/>
      <c r="E244" s="7"/>
      <c r="F244" s="7"/>
      <c r="G244" s="7"/>
      <c r="H244" s="7"/>
      <c r="I244" s="7"/>
      <c r="J244" s="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6">
      <c r="A245" s="7"/>
      <c r="B245" s="7"/>
      <c r="C245" s="7"/>
      <c r="D245" s="7"/>
      <c r="E245" s="7"/>
      <c r="F245" s="7"/>
      <c r="G245" s="7"/>
      <c r="H245" s="7"/>
      <c r="I245" s="7"/>
      <c r="J245" s="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6">
      <c r="A246" s="7"/>
      <c r="B246" s="7"/>
      <c r="C246" s="7"/>
      <c r="D246" s="7"/>
      <c r="E246" s="7"/>
      <c r="F246" s="7"/>
      <c r="G246" s="7"/>
      <c r="H246" s="7"/>
      <c r="I246" s="7"/>
      <c r="J246" s="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6">
      <c r="A247" s="7"/>
      <c r="B247" s="7"/>
      <c r="C247" s="7"/>
      <c r="D247" s="7"/>
      <c r="E247" s="7"/>
      <c r="F247" s="7"/>
      <c r="G247" s="7"/>
      <c r="H247" s="7"/>
      <c r="I247" s="7"/>
      <c r="J247" s="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6">
      <c r="A248" s="7"/>
      <c r="B248" s="7"/>
      <c r="C248" s="7"/>
      <c r="D248" s="7"/>
      <c r="E248" s="7"/>
      <c r="F248" s="7"/>
      <c r="G248" s="7"/>
      <c r="H248" s="7"/>
      <c r="I248" s="7"/>
      <c r="J248" s="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6">
      <c r="A249" s="7"/>
      <c r="B249" s="7"/>
      <c r="C249" s="7"/>
      <c r="D249" s="7"/>
      <c r="E249" s="7"/>
      <c r="F249" s="7"/>
      <c r="G249" s="7"/>
      <c r="H249" s="7"/>
      <c r="I249" s="7"/>
      <c r="J249" s="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6">
      <c r="A250" s="7"/>
      <c r="B250" s="7"/>
      <c r="C250" s="7"/>
      <c r="D250" s="7"/>
      <c r="E250" s="7"/>
      <c r="F250" s="7"/>
      <c r="G250" s="7"/>
      <c r="H250" s="7"/>
      <c r="I250" s="7"/>
      <c r="J250" s="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6">
      <c r="A251" s="7"/>
      <c r="B251" s="7"/>
      <c r="C251" s="7"/>
      <c r="D251" s="7"/>
      <c r="E251" s="7"/>
      <c r="F251" s="7"/>
      <c r="G251" s="7"/>
      <c r="H251" s="7"/>
      <c r="I251" s="7"/>
      <c r="J251" s="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6">
      <c r="A252" s="7"/>
      <c r="B252" s="7"/>
      <c r="C252" s="7"/>
      <c r="D252" s="7"/>
      <c r="E252" s="7"/>
      <c r="F252" s="7"/>
      <c r="G252" s="7"/>
      <c r="H252" s="7"/>
      <c r="I252" s="7"/>
      <c r="J252" s="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6">
      <c r="A253" s="7"/>
      <c r="B253" s="7"/>
      <c r="C253" s="7"/>
      <c r="D253" s="7"/>
      <c r="E253" s="7"/>
      <c r="F253" s="7"/>
      <c r="G253" s="7"/>
      <c r="H253" s="7"/>
      <c r="I253" s="7"/>
      <c r="J253" s="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6">
      <c r="A254" s="7"/>
      <c r="B254" s="7"/>
      <c r="C254" s="7"/>
      <c r="D254" s="7"/>
      <c r="E254" s="7"/>
      <c r="F254" s="7"/>
      <c r="G254" s="7"/>
      <c r="H254" s="7"/>
      <c r="I254" s="7"/>
      <c r="J254" s="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6">
      <c r="A255" s="7"/>
      <c r="B255" s="7"/>
      <c r="C255" s="7"/>
      <c r="D255" s="7"/>
      <c r="E255" s="7"/>
      <c r="F255" s="7"/>
      <c r="G255" s="7"/>
      <c r="H255" s="7"/>
      <c r="I255" s="7"/>
      <c r="J255" s="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6">
      <c r="A256" s="7"/>
      <c r="B256" s="7"/>
      <c r="C256" s="7"/>
      <c r="D256" s="7"/>
      <c r="E256" s="7"/>
      <c r="F256" s="7"/>
      <c r="G256" s="7"/>
      <c r="H256" s="7"/>
      <c r="I256" s="7"/>
      <c r="J256" s="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6">
      <c r="A257" s="7"/>
      <c r="B257" s="7"/>
      <c r="C257" s="7"/>
      <c r="D257" s="7"/>
      <c r="E257" s="7"/>
      <c r="F257" s="7"/>
      <c r="G257" s="7"/>
      <c r="H257" s="7"/>
      <c r="I257" s="7"/>
      <c r="J257" s="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6">
      <c r="A258" s="7"/>
      <c r="B258" s="7"/>
      <c r="C258" s="7"/>
      <c r="D258" s="7"/>
      <c r="E258" s="7"/>
      <c r="F258" s="7"/>
      <c r="G258" s="7"/>
      <c r="H258" s="7"/>
      <c r="I258" s="7"/>
      <c r="J258" s="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6">
      <c r="A259" s="7"/>
      <c r="B259" s="7"/>
      <c r="C259" s="7"/>
      <c r="D259" s="7"/>
      <c r="E259" s="7"/>
      <c r="F259" s="7"/>
      <c r="G259" s="7"/>
      <c r="H259" s="7"/>
      <c r="I259" s="7"/>
      <c r="J259" s="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6">
      <c r="A260" s="7"/>
      <c r="B260" s="7"/>
      <c r="C260" s="7"/>
      <c r="D260" s="7"/>
      <c r="E260" s="7"/>
      <c r="F260" s="7"/>
      <c r="G260" s="7"/>
      <c r="H260" s="7"/>
      <c r="I260" s="7"/>
      <c r="J260" s="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6">
      <c r="A261" s="7"/>
      <c r="B261" s="7"/>
      <c r="C261" s="7"/>
      <c r="D261" s="7"/>
      <c r="E261" s="7"/>
      <c r="F261" s="7"/>
      <c r="G261" s="7"/>
      <c r="H261" s="7"/>
      <c r="I261" s="7"/>
      <c r="J261" s="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6">
      <c r="A262" s="7"/>
      <c r="B262" s="7"/>
      <c r="C262" s="7"/>
      <c r="D262" s="7"/>
      <c r="E262" s="7"/>
      <c r="F262" s="7"/>
      <c r="G262" s="7"/>
      <c r="H262" s="7"/>
      <c r="I262" s="7"/>
      <c r="J262" s="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6">
      <c r="A263" s="7"/>
      <c r="B263" s="7"/>
      <c r="C263" s="7"/>
      <c r="D263" s="7"/>
      <c r="E263" s="7"/>
      <c r="F263" s="7"/>
      <c r="G263" s="7"/>
      <c r="H263" s="7"/>
      <c r="I263" s="7"/>
      <c r="J263" s="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6">
      <c r="A264" s="7"/>
      <c r="B264" s="7"/>
      <c r="C264" s="7"/>
      <c r="D264" s="7"/>
      <c r="E264" s="7"/>
      <c r="F264" s="7"/>
      <c r="G264" s="7"/>
      <c r="H264" s="7"/>
      <c r="I264" s="7"/>
      <c r="J264" s="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6">
      <c r="A265" s="7"/>
      <c r="B265" s="7"/>
      <c r="C265" s="7"/>
      <c r="D265" s="7"/>
      <c r="E265" s="7"/>
      <c r="F265" s="7"/>
      <c r="G265" s="7"/>
      <c r="H265" s="7"/>
      <c r="I265" s="7"/>
      <c r="J265" s="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6">
      <c r="A266" s="7"/>
      <c r="B266" s="7"/>
      <c r="C266" s="7"/>
      <c r="D266" s="7"/>
      <c r="E266" s="7"/>
      <c r="F266" s="7"/>
      <c r="G266" s="7"/>
      <c r="H266" s="7"/>
      <c r="I266" s="7"/>
      <c r="J266" s="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6">
      <c r="A267" s="7"/>
      <c r="B267" s="7"/>
      <c r="C267" s="7"/>
      <c r="D267" s="7"/>
      <c r="E267" s="7"/>
      <c r="F267" s="7"/>
      <c r="G267" s="7"/>
      <c r="H267" s="7"/>
      <c r="I267" s="7"/>
      <c r="J267" s="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6">
      <c r="A268" s="7"/>
      <c r="B268" s="7"/>
      <c r="C268" s="7"/>
      <c r="D268" s="7"/>
      <c r="E268" s="7"/>
      <c r="F268" s="7"/>
      <c r="G268" s="7"/>
      <c r="H268" s="7"/>
      <c r="I268" s="7"/>
      <c r="J268" s="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6">
      <c r="A269" s="7"/>
      <c r="B269" s="7"/>
      <c r="C269" s="7"/>
      <c r="D269" s="7"/>
      <c r="E269" s="7"/>
      <c r="F269" s="7"/>
      <c r="G269" s="7"/>
      <c r="H269" s="7"/>
      <c r="I269" s="7"/>
      <c r="J269" s="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6">
      <c r="A270" s="7"/>
      <c r="B270" s="7"/>
      <c r="C270" s="7"/>
      <c r="D270" s="7"/>
      <c r="E270" s="7"/>
      <c r="F270" s="7"/>
      <c r="G270" s="7"/>
      <c r="H270" s="7"/>
      <c r="I270" s="7"/>
      <c r="J270" s="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6">
      <c r="A271" s="7"/>
      <c r="B271" s="7"/>
      <c r="C271" s="7"/>
      <c r="D271" s="7"/>
      <c r="E271" s="7"/>
      <c r="F271" s="7"/>
      <c r="G271" s="7"/>
      <c r="H271" s="7"/>
      <c r="I271" s="7"/>
      <c r="J271" s="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6">
      <c r="A272" s="7"/>
      <c r="B272" s="7"/>
      <c r="C272" s="7"/>
      <c r="D272" s="7"/>
      <c r="E272" s="7"/>
      <c r="F272" s="7"/>
      <c r="G272" s="7"/>
      <c r="H272" s="7"/>
      <c r="I272" s="7"/>
      <c r="J272" s="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6">
      <c r="A273" s="7"/>
      <c r="B273" s="7"/>
      <c r="C273" s="7"/>
      <c r="D273" s="7"/>
      <c r="E273" s="7"/>
      <c r="F273" s="7"/>
      <c r="G273" s="7"/>
      <c r="H273" s="7"/>
      <c r="I273" s="7"/>
      <c r="J273" s="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6">
      <c r="A274" s="7"/>
      <c r="B274" s="7"/>
      <c r="C274" s="7"/>
      <c r="D274" s="7"/>
      <c r="E274" s="7"/>
      <c r="F274" s="7"/>
      <c r="G274" s="7"/>
      <c r="H274" s="7"/>
      <c r="I274" s="7"/>
      <c r="J274" s="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6">
      <c r="A275" s="7"/>
      <c r="B275" s="7"/>
      <c r="C275" s="7"/>
      <c r="D275" s="7"/>
      <c r="E275" s="7"/>
      <c r="F275" s="7"/>
      <c r="G275" s="7"/>
      <c r="H275" s="7"/>
      <c r="I275" s="7"/>
      <c r="J275" s="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6">
      <c r="A276" s="7"/>
      <c r="B276" s="7"/>
      <c r="C276" s="7"/>
      <c r="D276" s="7"/>
      <c r="E276" s="7"/>
      <c r="F276" s="7"/>
      <c r="G276" s="7"/>
      <c r="H276" s="7"/>
      <c r="I276" s="7"/>
      <c r="J276" s="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6">
      <c r="A277" s="7"/>
      <c r="B277" s="7"/>
      <c r="C277" s="7"/>
      <c r="D277" s="7"/>
      <c r="E277" s="7"/>
      <c r="F277" s="7"/>
      <c r="G277" s="7"/>
      <c r="H277" s="7"/>
      <c r="I277" s="7"/>
      <c r="J277" s="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6">
      <c r="A278" s="7"/>
      <c r="B278" s="7"/>
      <c r="C278" s="7"/>
      <c r="D278" s="7"/>
      <c r="E278" s="7"/>
      <c r="F278" s="7"/>
      <c r="G278" s="7"/>
      <c r="H278" s="7"/>
      <c r="I278" s="7"/>
      <c r="J278" s="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6">
      <c r="A279" s="7"/>
      <c r="B279" s="7"/>
      <c r="C279" s="7"/>
      <c r="D279" s="7"/>
      <c r="E279" s="7"/>
      <c r="F279" s="7"/>
      <c r="G279" s="7"/>
      <c r="H279" s="7"/>
      <c r="I279" s="7"/>
      <c r="J279" s="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6">
      <c r="A280" s="7"/>
      <c r="B280" s="7"/>
      <c r="C280" s="7"/>
      <c r="D280" s="7"/>
      <c r="E280" s="7"/>
      <c r="F280" s="7"/>
      <c r="G280" s="7"/>
      <c r="H280" s="7"/>
      <c r="I280" s="7"/>
      <c r="J280" s="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6">
      <c r="A281" s="7"/>
      <c r="B281" s="7"/>
      <c r="C281" s="7"/>
      <c r="D281" s="7"/>
      <c r="E281" s="7"/>
      <c r="F281" s="7"/>
      <c r="G281" s="7"/>
      <c r="H281" s="7"/>
      <c r="I281" s="7"/>
      <c r="J281" s="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6">
      <c r="A282" s="7"/>
      <c r="B282" s="7"/>
      <c r="C282" s="7"/>
      <c r="D282" s="7"/>
      <c r="E282" s="7"/>
      <c r="F282" s="7"/>
      <c r="G282" s="7"/>
      <c r="H282" s="7"/>
      <c r="I282" s="7"/>
      <c r="J282" s="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6">
      <c r="A283" s="7"/>
      <c r="B283" s="7"/>
      <c r="C283" s="7"/>
      <c r="D283" s="7"/>
      <c r="E283" s="7"/>
      <c r="F283" s="7"/>
      <c r="G283" s="7"/>
      <c r="H283" s="7"/>
      <c r="I283" s="7"/>
      <c r="J283" s="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6">
      <c r="A284" s="7"/>
      <c r="B284" s="7"/>
      <c r="C284" s="7"/>
      <c r="D284" s="7"/>
      <c r="E284" s="7"/>
      <c r="F284" s="7"/>
      <c r="G284" s="7"/>
      <c r="H284" s="7"/>
      <c r="I284" s="7"/>
      <c r="J284" s="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6">
      <c r="A285" s="7"/>
      <c r="B285" s="7"/>
      <c r="C285" s="7"/>
      <c r="D285" s="7"/>
      <c r="E285" s="7"/>
      <c r="F285" s="7"/>
      <c r="G285" s="7"/>
      <c r="H285" s="7"/>
      <c r="I285" s="7"/>
      <c r="J285" s="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6">
      <c r="A286" s="7"/>
      <c r="B286" s="7"/>
      <c r="C286" s="7"/>
      <c r="D286" s="7"/>
      <c r="E286" s="7"/>
      <c r="F286" s="7"/>
      <c r="G286" s="7"/>
      <c r="H286" s="7"/>
      <c r="I286" s="7"/>
      <c r="J286" s="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6">
      <c r="A287" s="7"/>
      <c r="B287" s="7"/>
      <c r="C287" s="7"/>
      <c r="D287" s="7"/>
      <c r="E287" s="7"/>
      <c r="F287" s="7"/>
      <c r="G287" s="7"/>
      <c r="H287" s="7"/>
      <c r="I287" s="7"/>
      <c r="J287" s="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6">
      <c r="A288" s="7"/>
      <c r="B288" s="7"/>
      <c r="C288" s="7"/>
      <c r="D288" s="7"/>
      <c r="E288" s="7"/>
      <c r="F288" s="7"/>
      <c r="G288" s="7"/>
      <c r="H288" s="7"/>
      <c r="I288" s="7"/>
      <c r="J288" s="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6">
      <c r="A289" s="7"/>
      <c r="B289" s="7"/>
      <c r="C289" s="7"/>
      <c r="D289" s="7"/>
      <c r="E289" s="7"/>
      <c r="F289" s="7"/>
      <c r="G289" s="7"/>
      <c r="H289" s="7"/>
      <c r="I289" s="7"/>
      <c r="J289" s="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6">
      <c r="A290" s="7"/>
      <c r="B290" s="7"/>
      <c r="C290" s="7"/>
      <c r="D290" s="7"/>
      <c r="E290" s="7"/>
      <c r="F290" s="7"/>
      <c r="G290" s="7"/>
      <c r="H290" s="7"/>
      <c r="I290" s="7"/>
      <c r="J290" s="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6">
      <c r="A291" s="7"/>
      <c r="B291" s="7"/>
      <c r="C291" s="7"/>
      <c r="D291" s="7"/>
      <c r="E291" s="7"/>
      <c r="F291" s="7"/>
      <c r="G291" s="7"/>
      <c r="H291" s="7"/>
      <c r="I291" s="7"/>
      <c r="J291" s="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6">
      <c r="A292" s="7"/>
      <c r="B292" s="7"/>
      <c r="C292" s="7"/>
      <c r="D292" s="7"/>
      <c r="E292" s="7"/>
      <c r="F292" s="7"/>
      <c r="G292" s="7"/>
      <c r="H292" s="7"/>
      <c r="I292" s="7"/>
      <c r="J292" s="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6">
      <c r="A293" s="7"/>
      <c r="B293" s="7"/>
      <c r="C293" s="7"/>
      <c r="D293" s="7"/>
      <c r="E293" s="7"/>
      <c r="F293" s="7"/>
      <c r="G293" s="7"/>
      <c r="H293" s="7"/>
      <c r="I293" s="7"/>
      <c r="J293" s="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6">
      <c r="A294" s="7"/>
      <c r="B294" s="7"/>
      <c r="C294" s="7"/>
      <c r="D294" s="7"/>
      <c r="E294" s="7"/>
      <c r="F294" s="7"/>
      <c r="G294" s="7"/>
      <c r="H294" s="7"/>
      <c r="I294" s="7"/>
      <c r="J294" s="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6">
      <c r="A295" s="7"/>
      <c r="B295" s="7"/>
      <c r="C295" s="7"/>
      <c r="D295" s="7"/>
      <c r="E295" s="7"/>
      <c r="F295" s="7"/>
      <c r="G295" s="7"/>
      <c r="H295" s="7"/>
      <c r="I295" s="7"/>
      <c r="J295" s="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6">
      <c r="A296" s="7"/>
      <c r="B296" s="7"/>
      <c r="C296" s="7"/>
      <c r="D296" s="7"/>
      <c r="E296" s="7"/>
      <c r="F296" s="7"/>
      <c r="G296" s="7"/>
      <c r="H296" s="7"/>
      <c r="I296" s="7"/>
      <c r="J296" s="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6">
      <c r="A297" s="7"/>
      <c r="B297" s="7"/>
      <c r="C297" s="7"/>
      <c r="D297" s="7"/>
      <c r="E297" s="7"/>
      <c r="F297" s="7"/>
      <c r="G297" s="7"/>
      <c r="H297" s="7"/>
      <c r="I297" s="7"/>
      <c r="J297" s="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6">
      <c r="A298" s="7"/>
      <c r="B298" s="7"/>
      <c r="C298" s="7"/>
      <c r="D298" s="7"/>
      <c r="E298" s="7"/>
      <c r="F298" s="7"/>
      <c r="G298" s="7"/>
      <c r="H298" s="7"/>
      <c r="I298" s="7"/>
      <c r="J298" s="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6">
      <c r="A299" s="7"/>
      <c r="B299" s="7"/>
      <c r="C299" s="7"/>
      <c r="D299" s="7"/>
      <c r="E299" s="7"/>
      <c r="F299" s="7"/>
      <c r="G299" s="7"/>
      <c r="H299" s="7"/>
      <c r="I299" s="7"/>
      <c r="J299" s="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6">
      <c r="A300" s="7"/>
      <c r="B300" s="7"/>
      <c r="C300" s="7"/>
      <c r="D300" s="7"/>
      <c r="E300" s="7"/>
      <c r="F300" s="7"/>
      <c r="G300" s="7"/>
      <c r="H300" s="7"/>
      <c r="I300" s="7"/>
      <c r="J300" s="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6">
      <c r="A301" s="7"/>
      <c r="B301" s="7"/>
      <c r="C301" s="7"/>
      <c r="D301" s="7"/>
      <c r="E301" s="7"/>
      <c r="F301" s="7"/>
      <c r="G301" s="7"/>
      <c r="H301" s="7"/>
      <c r="I301" s="7"/>
      <c r="J301" s="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6">
      <c r="A302" s="7"/>
      <c r="B302" s="7"/>
      <c r="C302" s="7"/>
      <c r="D302" s="7"/>
      <c r="E302" s="7"/>
      <c r="F302" s="7"/>
      <c r="G302" s="7"/>
      <c r="H302" s="7"/>
      <c r="I302" s="7"/>
      <c r="J302" s="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6">
      <c r="A303" s="7"/>
      <c r="B303" s="7"/>
      <c r="C303" s="7"/>
      <c r="D303" s="7"/>
      <c r="E303" s="7"/>
      <c r="F303" s="7"/>
      <c r="G303" s="7"/>
      <c r="H303" s="7"/>
      <c r="I303" s="7"/>
      <c r="J303" s="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6">
      <c r="A304" s="7"/>
      <c r="B304" s="7"/>
      <c r="C304" s="7"/>
      <c r="D304" s="7"/>
      <c r="E304" s="7"/>
      <c r="F304" s="7"/>
      <c r="G304" s="7"/>
      <c r="H304" s="7"/>
      <c r="I304" s="7"/>
      <c r="J304" s="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6">
      <c r="A305" s="7"/>
      <c r="B305" s="7"/>
      <c r="C305" s="7"/>
      <c r="D305" s="7"/>
      <c r="E305" s="7"/>
      <c r="F305" s="7"/>
      <c r="G305" s="7"/>
      <c r="H305" s="7"/>
      <c r="I305" s="7"/>
      <c r="J305" s="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6">
      <c r="A306" s="7"/>
      <c r="B306" s="7"/>
      <c r="C306" s="7"/>
      <c r="D306" s="7"/>
      <c r="E306" s="7"/>
      <c r="F306" s="7"/>
      <c r="G306" s="7"/>
      <c r="H306" s="7"/>
      <c r="I306" s="7"/>
      <c r="J306" s="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6">
      <c r="A307" s="7"/>
      <c r="B307" s="7"/>
      <c r="C307" s="7"/>
      <c r="D307" s="7"/>
      <c r="E307" s="7"/>
      <c r="F307" s="7"/>
      <c r="G307" s="7"/>
      <c r="H307" s="7"/>
      <c r="I307" s="7"/>
      <c r="J307" s="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6">
      <c r="A308" s="7"/>
      <c r="B308" s="7"/>
      <c r="C308" s="7"/>
      <c r="D308" s="7"/>
      <c r="E308" s="7"/>
      <c r="F308" s="7"/>
      <c r="G308" s="7"/>
      <c r="H308" s="7"/>
      <c r="I308" s="7"/>
      <c r="J308" s="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6">
      <c r="A309" s="7"/>
      <c r="B309" s="7"/>
      <c r="C309" s="7"/>
      <c r="D309" s="7"/>
      <c r="E309" s="7"/>
      <c r="F309" s="7"/>
      <c r="G309" s="7"/>
      <c r="H309" s="7"/>
      <c r="I309" s="7"/>
      <c r="J309" s="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6">
      <c r="A310" s="7"/>
      <c r="B310" s="7"/>
      <c r="C310" s="7"/>
      <c r="D310" s="7"/>
      <c r="E310" s="7"/>
      <c r="F310" s="7"/>
      <c r="G310" s="7"/>
      <c r="H310" s="7"/>
      <c r="I310" s="7"/>
      <c r="J310" s="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6">
      <c r="A311" s="7"/>
      <c r="B311" s="7"/>
      <c r="C311" s="7"/>
      <c r="D311" s="7"/>
      <c r="E311" s="7"/>
      <c r="F311" s="7"/>
      <c r="G311" s="7"/>
      <c r="H311" s="7"/>
      <c r="I311" s="7"/>
      <c r="J311" s="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6">
      <c r="A312" s="7"/>
      <c r="B312" s="7"/>
      <c r="C312" s="7"/>
      <c r="D312" s="7"/>
      <c r="E312" s="7"/>
      <c r="F312" s="7"/>
      <c r="G312" s="7"/>
      <c r="H312" s="7"/>
      <c r="I312" s="7"/>
      <c r="J312" s="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6">
      <c r="A313" s="7"/>
      <c r="B313" s="7"/>
      <c r="C313" s="7"/>
      <c r="D313" s="7"/>
      <c r="E313" s="7"/>
      <c r="F313" s="7"/>
      <c r="G313" s="7"/>
      <c r="H313" s="7"/>
      <c r="I313" s="7"/>
      <c r="J313" s="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6">
      <c r="A314" s="7"/>
      <c r="B314" s="7"/>
      <c r="C314" s="7"/>
      <c r="D314" s="7"/>
      <c r="E314" s="7"/>
      <c r="F314" s="7"/>
      <c r="G314" s="7"/>
      <c r="H314" s="7"/>
      <c r="I314" s="7"/>
      <c r="J314" s="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6">
      <c r="A315" s="7"/>
      <c r="B315" s="7"/>
      <c r="C315" s="7"/>
      <c r="D315" s="7"/>
      <c r="E315" s="7"/>
      <c r="F315" s="7"/>
      <c r="G315" s="7"/>
      <c r="H315" s="7"/>
      <c r="I315" s="7"/>
      <c r="J315" s="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6">
      <c r="A316" s="7"/>
      <c r="B316" s="7"/>
      <c r="C316" s="7"/>
      <c r="D316" s="7"/>
      <c r="E316" s="7"/>
      <c r="F316" s="7"/>
      <c r="G316" s="7"/>
      <c r="H316" s="7"/>
      <c r="I316" s="7"/>
      <c r="J316" s="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6">
      <c r="A317" s="7"/>
      <c r="B317" s="7"/>
      <c r="C317" s="7"/>
      <c r="D317" s="7"/>
      <c r="E317" s="7"/>
      <c r="F317" s="7"/>
      <c r="G317" s="7"/>
      <c r="H317" s="7"/>
      <c r="I317" s="7"/>
      <c r="J317" s="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6">
      <c r="A318" s="7"/>
      <c r="B318" s="7"/>
      <c r="C318" s="7"/>
      <c r="D318" s="7"/>
      <c r="E318" s="7"/>
      <c r="F318" s="7"/>
      <c r="G318" s="7"/>
      <c r="H318" s="7"/>
      <c r="I318" s="7"/>
      <c r="J318" s="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6">
      <c r="A319" s="7"/>
      <c r="B319" s="7"/>
      <c r="C319" s="7"/>
      <c r="D319" s="7"/>
      <c r="E319" s="7"/>
      <c r="F319" s="7"/>
      <c r="G319" s="7"/>
      <c r="H319" s="7"/>
      <c r="I319" s="7"/>
      <c r="J319" s="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6">
      <c r="A320" s="7"/>
      <c r="B320" s="7"/>
      <c r="C320" s="7"/>
      <c r="D320" s="7"/>
      <c r="E320" s="7"/>
      <c r="F320" s="7"/>
      <c r="G320" s="7"/>
      <c r="H320" s="7"/>
      <c r="I320" s="7"/>
      <c r="J320" s="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6">
      <c r="A321" s="7"/>
      <c r="B321" s="7"/>
      <c r="C321" s="7"/>
      <c r="D321" s="7"/>
      <c r="E321" s="7"/>
      <c r="F321" s="7"/>
      <c r="G321" s="7"/>
      <c r="H321" s="7"/>
      <c r="I321" s="7"/>
      <c r="J321" s="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6">
      <c r="A322" s="7"/>
      <c r="B322" s="7"/>
      <c r="C322" s="7"/>
      <c r="D322" s="7"/>
      <c r="E322" s="7"/>
      <c r="F322" s="7"/>
      <c r="G322" s="7"/>
      <c r="H322" s="7"/>
      <c r="I322" s="7"/>
      <c r="J322" s="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6">
      <c r="A323" s="7"/>
      <c r="B323" s="7"/>
      <c r="C323" s="7"/>
      <c r="D323" s="7"/>
      <c r="E323" s="7"/>
      <c r="F323" s="7"/>
      <c r="G323" s="7"/>
      <c r="H323" s="7"/>
      <c r="I323" s="7"/>
      <c r="J323" s="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6">
      <c r="A324" s="7"/>
      <c r="B324" s="7"/>
      <c r="C324" s="7"/>
      <c r="D324" s="7"/>
      <c r="E324" s="7"/>
      <c r="F324" s="7"/>
      <c r="G324" s="7"/>
      <c r="H324" s="7"/>
      <c r="I324" s="7"/>
      <c r="J324" s="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6">
      <c r="A325" s="7"/>
      <c r="B325" s="7"/>
      <c r="C325" s="7"/>
      <c r="D325" s="7"/>
      <c r="E325" s="7"/>
      <c r="F325" s="7"/>
      <c r="G325" s="7"/>
      <c r="H325" s="7"/>
      <c r="I325" s="7"/>
      <c r="J325" s="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6">
      <c r="A326" s="7"/>
      <c r="B326" s="7"/>
      <c r="C326" s="7"/>
      <c r="D326" s="7"/>
      <c r="E326" s="7"/>
      <c r="F326" s="7"/>
      <c r="G326" s="7"/>
      <c r="H326" s="7"/>
      <c r="I326" s="7"/>
      <c r="J326" s="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6">
      <c r="A327" s="7"/>
      <c r="B327" s="7"/>
      <c r="C327" s="7"/>
      <c r="D327" s="7"/>
      <c r="E327" s="7"/>
      <c r="F327" s="7"/>
      <c r="G327" s="7"/>
      <c r="H327" s="7"/>
      <c r="I327" s="7"/>
      <c r="J327" s="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6">
      <c r="A328" s="7"/>
      <c r="B328" s="7"/>
      <c r="C328" s="7"/>
      <c r="D328" s="7"/>
      <c r="E328" s="7"/>
      <c r="F328" s="7"/>
      <c r="G328" s="7"/>
      <c r="H328" s="7"/>
      <c r="I328" s="7"/>
      <c r="J328" s="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6">
      <c r="A329" s="7"/>
      <c r="B329" s="7"/>
      <c r="C329" s="7"/>
      <c r="D329" s="7"/>
      <c r="E329" s="7"/>
      <c r="F329" s="7"/>
      <c r="G329" s="7"/>
      <c r="H329" s="7"/>
      <c r="I329" s="7"/>
      <c r="J329" s="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6">
      <c r="A330" s="7"/>
      <c r="B330" s="7"/>
      <c r="C330" s="7"/>
      <c r="D330" s="7"/>
      <c r="E330" s="7"/>
      <c r="F330" s="7"/>
      <c r="G330" s="7"/>
      <c r="H330" s="7"/>
      <c r="I330" s="7"/>
      <c r="J330" s="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6">
      <c r="A331" s="7"/>
      <c r="B331" s="7"/>
      <c r="C331" s="7"/>
      <c r="D331" s="7"/>
      <c r="E331" s="7"/>
      <c r="F331" s="7"/>
      <c r="G331" s="7"/>
      <c r="H331" s="7"/>
      <c r="I331" s="7"/>
      <c r="J331" s="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6">
      <c r="A332" s="7"/>
      <c r="B332" s="7"/>
      <c r="C332" s="7"/>
      <c r="D332" s="7"/>
      <c r="E332" s="7"/>
      <c r="F332" s="7"/>
      <c r="G332" s="7"/>
      <c r="H332" s="7"/>
      <c r="I332" s="7"/>
      <c r="J332" s="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6">
      <c r="A333" s="7"/>
      <c r="B333" s="7"/>
      <c r="C333" s="7"/>
      <c r="D333" s="7"/>
      <c r="E333" s="7"/>
      <c r="F333" s="7"/>
      <c r="G333" s="7"/>
      <c r="H333" s="7"/>
      <c r="I333" s="7"/>
      <c r="J333" s="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6">
      <c r="A334" s="7"/>
      <c r="B334" s="7"/>
      <c r="C334" s="7"/>
      <c r="D334" s="7"/>
      <c r="E334" s="7"/>
      <c r="F334" s="7"/>
      <c r="G334" s="7"/>
      <c r="H334" s="7"/>
      <c r="I334" s="7"/>
      <c r="J334" s="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6">
      <c r="A335" s="7"/>
      <c r="B335" s="7"/>
      <c r="C335" s="7"/>
      <c r="D335" s="7"/>
      <c r="E335" s="7"/>
      <c r="F335" s="7"/>
      <c r="G335" s="7"/>
      <c r="H335" s="7"/>
      <c r="I335" s="7"/>
      <c r="J335" s="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6">
      <c r="A336" s="7"/>
      <c r="B336" s="7"/>
      <c r="C336" s="7"/>
      <c r="D336" s="7"/>
      <c r="E336" s="7"/>
      <c r="F336" s="7"/>
      <c r="G336" s="7"/>
      <c r="H336" s="7"/>
      <c r="I336" s="7"/>
      <c r="J336" s="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6">
      <c r="A337" s="7"/>
      <c r="B337" s="7"/>
      <c r="C337" s="7"/>
      <c r="D337" s="7"/>
      <c r="E337" s="7"/>
      <c r="F337" s="7"/>
      <c r="G337" s="7"/>
      <c r="H337" s="7"/>
      <c r="I337" s="7"/>
      <c r="J337" s="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6">
      <c r="A338" s="7"/>
      <c r="B338" s="7"/>
      <c r="C338" s="7"/>
      <c r="D338" s="7"/>
      <c r="E338" s="7"/>
      <c r="F338" s="7"/>
      <c r="G338" s="7"/>
      <c r="H338" s="7"/>
      <c r="I338" s="7"/>
      <c r="J338" s="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6">
      <c r="A339" s="7"/>
      <c r="B339" s="7"/>
      <c r="C339" s="7"/>
      <c r="D339" s="7"/>
      <c r="E339" s="7"/>
      <c r="F339" s="7"/>
      <c r="G339" s="7"/>
      <c r="H339" s="7"/>
      <c r="I339" s="7"/>
      <c r="J339" s="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6">
      <c r="A340" s="7"/>
      <c r="B340" s="7"/>
      <c r="C340" s="7"/>
      <c r="D340" s="7"/>
      <c r="E340" s="7"/>
      <c r="F340" s="7"/>
      <c r="G340" s="7"/>
      <c r="H340" s="7"/>
      <c r="I340" s="7"/>
      <c r="J340" s="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6">
      <c r="A341" s="7"/>
      <c r="B341" s="7"/>
      <c r="C341" s="7"/>
      <c r="D341" s="7"/>
      <c r="E341" s="7"/>
      <c r="F341" s="7"/>
      <c r="G341" s="7"/>
      <c r="H341" s="7"/>
      <c r="I341" s="7"/>
      <c r="J341" s="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6">
      <c r="A342" s="7"/>
      <c r="B342" s="7"/>
      <c r="C342" s="7"/>
      <c r="D342" s="7"/>
      <c r="E342" s="7"/>
      <c r="F342" s="7"/>
      <c r="G342" s="7"/>
      <c r="H342" s="7"/>
      <c r="I342" s="7"/>
      <c r="J342" s="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6">
      <c r="A343" s="7"/>
      <c r="B343" s="7"/>
      <c r="C343" s="7"/>
      <c r="D343" s="7"/>
      <c r="E343" s="7"/>
      <c r="F343" s="7"/>
      <c r="G343" s="7"/>
      <c r="H343" s="7"/>
      <c r="I343" s="7"/>
      <c r="J343" s="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6">
      <c r="A344" s="7"/>
      <c r="B344" s="7"/>
      <c r="C344" s="7"/>
      <c r="D344" s="7"/>
      <c r="E344" s="7"/>
      <c r="F344" s="7"/>
      <c r="G344" s="7"/>
      <c r="H344" s="7"/>
      <c r="I344" s="7"/>
      <c r="J344" s="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6">
      <c r="A345" s="7"/>
      <c r="B345" s="7"/>
      <c r="C345" s="7"/>
      <c r="D345" s="7"/>
      <c r="E345" s="7"/>
      <c r="F345" s="7"/>
      <c r="G345" s="7"/>
      <c r="H345" s="7"/>
      <c r="I345" s="7"/>
      <c r="J345" s="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6">
      <c r="A346" s="7"/>
      <c r="B346" s="7"/>
      <c r="C346" s="7"/>
      <c r="D346" s="7"/>
      <c r="E346" s="7"/>
      <c r="F346" s="7"/>
      <c r="G346" s="7"/>
      <c r="H346" s="7"/>
      <c r="I346" s="7"/>
      <c r="J346" s="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6">
      <c r="A347" s="7"/>
      <c r="B347" s="7"/>
      <c r="C347" s="7"/>
      <c r="D347" s="7"/>
      <c r="E347" s="7"/>
      <c r="F347" s="7"/>
      <c r="G347" s="7"/>
      <c r="H347" s="7"/>
      <c r="I347" s="7"/>
      <c r="J347" s="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6">
      <c r="A348" s="7"/>
      <c r="B348" s="7"/>
      <c r="C348" s="7"/>
      <c r="D348" s="7"/>
      <c r="E348" s="7"/>
      <c r="F348" s="7"/>
      <c r="G348" s="7"/>
      <c r="H348" s="7"/>
      <c r="I348" s="7"/>
      <c r="J348" s="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6">
      <c r="A349" s="7"/>
      <c r="B349" s="7"/>
      <c r="C349" s="7"/>
      <c r="D349" s="7"/>
      <c r="E349" s="7"/>
      <c r="F349" s="7"/>
      <c r="G349" s="7"/>
      <c r="H349" s="7"/>
      <c r="I349" s="7"/>
      <c r="J349" s="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6">
      <c r="A350" s="7"/>
      <c r="B350" s="7"/>
      <c r="C350" s="7"/>
      <c r="D350" s="7"/>
      <c r="E350" s="7"/>
      <c r="F350" s="7"/>
      <c r="G350" s="7"/>
      <c r="H350" s="7"/>
      <c r="I350" s="7"/>
      <c r="J350" s="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6">
      <c r="A351" s="7"/>
      <c r="B351" s="7"/>
      <c r="C351" s="7"/>
      <c r="D351" s="7"/>
      <c r="E351" s="7"/>
      <c r="F351" s="7"/>
      <c r="G351" s="7"/>
      <c r="H351" s="7"/>
      <c r="I351" s="7"/>
      <c r="J351" s="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6">
      <c r="A352" s="7"/>
      <c r="B352" s="7"/>
      <c r="C352" s="7"/>
      <c r="D352" s="7"/>
      <c r="E352" s="7"/>
      <c r="F352" s="7"/>
      <c r="G352" s="7"/>
      <c r="H352" s="7"/>
      <c r="I352" s="7"/>
      <c r="J352" s="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6">
      <c r="A353" s="7"/>
      <c r="B353" s="7"/>
      <c r="C353" s="7"/>
      <c r="D353" s="7"/>
      <c r="E353" s="7"/>
      <c r="F353" s="7"/>
      <c r="G353" s="7"/>
      <c r="H353" s="7"/>
      <c r="I353" s="7"/>
      <c r="J353" s="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6">
      <c r="A354" s="7"/>
      <c r="B354" s="7"/>
      <c r="C354" s="7"/>
      <c r="D354" s="7"/>
      <c r="E354" s="7"/>
      <c r="F354" s="7"/>
      <c r="G354" s="7"/>
      <c r="H354" s="7"/>
      <c r="I354" s="7"/>
      <c r="J354" s="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6">
      <c r="A355" s="7"/>
      <c r="B355" s="7"/>
      <c r="C355" s="7"/>
      <c r="D355" s="7"/>
      <c r="E355" s="7"/>
      <c r="F355" s="7"/>
      <c r="G355" s="7"/>
      <c r="H355" s="7"/>
      <c r="I355" s="7"/>
      <c r="J355" s="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6">
      <c r="A356" s="7"/>
      <c r="B356" s="7"/>
      <c r="C356" s="7"/>
      <c r="D356" s="7"/>
      <c r="E356" s="7"/>
      <c r="F356" s="7"/>
      <c r="G356" s="7"/>
      <c r="H356" s="7"/>
      <c r="I356" s="7"/>
      <c r="J356" s="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6">
      <c r="A357" s="7"/>
      <c r="B357" s="7"/>
      <c r="C357" s="7"/>
      <c r="D357" s="7"/>
      <c r="E357" s="7"/>
      <c r="F357" s="7"/>
      <c r="G357" s="7"/>
      <c r="H357" s="7"/>
      <c r="I357" s="7"/>
      <c r="J357" s="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6">
      <c r="A358" s="7"/>
      <c r="B358" s="7"/>
      <c r="C358" s="7"/>
      <c r="D358" s="7"/>
      <c r="E358" s="7"/>
      <c r="F358" s="7"/>
      <c r="G358" s="7"/>
      <c r="H358" s="7"/>
      <c r="I358" s="7"/>
      <c r="J358" s="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6">
      <c r="A359" s="7"/>
      <c r="B359" s="7"/>
      <c r="C359" s="7"/>
      <c r="D359" s="7"/>
      <c r="E359" s="7"/>
      <c r="F359" s="7"/>
      <c r="G359" s="7"/>
      <c r="H359" s="7"/>
      <c r="I359" s="7"/>
      <c r="J359" s="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6">
      <c r="A360" s="7"/>
      <c r="B360" s="7"/>
      <c r="C360" s="7"/>
      <c r="D360" s="7"/>
      <c r="E360" s="7"/>
      <c r="F360" s="7"/>
      <c r="G360" s="7"/>
      <c r="H360" s="7"/>
      <c r="I360" s="7"/>
      <c r="J360" s="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6">
      <c r="A361" s="7"/>
      <c r="B361" s="7"/>
      <c r="C361" s="7"/>
      <c r="D361" s="7"/>
      <c r="E361" s="7"/>
      <c r="F361" s="7"/>
      <c r="G361" s="7"/>
      <c r="H361" s="7"/>
      <c r="I361" s="7"/>
      <c r="J361" s="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6">
      <c r="A362" s="7"/>
      <c r="B362" s="7"/>
      <c r="C362" s="7"/>
      <c r="D362" s="7"/>
      <c r="E362" s="7"/>
      <c r="F362" s="7"/>
      <c r="G362" s="7"/>
      <c r="H362" s="7"/>
      <c r="I362" s="7"/>
      <c r="J362" s="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6">
      <c r="A363" s="7"/>
      <c r="B363" s="7"/>
      <c r="C363" s="7"/>
      <c r="D363" s="7"/>
      <c r="E363" s="7"/>
      <c r="F363" s="7"/>
      <c r="G363" s="7"/>
      <c r="H363" s="7"/>
      <c r="I363" s="7"/>
      <c r="J363" s="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6">
      <c r="A364" s="7"/>
      <c r="B364" s="7"/>
      <c r="C364" s="7"/>
      <c r="D364" s="7"/>
      <c r="E364" s="7"/>
      <c r="F364" s="7"/>
      <c r="G364" s="7"/>
      <c r="H364" s="7"/>
      <c r="I364" s="7"/>
      <c r="J364" s="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6">
      <c r="A365" s="7"/>
      <c r="B365" s="7"/>
      <c r="C365" s="7"/>
      <c r="D365" s="7"/>
      <c r="E365" s="7"/>
      <c r="F365" s="7"/>
      <c r="G365" s="7"/>
      <c r="H365" s="7"/>
      <c r="I365" s="7"/>
      <c r="J365" s="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6">
      <c r="A366" s="7"/>
      <c r="B366" s="7"/>
      <c r="C366" s="7"/>
      <c r="D366" s="7"/>
      <c r="E366" s="7"/>
      <c r="F366" s="7"/>
      <c r="G366" s="7"/>
      <c r="H366" s="7"/>
      <c r="I366" s="7"/>
      <c r="J366" s="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6">
      <c r="A367" s="7"/>
      <c r="B367" s="7"/>
      <c r="C367" s="7"/>
      <c r="D367" s="7"/>
      <c r="E367" s="7"/>
      <c r="F367" s="7"/>
      <c r="G367" s="7"/>
      <c r="H367" s="7"/>
      <c r="I367" s="7"/>
      <c r="J367" s="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6">
      <c r="A368" s="7"/>
      <c r="B368" s="7"/>
      <c r="C368" s="7"/>
      <c r="D368" s="7"/>
      <c r="E368" s="7"/>
      <c r="F368" s="7"/>
      <c r="G368" s="7"/>
      <c r="H368" s="7"/>
      <c r="I368" s="7"/>
      <c r="J368" s="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6">
      <c r="A369" s="7"/>
      <c r="B369" s="7"/>
      <c r="C369" s="7"/>
      <c r="D369" s="7"/>
      <c r="E369" s="7"/>
      <c r="F369" s="7"/>
      <c r="G369" s="7"/>
      <c r="H369" s="7"/>
      <c r="I369" s="7"/>
      <c r="J369" s="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6">
      <c r="A370" s="7"/>
      <c r="B370" s="7"/>
      <c r="C370" s="7"/>
      <c r="D370" s="7"/>
      <c r="E370" s="7"/>
      <c r="F370" s="7"/>
      <c r="G370" s="7"/>
      <c r="H370" s="7"/>
      <c r="I370" s="7"/>
      <c r="J370" s="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6">
      <c r="A371" s="7"/>
      <c r="B371" s="7"/>
      <c r="C371" s="7"/>
      <c r="D371" s="7"/>
      <c r="E371" s="7"/>
      <c r="F371" s="7"/>
      <c r="G371" s="7"/>
      <c r="H371" s="7"/>
      <c r="I371" s="7"/>
      <c r="J371" s="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6">
      <c r="A372" s="7"/>
      <c r="B372" s="7"/>
      <c r="C372" s="7"/>
      <c r="D372" s="7"/>
      <c r="E372" s="7"/>
      <c r="F372" s="7"/>
      <c r="G372" s="7"/>
      <c r="H372" s="7"/>
      <c r="I372" s="7"/>
      <c r="J372" s="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6">
      <c r="A373" s="7"/>
      <c r="B373" s="7"/>
      <c r="C373" s="7"/>
      <c r="D373" s="7"/>
      <c r="E373" s="7"/>
      <c r="F373" s="7"/>
      <c r="G373" s="7"/>
      <c r="H373" s="7"/>
      <c r="I373" s="7"/>
      <c r="J373" s="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6">
      <c r="A374" s="7"/>
      <c r="B374" s="7"/>
      <c r="C374" s="7"/>
      <c r="D374" s="7"/>
      <c r="E374" s="7"/>
      <c r="F374" s="7"/>
      <c r="G374" s="7"/>
      <c r="H374" s="7"/>
      <c r="I374" s="7"/>
      <c r="J374" s="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6">
      <c r="A375" s="7"/>
      <c r="B375" s="7"/>
      <c r="C375" s="7"/>
      <c r="D375" s="7"/>
      <c r="E375" s="7"/>
      <c r="F375" s="7"/>
      <c r="G375" s="7"/>
      <c r="H375" s="7"/>
      <c r="I375" s="7"/>
      <c r="J375" s="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6">
      <c r="A376" s="7"/>
      <c r="B376" s="7"/>
      <c r="C376" s="7"/>
      <c r="D376" s="7"/>
      <c r="E376" s="7"/>
      <c r="F376" s="7"/>
      <c r="G376" s="7"/>
      <c r="H376" s="7"/>
      <c r="I376" s="7"/>
      <c r="J376" s="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6">
      <c r="A377" s="7"/>
      <c r="B377" s="7"/>
      <c r="C377" s="7"/>
      <c r="D377" s="7"/>
      <c r="E377" s="7"/>
      <c r="F377" s="7"/>
      <c r="G377" s="7"/>
      <c r="H377" s="7"/>
      <c r="I377" s="7"/>
      <c r="J377" s="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6">
      <c r="A378" s="7"/>
      <c r="B378" s="7"/>
      <c r="C378" s="7"/>
      <c r="D378" s="7"/>
      <c r="E378" s="7"/>
      <c r="F378" s="7"/>
      <c r="G378" s="7"/>
      <c r="H378" s="7"/>
      <c r="I378" s="7"/>
      <c r="J378" s="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6">
      <c r="A379" s="7"/>
      <c r="B379" s="7"/>
      <c r="C379" s="7"/>
      <c r="D379" s="7"/>
      <c r="E379" s="7"/>
      <c r="F379" s="7"/>
      <c r="G379" s="7"/>
      <c r="H379" s="7"/>
      <c r="I379" s="7"/>
      <c r="J379" s="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6">
      <c r="A380" s="7"/>
      <c r="B380" s="7"/>
      <c r="C380" s="7"/>
      <c r="D380" s="7"/>
      <c r="E380" s="7"/>
      <c r="F380" s="7"/>
      <c r="G380" s="7"/>
      <c r="H380" s="7"/>
      <c r="I380" s="7"/>
      <c r="J380" s="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6">
      <c r="A381" s="7"/>
      <c r="B381" s="7"/>
      <c r="C381" s="7"/>
      <c r="D381" s="7"/>
      <c r="E381" s="7"/>
      <c r="F381" s="7"/>
      <c r="G381" s="7"/>
      <c r="H381" s="7"/>
      <c r="I381" s="7"/>
      <c r="J381" s="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6">
      <c r="A382" s="7"/>
      <c r="B382" s="7"/>
      <c r="C382" s="7"/>
      <c r="D382" s="7"/>
      <c r="E382" s="7"/>
      <c r="F382" s="7"/>
      <c r="G382" s="7"/>
      <c r="H382" s="7"/>
      <c r="I382" s="7"/>
      <c r="J382" s="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6">
      <c r="A383" s="7"/>
      <c r="B383" s="7"/>
      <c r="C383" s="7"/>
      <c r="D383" s="7"/>
      <c r="E383" s="7"/>
      <c r="F383" s="7"/>
      <c r="G383" s="7"/>
      <c r="H383" s="7"/>
      <c r="I383" s="7"/>
      <c r="J383" s="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6">
      <c r="A384" s="7"/>
      <c r="B384" s="7"/>
      <c r="C384" s="7"/>
      <c r="D384" s="7"/>
      <c r="E384" s="7"/>
      <c r="F384" s="7"/>
      <c r="G384" s="7"/>
      <c r="H384" s="7"/>
      <c r="I384" s="7"/>
      <c r="J384" s="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6">
      <c r="A385" s="7"/>
      <c r="B385" s="7"/>
      <c r="C385" s="7"/>
      <c r="D385" s="7"/>
      <c r="E385" s="7"/>
      <c r="F385" s="7"/>
      <c r="G385" s="7"/>
      <c r="H385" s="7"/>
      <c r="I385" s="7"/>
      <c r="J385" s="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6">
      <c r="A386" s="7"/>
      <c r="B386" s="7"/>
      <c r="C386" s="7"/>
      <c r="D386" s="7"/>
      <c r="E386" s="7"/>
      <c r="F386" s="7"/>
      <c r="G386" s="7"/>
      <c r="H386" s="7"/>
      <c r="I386" s="7"/>
      <c r="J386" s="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6">
      <c r="A387" s="7"/>
      <c r="B387" s="7"/>
      <c r="C387" s="7"/>
      <c r="D387" s="7"/>
      <c r="E387" s="7"/>
      <c r="F387" s="7"/>
      <c r="G387" s="7"/>
      <c r="H387" s="7"/>
      <c r="I387" s="7"/>
      <c r="J387" s="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6">
      <c r="A388" s="7"/>
      <c r="B388" s="7"/>
      <c r="C388" s="7"/>
      <c r="D388" s="7"/>
      <c r="E388" s="7"/>
      <c r="F388" s="7"/>
      <c r="G388" s="7"/>
      <c r="H388" s="7"/>
      <c r="I388" s="7"/>
      <c r="J388" s="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6">
      <c r="A389" s="7"/>
      <c r="B389" s="7"/>
      <c r="C389" s="7"/>
      <c r="D389" s="7"/>
      <c r="E389" s="7"/>
      <c r="F389" s="7"/>
      <c r="G389" s="7"/>
      <c r="H389" s="7"/>
      <c r="I389" s="7"/>
      <c r="J389" s="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6">
      <c r="A390" s="7"/>
      <c r="B390" s="7"/>
      <c r="C390" s="7"/>
      <c r="D390" s="7"/>
      <c r="E390" s="7"/>
      <c r="F390" s="7"/>
      <c r="G390" s="7"/>
      <c r="H390" s="7"/>
      <c r="I390" s="7"/>
      <c r="J390" s="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6">
      <c r="A391" s="7"/>
      <c r="B391" s="7"/>
      <c r="C391" s="7"/>
      <c r="D391" s="7"/>
      <c r="E391" s="7"/>
      <c r="F391" s="7"/>
      <c r="G391" s="7"/>
      <c r="H391" s="7"/>
      <c r="I391" s="7"/>
      <c r="J391" s="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6">
      <c r="A392" s="7"/>
      <c r="B392" s="7"/>
      <c r="C392" s="7"/>
      <c r="D392" s="7"/>
      <c r="E392" s="7"/>
      <c r="F392" s="7"/>
      <c r="G392" s="7"/>
      <c r="H392" s="7"/>
      <c r="I392" s="7"/>
      <c r="J392" s="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6">
      <c r="A393" s="7"/>
      <c r="B393" s="7"/>
      <c r="C393" s="7"/>
      <c r="D393" s="7"/>
      <c r="E393" s="7"/>
      <c r="F393" s="7"/>
      <c r="G393" s="7"/>
      <c r="H393" s="7"/>
      <c r="I393" s="7"/>
      <c r="J393" s="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6">
      <c r="A394" s="7"/>
      <c r="B394" s="7"/>
      <c r="C394" s="7"/>
      <c r="D394" s="7"/>
      <c r="E394" s="7"/>
      <c r="F394" s="7"/>
      <c r="G394" s="7"/>
      <c r="H394" s="7"/>
      <c r="I394" s="7"/>
      <c r="J394" s="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6">
      <c r="A395" s="7"/>
      <c r="B395" s="7"/>
      <c r="C395" s="7"/>
      <c r="D395" s="7"/>
      <c r="E395" s="7"/>
      <c r="F395" s="7"/>
      <c r="G395" s="7"/>
      <c r="H395" s="7"/>
      <c r="I395" s="7"/>
      <c r="J395" s="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6">
      <c r="A396" s="7"/>
      <c r="B396" s="7"/>
      <c r="C396" s="7"/>
      <c r="D396" s="7"/>
      <c r="E396" s="7"/>
      <c r="F396" s="7"/>
      <c r="G396" s="7"/>
      <c r="H396" s="7"/>
      <c r="I396" s="7"/>
      <c r="J396" s="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6">
      <c r="A397" s="7"/>
      <c r="B397" s="7"/>
      <c r="C397" s="7"/>
      <c r="D397" s="7"/>
      <c r="E397" s="7"/>
      <c r="F397" s="7"/>
      <c r="G397" s="7"/>
      <c r="H397" s="7"/>
      <c r="I397" s="7"/>
      <c r="J397" s="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6">
      <c r="A398" s="7"/>
      <c r="B398" s="7"/>
      <c r="C398" s="7"/>
      <c r="D398" s="7"/>
      <c r="E398" s="7"/>
      <c r="F398" s="7"/>
      <c r="G398" s="7"/>
      <c r="H398" s="7"/>
      <c r="I398" s="7"/>
      <c r="J398" s="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6">
      <c r="A399" s="7"/>
      <c r="B399" s="7"/>
      <c r="C399" s="7"/>
      <c r="D399" s="7"/>
      <c r="E399" s="7"/>
      <c r="F399" s="7"/>
      <c r="G399" s="7"/>
      <c r="H399" s="7"/>
      <c r="I399" s="7"/>
      <c r="J399" s="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6">
      <c r="A400" s="7"/>
      <c r="B400" s="7"/>
      <c r="C400" s="7"/>
      <c r="D400" s="7"/>
      <c r="E400" s="7"/>
      <c r="F400" s="7"/>
      <c r="G400" s="7"/>
      <c r="H400" s="7"/>
      <c r="I400" s="7"/>
      <c r="J400" s="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6">
      <c r="A401" s="7"/>
      <c r="B401" s="7"/>
      <c r="C401" s="7"/>
      <c r="D401" s="7"/>
      <c r="E401" s="7"/>
      <c r="F401" s="7"/>
      <c r="G401" s="7"/>
      <c r="H401" s="7"/>
      <c r="I401" s="7"/>
      <c r="J401" s="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6">
      <c r="A402" s="7"/>
      <c r="B402" s="7"/>
      <c r="C402" s="7"/>
      <c r="D402" s="7"/>
      <c r="E402" s="7"/>
      <c r="F402" s="7"/>
      <c r="G402" s="7"/>
      <c r="H402" s="7"/>
      <c r="I402" s="7"/>
      <c r="J402" s="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6">
      <c r="A403" s="7"/>
      <c r="B403" s="7"/>
      <c r="C403" s="7"/>
      <c r="D403" s="7"/>
      <c r="E403" s="7"/>
      <c r="F403" s="7"/>
      <c r="G403" s="7"/>
      <c r="H403" s="7"/>
      <c r="I403" s="7"/>
      <c r="J403" s="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6">
      <c r="A404" s="7"/>
      <c r="B404" s="7"/>
      <c r="C404" s="7"/>
      <c r="D404" s="7"/>
      <c r="E404" s="7"/>
      <c r="F404" s="7"/>
      <c r="G404" s="7"/>
      <c r="H404" s="7"/>
      <c r="I404" s="7"/>
      <c r="J404" s="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6">
      <c r="A405" s="7"/>
      <c r="B405" s="7"/>
      <c r="C405" s="7"/>
      <c r="D405" s="7"/>
      <c r="E405" s="7"/>
      <c r="F405" s="7"/>
      <c r="G405" s="7"/>
      <c r="H405" s="7"/>
      <c r="I405" s="7"/>
      <c r="J405" s="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6">
      <c r="A406" s="7"/>
      <c r="B406" s="7"/>
      <c r="C406" s="7"/>
      <c r="D406" s="7"/>
      <c r="E406" s="7"/>
      <c r="F406" s="7"/>
      <c r="G406" s="7"/>
      <c r="H406" s="7"/>
      <c r="I406" s="7"/>
      <c r="J406" s="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6">
      <c r="A407" s="7"/>
      <c r="B407" s="7"/>
      <c r="C407" s="7"/>
      <c r="D407" s="7"/>
      <c r="E407" s="7"/>
      <c r="F407" s="7"/>
      <c r="G407" s="7"/>
      <c r="H407" s="7"/>
      <c r="I407" s="7"/>
      <c r="J407" s="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6">
      <c r="A408" s="7"/>
      <c r="B408" s="7"/>
      <c r="C408" s="7"/>
      <c r="D408" s="7"/>
      <c r="E408" s="7"/>
      <c r="F408" s="7"/>
      <c r="G408" s="7"/>
      <c r="H408" s="7"/>
      <c r="I408" s="7"/>
      <c r="J408" s="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6">
      <c r="A409" s="7"/>
      <c r="B409" s="7"/>
      <c r="C409" s="7"/>
      <c r="D409" s="7"/>
      <c r="E409" s="7"/>
      <c r="F409" s="7"/>
      <c r="G409" s="7"/>
      <c r="H409" s="7"/>
      <c r="I409" s="7"/>
      <c r="J409" s="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6">
      <c r="A410" s="7"/>
      <c r="B410" s="7"/>
      <c r="C410" s="7"/>
      <c r="D410" s="7"/>
      <c r="E410" s="7"/>
      <c r="F410" s="7"/>
      <c r="G410" s="7"/>
      <c r="H410" s="7"/>
      <c r="I410" s="7"/>
      <c r="J410" s="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6">
      <c r="A411" s="7"/>
      <c r="B411" s="7"/>
      <c r="C411" s="7"/>
      <c r="D411" s="7"/>
      <c r="E411" s="7"/>
      <c r="F411" s="7"/>
      <c r="G411" s="7"/>
      <c r="H411" s="7"/>
      <c r="I411" s="7"/>
      <c r="J411" s="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6">
      <c r="A412" s="7"/>
      <c r="B412" s="7"/>
      <c r="C412" s="7"/>
      <c r="D412" s="7"/>
      <c r="E412" s="7"/>
      <c r="F412" s="7"/>
      <c r="G412" s="7"/>
      <c r="H412" s="7"/>
      <c r="I412" s="7"/>
      <c r="J412" s="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6">
      <c r="A413" s="7"/>
      <c r="B413" s="7"/>
      <c r="C413" s="7"/>
      <c r="D413" s="7"/>
      <c r="E413" s="7"/>
      <c r="F413" s="7"/>
      <c r="G413" s="7"/>
      <c r="H413" s="7"/>
      <c r="I413" s="7"/>
      <c r="J413" s="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6">
      <c r="A414" s="7"/>
      <c r="B414" s="7"/>
      <c r="C414" s="7"/>
      <c r="D414" s="7"/>
      <c r="E414" s="7"/>
      <c r="F414" s="7"/>
      <c r="G414" s="7"/>
      <c r="H414" s="7"/>
      <c r="I414" s="7"/>
      <c r="J414" s="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6">
      <c r="A415" s="7"/>
      <c r="B415" s="7"/>
      <c r="C415" s="7"/>
      <c r="D415" s="7"/>
      <c r="E415" s="7"/>
      <c r="F415" s="7"/>
      <c r="G415" s="7"/>
      <c r="H415" s="7"/>
      <c r="I415" s="7"/>
      <c r="J415" s="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6">
      <c r="A416" s="7"/>
      <c r="B416" s="7"/>
      <c r="C416" s="7"/>
      <c r="D416" s="7"/>
      <c r="E416" s="7"/>
      <c r="F416" s="7"/>
      <c r="G416" s="7"/>
      <c r="H416" s="7"/>
      <c r="I416" s="7"/>
      <c r="J416" s="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6">
      <c r="A417" s="7"/>
      <c r="B417" s="7"/>
      <c r="C417" s="7"/>
      <c r="D417" s="7"/>
      <c r="E417" s="7"/>
      <c r="F417" s="7"/>
      <c r="G417" s="7"/>
      <c r="H417" s="7"/>
      <c r="I417" s="7"/>
      <c r="J417" s="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6">
      <c r="A418" s="7"/>
      <c r="B418" s="7"/>
      <c r="C418" s="7"/>
      <c r="D418" s="7"/>
      <c r="E418" s="7"/>
      <c r="F418" s="7"/>
      <c r="G418" s="7"/>
      <c r="H418" s="7"/>
      <c r="I418" s="7"/>
      <c r="J418" s="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6">
      <c r="A419" s="7"/>
      <c r="B419" s="7"/>
      <c r="C419" s="7"/>
      <c r="D419" s="7"/>
      <c r="E419" s="7"/>
      <c r="F419" s="7"/>
      <c r="G419" s="7"/>
      <c r="H419" s="7"/>
      <c r="I419" s="7"/>
      <c r="J419" s="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6">
      <c r="A420" s="7"/>
      <c r="B420" s="7"/>
      <c r="C420" s="7"/>
      <c r="D420" s="7"/>
      <c r="E420" s="7"/>
      <c r="F420" s="7"/>
      <c r="G420" s="7"/>
      <c r="H420" s="7"/>
      <c r="I420" s="7"/>
      <c r="J420" s="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6">
      <c r="A421" s="7"/>
      <c r="B421" s="7"/>
      <c r="C421" s="7"/>
      <c r="D421" s="7"/>
      <c r="E421" s="7"/>
      <c r="F421" s="7"/>
      <c r="G421" s="7"/>
      <c r="H421" s="7"/>
      <c r="I421" s="7"/>
      <c r="J421" s="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6">
      <c r="A422" s="7"/>
      <c r="B422" s="7"/>
      <c r="C422" s="7"/>
      <c r="D422" s="7"/>
      <c r="E422" s="7"/>
      <c r="F422" s="7"/>
      <c r="G422" s="7"/>
      <c r="H422" s="7"/>
      <c r="I422" s="7"/>
      <c r="J422" s="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6">
      <c r="A423" s="7"/>
      <c r="B423" s="7"/>
      <c r="C423" s="7"/>
      <c r="D423" s="7"/>
      <c r="E423" s="7"/>
      <c r="F423" s="7"/>
      <c r="G423" s="7"/>
      <c r="H423" s="7"/>
      <c r="I423" s="7"/>
      <c r="J423" s="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6">
      <c r="A424" s="7"/>
      <c r="B424" s="7"/>
      <c r="C424" s="7"/>
      <c r="D424" s="7"/>
      <c r="E424" s="7"/>
      <c r="F424" s="7"/>
      <c r="G424" s="7"/>
      <c r="H424" s="7"/>
      <c r="I424" s="7"/>
      <c r="J424" s="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6">
      <c r="A425" s="7"/>
      <c r="B425" s="7"/>
      <c r="C425" s="7"/>
      <c r="D425" s="7"/>
      <c r="E425" s="7"/>
      <c r="F425" s="7"/>
      <c r="G425" s="7"/>
      <c r="H425" s="7"/>
      <c r="I425" s="7"/>
      <c r="J425" s="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6">
      <c r="A426" s="7"/>
      <c r="B426" s="7"/>
      <c r="C426" s="7"/>
      <c r="D426" s="7"/>
      <c r="E426" s="7"/>
      <c r="F426" s="7"/>
      <c r="G426" s="7"/>
      <c r="H426" s="7"/>
      <c r="I426" s="7"/>
      <c r="J426" s="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6">
      <c r="A427" s="7"/>
      <c r="B427" s="7"/>
      <c r="C427" s="7"/>
      <c r="D427" s="7"/>
      <c r="E427" s="7"/>
      <c r="F427" s="7"/>
      <c r="G427" s="7"/>
      <c r="H427" s="7"/>
      <c r="I427" s="7"/>
      <c r="J427" s="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6">
      <c r="A428" s="7"/>
      <c r="B428" s="7"/>
      <c r="C428" s="7"/>
      <c r="D428" s="7"/>
      <c r="E428" s="7"/>
      <c r="F428" s="7"/>
      <c r="G428" s="7"/>
      <c r="H428" s="7"/>
      <c r="I428" s="7"/>
      <c r="J428" s="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6">
      <c r="A429" s="7"/>
      <c r="B429" s="7"/>
      <c r="C429" s="7"/>
      <c r="D429" s="7"/>
      <c r="E429" s="7"/>
      <c r="F429" s="7"/>
      <c r="G429" s="7"/>
      <c r="H429" s="7"/>
      <c r="I429" s="7"/>
      <c r="J429" s="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6">
      <c r="A430" s="7"/>
      <c r="B430" s="7"/>
      <c r="C430" s="7"/>
      <c r="D430" s="7"/>
      <c r="E430" s="7"/>
      <c r="F430" s="7"/>
      <c r="G430" s="7"/>
      <c r="H430" s="7"/>
      <c r="I430" s="7"/>
      <c r="J430" s="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6">
      <c r="A431" s="7"/>
      <c r="B431" s="7"/>
      <c r="C431" s="7"/>
      <c r="D431" s="7"/>
      <c r="E431" s="7"/>
      <c r="F431" s="7"/>
      <c r="G431" s="7"/>
      <c r="H431" s="7"/>
      <c r="I431" s="7"/>
      <c r="J431" s="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6">
      <c r="A432" s="7"/>
      <c r="B432" s="7"/>
      <c r="C432" s="7"/>
      <c r="D432" s="7"/>
      <c r="E432" s="7"/>
      <c r="F432" s="7"/>
      <c r="G432" s="7"/>
      <c r="H432" s="7"/>
      <c r="I432" s="7"/>
      <c r="J432" s="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6">
      <c r="A433" s="7"/>
      <c r="B433" s="7"/>
      <c r="C433" s="7"/>
      <c r="D433" s="7"/>
      <c r="E433" s="7"/>
      <c r="F433" s="7"/>
      <c r="G433" s="7"/>
      <c r="H433" s="7"/>
      <c r="I433" s="7"/>
      <c r="J433" s="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6">
      <c r="A434" s="7"/>
      <c r="B434" s="7"/>
      <c r="C434" s="7"/>
      <c r="D434" s="7"/>
      <c r="E434" s="7"/>
      <c r="F434" s="7"/>
      <c r="G434" s="7"/>
      <c r="H434" s="7"/>
      <c r="I434" s="7"/>
      <c r="J434" s="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6">
      <c r="A435" s="7"/>
      <c r="B435" s="7"/>
      <c r="C435" s="7"/>
      <c r="D435" s="7"/>
      <c r="E435" s="7"/>
      <c r="F435" s="7"/>
      <c r="G435" s="7"/>
      <c r="H435" s="7"/>
      <c r="I435" s="7"/>
      <c r="J435" s="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6">
      <c r="A436" s="7"/>
      <c r="B436" s="7"/>
      <c r="C436" s="7"/>
      <c r="D436" s="7"/>
      <c r="E436" s="7"/>
      <c r="F436" s="7"/>
      <c r="G436" s="7"/>
      <c r="H436" s="7"/>
      <c r="I436" s="7"/>
      <c r="J436" s="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6">
      <c r="A437" s="7"/>
      <c r="B437" s="7"/>
      <c r="C437" s="7"/>
      <c r="D437" s="7"/>
      <c r="E437" s="7"/>
      <c r="F437" s="7"/>
      <c r="G437" s="7"/>
      <c r="H437" s="7"/>
      <c r="I437" s="7"/>
      <c r="J437" s="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6">
      <c r="A438" s="7"/>
      <c r="B438" s="7"/>
      <c r="C438" s="7"/>
      <c r="D438" s="7"/>
      <c r="E438" s="7"/>
      <c r="F438" s="7"/>
      <c r="G438" s="7"/>
      <c r="H438" s="7"/>
      <c r="I438" s="7"/>
      <c r="J438" s="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6">
      <c r="A439" s="7"/>
      <c r="B439" s="7"/>
      <c r="C439" s="7"/>
      <c r="D439" s="7"/>
      <c r="E439" s="7"/>
      <c r="F439" s="7"/>
      <c r="G439" s="7"/>
      <c r="H439" s="7"/>
      <c r="I439" s="7"/>
      <c r="J439" s="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6">
      <c r="A440" s="7"/>
      <c r="B440" s="7"/>
      <c r="C440" s="7"/>
      <c r="D440" s="7"/>
      <c r="E440" s="7"/>
      <c r="F440" s="7"/>
      <c r="G440" s="7"/>
      <c r="H440" s="7"/>
      <c r="I440" s="7"/>
      <c r="J440" s="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6">
      <c r="A441" s="7"/>
      <c r="B441" s="7"/>
      <c r="C441" s="7"/>
      <c r="D441" s="7"/>
      <c r="E441" s="7"/>
      <c r="F441" s="7"/>
      <c r="G441" s="7"/>
      <c r="H441" s="7"/>
      <c r="I441" s="7"/>
      <c r="J441" s="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6">
      <c r="A442" s="7"/>
      <c r="B442" s="7"/>
      <c r="C442" s="7"/>
      <c r="D442" s="7"/>
      <c r="E442" s="7"/>
      <c r="F442" s="7"/>
      <c r="G442" s="7"/>
      <c r="H442" s="7"/>
      <c r="I442" s="7"/>
      <c r="J442" s="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6">
      <c r="A443" s="7"/>
      <c r="B443" s="7"/>
      <c r="C443" s="7"/>
      <c r="D443" s="7"/>
      <c r="E443" s="7"/>
      <c r="F443" s="7"/>
      <c r="G443" s="7"/>
      <c r="H443" s="7"/>
      <c r="I443" s="7"/>
      <c r="J443" s="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6">
      <c r="A444" s="7"/>
      <c r="B444" s="7"/>
      <c r="C444" s="7"/>
      <c r="D444" s="7"/>
      <c r="E444" s="7"/>
      <c r="F444" s="7"/>
      <c r="G444" s="7"/>
      <c r="H444" s="7"/>
      <c r="I444" s="7"/>
      <c r="J444" s="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6">
      <c r="A445" s="7"/>
      <c r="B445" s="7"/>
      <c r="C445" s="7"/>
      <c r="D445" s="7"/>
      <c r="E445" s="7"/>
      <c r="F445" s="7"/>
      <c r="G445" s="7"/>
      <c r="H445" s="7"/>
      <c r="I445" s="7"/>
      <c r="J445" s="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6">
      <c r="A446" s="7"/>
      <c r="B446" s="7"/>
      <c r="C446" s="7"/>
      <c r="D446" s="7"/>
      <c r="E446" s="7"/>
      <c r="F446" s="7"/>
      <c r="G446" s="7"/>
      <c r="H446" s="7"/>
      <c r="I446" s="7"/>
      <c r="J446" s="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6">
      <c r="A447" s="7"/>
      <c r="B447" s="7"/>
      <c r="C447" s="7"/>
      <c r="D447" s="7"/>
      <c r="E447" s="7"/>
      <c r="F447" s="7"/>
      <c r="G447" s="7"/>
      <c r="H447" s="7"/>
      <c r="I447" s="7"/>
      <c r="J447" s="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6">
      <c r="A448" s="7"/>
      <c r="B448" s="7"/>
      <c r="C448" s="7"/>
      <c r="D448" s="7"/>
      <c r="E448" s="7"/>
      <c r="F448" s="7"/>
      <c r="G448" s="7"/>
      <c r="H448" s="7"/>
      <c r="I448" s="7"/>
      <c r="J448" s="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6">
      <c r="A449" s="7"/>
      <c r="B449" s="7"/>
      <c r="C449" s="7"/>
      <c r="D449" s="7"/>
      <c r="E449" s="7"/>
      <c r="F449" s="7"/>
      <c r="G449" s="7"/>
      <c r="H449" s="7"/>
      <c r="I449" s="7"/>
      <c r="J449" s="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6">
      <c r="A450" s="7"/>
      <c r="B450" s="7"/>
      <c r="C450" s="7"/>
      <c r="D450" s="7"/>
      <c r="E450" s="7"/>
      <c r="F450" s="7"/>
      <c r="G450" s="7"/>
      <c r="H450" s="7"/>
      <c r="I450" s="7"/>
      <c r="J450" s="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6">
      <c r="A451" s="7"/>
      <c r="B451" s="7"/>
      <c r="C451" s="7"/>
      <c r="D451" s="7"/>
      <c r="E451" s="7"/>
      <c r="F451" s="7"/>
      <c r="G451" s="7"/>
      <c r="H451" s="7"/>
      <c r="I451" s="7"/>
      <c r="J451" s="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6">
      <c r="A452" s="7"/>
      <c r="B452" s="7"/>
      <c r="C452" s="7"/>
      <c r="D452" s="7"/>
      <c r="E452" s="7"/>
      <c r="F452" s="7"/>
      <c r="G452" s="7"/>
      <c r="H452" s="7"/>
      <c r="I452" s="7"/>
      <c r="J452" s="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6">
      <c r="A453" s="7"/>
      <c r="B453" s="7"/>
      <c r="C453" s="7"/>
      <c r="D453" s="7"/>
      <c r="E453" s="7"/>
      <c r="F453" s="7"/>
      <c r="G453" s="7"/>
      <c r="H453" s="7"/>
      <c r="I453" s="7"/>
      <c r="J453" s="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6">
      <c r="A454" s="7"/>
      <c r="B454" s="7"/>
      <c r="C454" s="7"/>
      <c r="D454" s="7"/>
      <c r="E454" s="7"/>
      <c r="F454" s="7"/>
      <c r="G454" s="7"/>
      <c r="H454" s="7"/>
      <c r="I454" s="7"/>
      <c r="J454" s="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6">
      <c r="A455" s="7"/>
      <c r="B455" s="7"/>
      <c r="C455" s="7"/>
      <c r="D455" s="7"/>
      <c r="E455" s="7"/>
      <c r="F455" s="7"/>
      <c r="G455" s="7"/>
      <c r="H455" s="7"/>
      <c r="I455" s="7"/>
      <c r="J455" s="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6">
      <c r="A456" s="7"/>
      <c r="B456" s="7"/>
      <c r="C456" s="7"/>
      <c r="D456" s="7"/>
      <c r="E456" s="7"/>
      <c r="F456" s="7"/>
      <c r="G456" s="7"/>
      <c r="H456" s="7"/>
      <c r="I456" s="7"/>
      <c r="J456" s="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6">
      <c r="A457" s="7"/>
      <c r="B457" s="7"/>
      <c r="C457" s="7"/>
      <c r="D457" s="7"/>
      <c r="E457" s="7"/>
      <c r="F457" s="7"/>
      <c r="G457" s="7"/>
      <c r="H457" s="7"/>
      <c r="I457" s="7"/>
      <c r="J457" s="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6">
      <c r="A458" s="7"/>
      <c r="B458" s="7"/>
      <c r="C458" s="7"/>
      <c r="D458" s="7"/>
      <c r="E458" s="7"/>
      <c r="F458" s="7"/>
      <c r="G458" s="7"/>
      <c r="H458" s="7"/>
      <c r="I458" s="7"/>
      <c r="J458" s="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6">
      <c r="A459" s="7"/>
      <c r="B459" s="7"/>
      <c r="C459" s="7"/>
      <c r="D459" s="7"/>
      <c r="E459" s="7"/>
      <c r="F459" s="7"/>
      <c r="G459" s="7"/>
      <c r="H459" s="7"/>
      <c r="I459" s="7"/>
      <c r="J459" s="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6">
      <c r="A460" s="7"/>
      <c r="B460" s="7"/>
      <c r="C460" s="7"/>
      <c r="D460" s="7"/>
      <c r="E460" s="7"/>
      <c r="F460" s="7"/>
      <c r="G460" s="7"/>
      <c r="H460" s="7"/>
      <c r="I460" s="7"/>
      <c r="J460" s="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6">
      <c r="A461" s="7"/>
      <c r="B461" s="7"/>
      <c r="C461" s="7"/>
      <c r="D461" s="7"/>
      <c r="E461" s="7"/>
      <c r="F461" s="7"/>
      <c r="G461" s="7"/>
      <c r="H461" s="7"/>
      <c r="I461" s="7"/>
      <c r="J461" s="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6">
      <c r="A462" s="7"/>
      <c r="B462" s="7"/>
      <c r="C462" s="7"/>
      <c r="D462" s="7"/>
      <c r="E462" s="7"/>
      <c r="F462" s="7"/>
      <c r="G462" s="7"/>
      <c r="H462" s="7"/>
      <c r="I462" s="7"/>
      <c r="J462" s="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6">
      <c r="A463" s="7"/>
      <c r="B463" s="7"/>
      <c r="C463" s="7"/>
      <c r="D463" s="7"/>
      <c r="E463" s="7"/>
      <c r="F463" s="7"/>
      <c r="G463" s="7"/>
      <c r="H463" s="7"/>
      <c r="I463" s="7"/>
      <c r="J463" s="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6">
      <c r="A464" s="7"/>
      <c r="B464" s="7"/>
      <c r="C464" s="7"/>
      <c r="D464" s="7"/>
      <c r="E464" s="7"/>
      <c r="F464" s="7"/>
      <c r="G464" s="7"/>
      <c r="H464" s="7"/>
      <c r="I464" s="7"/>
      <c r="J464" s="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6">
      <c r="A465" s="7"/>
      <c r="B465" s="7"/>
      <c r="C465" s="7"/>
      <c r="D465" s="7"/>
      <c r="E465" s="7"/>
      <c r="F465" s="7"/>
      <c r="G465" s="7"/>
      <c r="H465" s="7"/>
      <c r="I465" s="7"/>
      <c r="J465" s="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6">
      <c r="A466" s="7"/>
      <c r="B466" s="7"/>
      <c r="C466" s="7"/>
      <c r="D466" s="7"/>
      <c r="E466" s="7"/>
      <c r="F466" s="7"/>
      <c r="G466" s="7"/>
      <c r="H466" s="7"/>
      <c r="I466" s="7"/>
      <c r="J466" s="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6">
      <c r="A467" s="7"/>
      <c r="B467" s="7"/>
      <c r="C467" s="7"/>
      <c r="D467" s="7"/>
      <c r="E467" s="7"/>
      <c r="F467" s="7"/>
      <c r="G467" s="7"/>
      <c r="H467" s="7"/>
      <c r="I467" s="7"/>
      <c r="J467" s="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6">
      <c r="A468" s="7"/>
      <c r="B468" s="7"/>
      <c r="C468" s="7"/>
      <c r="D468" s="7"/>
      <c r="E468" s="7"/>
      <c r="F468" s="7"/>
      <c r="G468" s="7"/>
      <c r="H468" s="7"/>
      <c r="I468" s="7"/>
      <c r="J468" s="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6">
      <c r="A469" s="7"/>
      <c r="B469" s="7"/>
      <c r="C469" s="7"/>
      <c r="D469" s="7"/>
      <c r="E469" s="7"/>
      <c r="F469" s="7"/>
      <c r="G469" s="7"/>
      <c r="H469" s="7"/>
      <c r="I469" s="7"/>
      <c r="J469" s="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6">
      <c r="A470" s="7"/>
      <c r="B470" s="7"/>
      <c r="C470" s="7"/>
      <c r="D470" s="7"/>
      <c r="E470" s="7"/>
      <c r="F470" s="7"/>
      <c r="G470" s="7"/>
      <c r="H470" s="7"/>
      <c r="I470" s="7"/>
      <c r="J470" s="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6">
      <c r="A471" s="7"/>
      <c r="B471" s="7"/>
      <c r="C471" s="7"/>
      <c r="D471" s="7"/>
      <c r="E471" s="7"/>
      <c r="F471" s="7"/>
      <c r="G471" s="7"/>
      <c r="H471" s="7"/>
      <c r="I471" s="7"/>
      <c r="J471" s="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6">
      <c r="A472" s="7"/>
      <c r="B472" s="7"/>
      <c r="C472" s="7"/>
      <c r="D472" s="7"/>
      <c r="E472" s="7"/>
      <c r="F472" s="7"/>
      <c r="G472" s="7"/>
      <c r="H472" s="7"/>
      <c r="I472" s="7"/>
      <c r="J472" s="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6">
      <c r="A473" s="7"/>
      <c r="B473" s="7"/>
      <c r="C473" s="7"/>
      <c r="D473" s="7"/>
      <c r="E473" s="7"/>
      <c r="F473" s="7"/>
      <c r="G473" s="7"/>
      <c r="H473" s="7"/>
      <c r="I473" s="7"/>
      <c r="J473" s="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6">
      <c r="A474" s="7"/>
      <c r="B474" s="7"/>
      <c r="C474" s="7"/>
      <c r="D474" s="7"/>
      <c r="E474" s="7"/>
      <c r="F474" s="7"/>
      <c r="G474" s="7"/>
      <c r="H474" s="7"/>
      <c r="I474" s="7"/>
      <c r="J474" s="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6">
      <c r="A475" s="7"/>
      <c r="B475" s="7"/>
      <c r="C475" s="7"/>
      <c r="D475" s="7"/>
      <c r="E475" s="7"/>
      <c r="F475" s="7"/>
      <c r="G475" s="7"/>
      <c r="H475" s="7"/>
      <c r="I475" s="7"/>
      <c r="J475" s="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6">
      <c r="A476" s="7"/>
      <c r="B476" s="7"/>
      <c r="C476" s="7"/>
      <c r="D476" s="7"/>
      <c r="E476" s="7"/>
      <c r="F476" s="7"/>
      <c r="G476" s="7"/>
      <c r="H476" s="7"/>
      <c r="I476" s="7"/>
      <c r="J476" s="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6">
      <c r="A477" s="7"/>
      <c r="B477" s="7"/>
      <c r="C477" s="7"/>
      <c r="D477" s="7"/>
      <c r="E477" s="7"/>
      <c r="F477" s="7"/>
      <c r="G477" s="7"/>
      <c r="H477" s="7"/>
      <c r="I477" s="7"/>
      <c r="J477" s="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6">
      <c r="A478" s="7"/>
      <c r="B478" s="7"/>
      <c r="C478" s="7"/>
      <c r="D478" s="7"/>
      <c r="E478" s="7"/>
      <c r="F478" s="7"/>
      <c r="G478" s="7"/>
      <c r="H478" s="7"/>
      <c r="I478" s="7"/>
      <c r="J478" s="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6">
      <c r="A479" s="7"/>
      <c r="B479" s="7"/>
      <c r="C479" s="7"/>
      <c r="D479" s="7"/>
      <c r="E479" s="7"/>
      <c r="F479" s="7"/>
      <c r="G479" s="7"/>
      <c r="H479" s="7"/>
      <c r="I479" s="7"/>
      <c r="J479" s="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6">
      <c r="A480" s="7"/>
      <c r="B480" s="7"/>
      <c r="C480" s="7"/>
      <c r="D480" s="7"/>
      <c r="E480" s="7"/>
      <c r="F480" s="7"/>
      <c r="G480" s="7"/>
      <c r="H480" s="7"/>
      <c r="I480" s="7"/>
      <c r="J480" s="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6">
      <c r="A481" s="7"/>
      <c r="B481" s="7"/>
      <c r="C481" s="7"/>
      <c r="D481" s="7"/>
      <c r="E481" s="7"/>
      <c r="F481" s="7"/>
      <c r="G481" s="7"/>
      <c r="H481" s="7"/>
      <c r="I481" s="7"/>
      <c r="J481" s="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6">
      <c r="A482" s="7"/>
      <c r="B482" s="7"/>
      <c r="C482" s="7"/>
      <c r="D482" s="7"/>
      <c r="E482" s="7"/>
      <c r="F482" s="7"/>
      <c r="G482" s="7"/>
      <c r="H482" s="7"/>
      <c r="I482" s="7"/>
      <c r="J482" s="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6">
      <c r="A483" s="7"/>
      <c r="B483" s="7"/>
      <c r="C483" s="7"/>
      <c r="D483" s="7"/>
      <c r="E483" s="7"/>
      <c r="F483" s="7"/>
      <c r="G483" s="7"/>
      <c r="H483" s="7"/>
      <c r="I483" s="7"/>
      <c r="J483" s="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6">
      <c r="A484" s="7"/>
      <c r="B484" s="7"/>
      <c r="C484" s="7"/>
      <c r="D484" s="7"/>
      <c r="E484" s="7"/>
      <c r="F484" s="7"/>
      <c r="G484" s="7"/>
      <c r="H484" s="7"/>
      <c r="I484" s="7"/>
      <c r="J484" s="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6">
      <c r="A485" s="7"/>
      <c r="B485" s="7"/>
      <c r="C485" s="7"/>
      <c r="D485" s="7"/>
      <c r="E485" s="7"/>
      <c r="F485" s="7"/>
      <c r="G485" s="7"/>
      <c r="H485" s="7"/>
      <c r="I485" s="7"/>
      <c r="J485" s="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6">
      <c r="A486" s="7"/>
      <c r="B486" s="7"/>
      <c r="C486" s="7"/>
      <c r="D486" s="7"/>
      <c r="E486" s="7"/>
      <c r="F486" s="7"/>
      <c r="G486" s="7"/>
      <c r="H486" s="7"/>
      <c r="I486" s="7"/>
      <c r="J486" s="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6">
      <c r="A487" s="7"/>
      <c r="B487" s="7"/>
      <c r="C487" s="7"/>
      <c r="D487" s="7"/>
      <c r="E487" s="7"/>
      <c r="F487" s="7"/>
      <c r="G487" s="7"/>
      <c r="H487" s="7"/>
      <c r="I487" s="7"/>
      <c r="J487" s="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6">
      <c r="A488" s="7"/>
      <c r="B488" s="7"/>
      <c r="C488" s="7"/>
      <c r="D488" s="7"/>
      <c r="E488" s="7"/>
      <c r="F488" s="7"/>
      <c r="G488" s="7"/>
      <c r="H488" s="7"/>
      <c r="I488" s="7"/>
      <c r="J488" s="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6">
      <c r="A489" s="7"/>
      <c r="B489" s="7"/>
      <c r="C489" s="7"/>
      <c r="D489" s="7"/>
      <c r="E489" s="7"/>
      <c r="F489" s="7"/>
      <c r="G489" s="7"/>
      <c r="H489" s="7"/>
      <c r="I489" s="7"/>
      <c r="J489" s="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6">
      <c r="A490" s="7"/>
      <c r="B490" s="7"/>
      <c r="C490" s="7"/>
      <c r="D490" s="7"/>
      <c r="E490" s="7"/>
      <c r="F490" s="7"/>
      <c r="G490" s="7"/>
      <c r="H490" s="7"/>
      <c r="I490" s="7"/>
      <c r="J490" s="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6">
      <c r="A491" s="7"/>
      <c r="B491" s="7"/>
      <c r="C491" s="7"/>
      <c r="D491" s="7"/>
      <c r="E491" s="7"/>
      <c r="F491" s="7"/>
      <c r="G491" s="7"/>
      <c r="H491" s="7"/>
      <c r="I491" s="7"/>
      <c r="J491" s="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6">
      <c r="A492" s="7"/>
      <c r="B492" s="7"/>
      <c r="C492" s="7"/>
      <c r="D492" s="7"/>
      <c r="E492" s="7"/>
      <c r="F492" s="7"/>
      <c r="G492" s="7"/>
      <c r="H492" s="7"/>
      <c r="I492" s="7"/>
      <c r="J492" s="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6">
      <c r="A493" s="7"/>
      <c r="B493" s="7"/>
      <c r="C493" s="7"/>
      <c r="D493" s="7"/>
      <c r="E493" s="7"/>
      <c r="F493" s="7"/>
      <c r="G493" s="7"/>
      <c r="H493" s="7"/>
      <c r="I493" s="7"/>
      <c r="J493" s="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6">
      <c r="A494" s="7"/>
      <c r="B494" s="7"/>
      <c r="C494" s="7"/>
      <c r="D494" s="7"/>
      <c r="E494" s="7"/>
      <c r="F494" s="7"/>
      <c r="G494" s="7"/>
      <c r="H494" s="7"/>
      <c r="I494" s="7"/>
      <c r="J494" s="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6">
      <c r="A495" s="7"/>
      <c r="B495" s="7"/>
      <c r="C495" s="7"/>
      <c r="D495" s="7"/>
      <c r="E495" s="7"/>
      <c r="F495" s="7"/>
      <c r="G495" s="7"/>
      <c r="H495" s="7"/>
      <c r="I495" s="7"/>
      <c r="J495" s="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6">
      <c r="A496" s="7"/>
      <c r="B496" s="7"/>
      <c r="C496" s="7"/>
      <c r="D496" s="7"/>
      <c r="E496" s="7"/>
      <c r="F496" s="7"/>
      <c r="G496" s="7"/>
      <c r="H496" s="7"/>
      <c r="I496" s="7"/>
      <c r="J496" s="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6">
      <c r="A497" s="7"/>
      <c r="B497" s="7"/>
      <c r="C497" s="7"/>
      <c r="D497" s="7"/>
      <c r="E497" s="7"/>
      <c r="F497" s="7"/>
      <c r="G497" s="7"/>
      <c r="H497" s="7"/>
      <c r="I497" s="7"/>
      <c r="J497" s="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6">
      <c r="A498" s="7"/>
      <c r="B498" s="7"/>
      <c r="C498" s="7"/>
      <c r="D498" s="7"/>
      <c r="E498" s="7"/>
      <c r="F498" s="7"/>
      <c r="G498" s="7"/>
      <c r="H498" s="7"/>
      <c r="I498" s="7"/>
      <c r="J498" s="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6">
      <c r="A499" s="7"/>
      <c r="B499" s="7"/>
      <c r="C499" s="7"/>
      <c r="D499" s="7"/>
      <c r="E499" s="7"/>
      <c r="F499" s="7"/>
      <c r="G499" s="7"/>
      <c r="H499" s="7"/>
      <c r="I499" s="7"/>
      <c r="J499" s="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6">
      <c r="A500" s="7"/>
      <c r="B500" s="7"/>
      <c r="C500" s="7"/>
      <c r="D500" s="7"/>
      <c r="E500" s="7"/>
      <c r="F500" s="7"/>
      <c r="G500" s="7"/>
      <c r="H500" s="7"/>
      <c r="I500" s="7"/>
      <c r="J500" s="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6">
      <c r="A501" s="7"/>
      <c r="B501" s="7"/>
      <c r="C501" s="7"/>
      <c r="D501" s="7"/>
      <c r="E501" s="7"/>
      <c r="F501" s="7"/>
      <c r="G501" s="7"/>
      <c r="H501" s="7"/>
      <c r="I501" s="7"/>
      <c r="J501" s="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6">
      <c r="A502" s="7"/>
      <c r="B502" s="7"/>
      <c r="C502" s="7"/>
      <c r="D502" s="7"/>
      <c r="E502" s="7"/>
      <c r="F502" s="7"/>
      <c r="G502" s="7"/>
      <c r="H502" s="7"/>
      <c r="I502" s="7"/>
      <c r="J502" s="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6">
      <c r="A503" s="7"/>
      <c r="B503" s="7"/>
      <c r="C503" s="7"/>
      <c r="D503" s="7"/>
      <c r="E503" s="7"/>
      <c r="F503" s="7"/>
      <c r="G503" s="7"/>
      <c r="H503" s="7"/>
      <c r="I503" s="7"/>
      <c r="J503" s="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6">
      <c r="A504" s="7"/>
      <c r="B504" s="7"/>
      <c r="C504" s="7"/>
      <c r="D504" s="7"/>
      <c r="E504" s="7"/>
      <c r="F504" s="7"/>
      <c r="G504" s="7"/>
      <c r="H504" s="7"/>
      <c r="I504" s="7"/>
      <c r="J504" s="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6">
      <c r="A505" s="7"/>
      <c r="B505" s="7"/>
      <c r="C505" s="7"/>
      <c r="D505" s="7"/>
      <c r="E505" s="7"/>
      <c r="F505" s="7"/>
      <c r="G505" s="7"/>
      <c r="H505" s="7"/>
      <c r="I505" s="7"/>
      <c r="J505" s="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6">
      <c r="A506" s="7"/>
      <c r="B506" s="7"/>
      <c r="C506" s="7"/>
      <c r="D506" s="7"/>
      <c r="E506" s="7"/>
      <c r="F506" s="7"/>
      <c r="G506" s="7"/>
      <c r="H506" s="7"/>
      <c r="I506" s="7"/>
      <c r="J506" s="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6">
      <c r="A507" s="7"/>
      <c r="B507" s="7"/>
      <c r="C507" s="7"/>
      <c r="D507" s="7"/>
      <c r="E507" s="7"/>
      <c r="F507" s="7"/>
      <c r="G507" s="7"/>
      <c r="H507" s="7"/>
      <c r="I507" s="7"/>
      <c r="J507" s="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6">
      <c r="A508" s="7"/>
      <c r="B508" s="7"/>
      <c r="C508" s="7"/>
      <c r="D508" s="7"/>
      <c r="E508" s="7"/>
      <c r="F508" s="7"/>
      <c r="G508" s="7"/>
      <c r="H508" s="7"/>
      <c r="I508" s="7"/>
      <c r="J508" s="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6">
      <c r="A509" s="7"/>
      <c r="B509" s="7"/>
      <c r="C509" s="7"/>
      <c r="D509" s="7"/>
      <c r="E509" s="7"/>
      <c r="F509" s="7"/>
      <c r="G509" s="7"/>
      <c r="H509" s="7"/>
      <c r="I509" s="7"/>
      <c r="J509" s="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6">
      <c r="A510" s="7"/>
      <c r="B510" s="7"/>
      <c r="C510" s="7"/>
      <c r="D510" s="7"/>
      <c r="E510" s="7"/>
      <c r="F510" s="7"/>
      <c r="G510" s="7"/>
      <c r="H510" s="7"/>
      <c r="I510" s="7"/>
      <c r="J510" s="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6">
      <c r="A511" s="7"/>
      <c r="B511" s="7"/>
      <c r="C511" s="7"/>
      <c r="D511" s="7"/>
      <c r="E511" s="7"/>
      <c r="F511" s="7"/>
      <c r="G511" s="7"/>
      <c r="H511" s="7"/>
      <c r="I511" s="7"/>
      <c r="J511" s="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6">
      <c r="A512" s="7"/>
      <c r="B512" s="7"/>
      <c r="C512" s="7"/>
      <c r="D512" s="7"/>
      <c r="E512" s="7"/>
      <c r="F512" s="7"/>
      <c r="G512" s="7"/>
      <c r="H512" s="7"/>
      <c r="I512" s="7"/>
      <c r="J512" s="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6">
      <c r="A513" s="7"/>
      <c r="B513" s="7"/>
      <c r="C513" s="7"/>
      <c r="D513" s="7"/>
      <c r="E513" s="7"/>
      <c r="F513" s="7"/>
      <c r="G513" s="7"/>
      <c r="H513" s="7"/>
      <c r="I513" s="7"/>
      <c r="J513" s="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6">
      <c r="A514" s="7"/>
      <c r="B514" s="7"/>
      <c r="C514" s="7"/>
      <c r="D514" s="7"/>
      <c r="E514" s="7"/>
      <c r="F514" s="7"/>
      <c r="G514" s="7"/>
      <c r="H514" s="7"/>
      <c r="I514" s="7"/>
      <c r="J514" s="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6">
      <c r="A515" s="7"/>
      <c r="B515" s="7"/>
      <c r="C515" s="7"/>
      <c r="D515" s="7"/>
      <c r="E515" s="7"/>
      <c r="F515" s="7"/>
      <c r="G515" s="7"/>
      <c r="H515" s="7"/>
      <c r="I515" s="7"/>
      <c r="J515" s="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6">
      <c r="A516" s="7"/>
      <c r="B516" s="7"/>
      <c r="C516" s="7"/>
      <c r="D516" s="7"/>
      <c r="E516" s="7"/>
      <c r="F516" s="7"/>
      <c r="G516" s="7"/>
      <c r="H516" s="7"/>
      <c r="I516" s="7"/>
      <c r="J516" s="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6">
      <c r="A517" s="7"/>
      <c r="B517" s="7"/>
      <c r="C517" s="7"/>
      <c r="D517" s="7"/>
      <c r="E517" s="7"/>
      <c r="F517" s="7"/>
      <c r="G517" s="7"/>
      <c r="H517" s="7"/>
      <c r="I517" s="7"/>
      <c r="J517" s="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6">
      <c r="A518" s="7"/>
      <c r="B518" s="7"/>
      <c r="C518" s="7"/>
      <c r="D518" s="7"/>
      <c r="E518" s="7"/>
      <c r="F518" s="7"/>
      <c r="G518" s="7"/>
      <c r="H518" s="7"/>
      <c r="I518" s="7"/>
      <c r="J518" s="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6">
      <c r="A519" s="7"/>
      <c r="B519" s="7"/>
      <c r="C519" s="7"/>
      <c r="D519" s="7"/>
      <c r="E519" s="7"/>
      <c r="F519" s="7"/>
      <c r="G519" s="7"/>
      <c r="H519" s="7"/>
      <c r="I519" s="7"/>
      <c r="J519" s="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6">
      <c r="A520" s="7"/>
      <c r="B520" s="7"/>
      <c r="C520" s="7"/>
      <c r="D520" s="7"/>
      <c r="E520" s="7"/>
      <c r="F520" s="7"/>
      <c r="G520" s="7"/>
      <c r="H520" s="7"/>
      <c r="I520" s="7"/>
      <c r="J520" s="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6">
      <c r="A521" s="7"/>
      <c r="B521" s="7"/>
      <c r="C521" s="7"/>
      <c r="D521" s="7"/>
      <c r="E521" s="7"/>
      <c r="F521" s="7"/>
      <c r="G521" s="7"/>
      <c r="H521" s="7"/>
      <c r="I521" s="7"/>
      <c r="J521" s="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6">
      <c r="A522" s="7"/>
      <c r="B522" s="7"/>
      <c r="C522" s="7"/>
      <c r="D522" s="7"/>
      <c r="E522" s="7"/>
      <c r="F522" s="7"/>
      <c r="G522" s="7"/>
      <c r="H522" s="7"/>
      <c r="I522" s="7"/>
      <c r="J522" s="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6">
      <c r="A523" s="7"/>
      <c r="B523" s="7"/>
      <c r="C523" s="7"/>
      <c r="D523" s="7"/>
      <c r="E523" s="7"/>
      <c r="F523" s="7"/>
      <c r="G523" s="7"/>
      <c r="H523" s="7"/>
      <c r="I523" s="7"/>
      <c r="J523" s="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6">
      <c r="A524" s="7"/>
      <c r="B524" s="7"/>
      <c r="C524" s="7"/>
      <c r="D524" s="7"/>
      <c r="E524" s="7"/>
      <c r="F524" s="7"/>
      <c r="G524" s="7"/>
      <c r="H524" s="7"/>
      <c r="I524" s="7"/>
      <c r="J524" s="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6">
      <c r="A525" s="7"/>
      <c r="B525" s="7"/>
      <c r="C525" s="7"/>
      <c r="D525" s="7"/>
      <c r="E525" s="7"/>
      <c r="F525" s="7"/>
      <c r="G525" s="7"/>
      <c r="H525" s="7"/>
      <c r="I525" s="7"/>
      <c r="J525" s="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6">
      <c r="A526" s="7"/>
      <c r="B526" s="7"/>
      <c r="C526" s="7"/>
      <c r="D526" s="7"/>
      <c r="E526" s="7"/>
      <c r="F526" s="7"/>
      <c r="G526" s="7"/>
      <c r="H526" s="7"/>
      <c r="I526" s="7"/>
      <c r="J526" s="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6">
      <c r="A527" s="7"/>
      <c r="B527" s="7"/>
      <c r="C527" s="7"/>
      <c r="D527" s="7"/>
      <c r="E527" s="7"/>
      <c r="F527" s="7"/>
      <c r="G527" s="7"/>
      <c r="H527" s="7"/>
      <c r="I527" s="7"/>
      <c r="J527" s="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6">
      <c r="A528" s="7"/>
      <c r="B528" s="7"/>
      <c r="C528" s="7"/>
      <c r="D528" s="7"/>
      <c r="E528" s="7"/>
      <c r="F528" s="7"/>
      <c r="G528" s="7"/>
      <c r="H528" s="7"/>
      <c r="I528" s="7"/>
      <c r="J528" s="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6">
      <c r="A529" s="7"/>
      <c r="B529" s="7"/>
      <c r="C529" s="7"/>
      <c r="D529" s="7"/>
      <c r="E529" s="7"/>
      <c r="F529" s="7"/>
      <c r="G529" s="7"/>
      <c r="H529" s="7"/>
      <c r="I529" s="7"/>
      <c r="J529" s="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6">
      <c r="A530" s="7"/>
      <c r="B530" s="7"/>
      <c r="C530" s="7"/>
      <c r="D530" s="7"/>
      <c r="E530" s="7"/>
      <c r="F530" s="7"/>
      <c r="G530" s="7"/>
      <c r="H530" s="7"/>
      <c r="I530" s="7"/>
      <c r="J530" s="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6">
      <c r="A531" s="7"/>
      <c r="B531" s="7"/>
      <c r="C531" s="7"/>
      <c r="D531" s="7"/>
      <c r="E531" s="7"/>
      <c r="F531" s="7"/>
      <c r="G531" s="7"/>
      <c r="H531" s="7"/>
      <c r="I531" s="7"/>
      <c r="J531" s="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6">
      <c r="A532" s="7"/>
      <c r="B532" s="7"/>
      <c r="C532" s="7"/>
      <c r="D532" s="7"/>
      <c r="E532" s="7"/>
      <c r="F532" s="7"/>
      <c r="G532" s="7"/>
      <c r="H532" s="7"/>
      <c r="I532" s="7"/>
      <c r="J532" s="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6">
      <c r="A533" s="7"/>
      <c r="B533" s="7"/>
      <c r="C533" s="7"/>
      <c r="D533" s="7"/>
      <c r="E533" s="7"/>
      <c r="F533" s="7"/>
      <c r="G533" s="7"/>
      <c r="H533" s="7"/>
      <c r="I533" s="7"/>
      <c r="J533" s="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6">
      <c r="A534" s="7"/>
      <c r="B534" s="7"/>
      <c r="C534" s="7"/>
      <c r="D534" s="7"/>
      <c r="E534" s="7"/>
      <c r="F534" s="7"/>
      <c r="G534" s="7"/>
      <c r="H534" s="7"/>
      <c r="I534" s="7"/>
      <c r="J534" s="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6">
      <c r="A535" s="7"/>
      <c r="B535" s="7"/>
      <c r="C535" s="7"/>
      <c r="D535" s="7"/>
      <c r="E535" s="7"/>
      <c r="F535" s="7"/>
      <c r="G535" s="7"/>
      <c r="H535" s="7"/>
      <c r="I535" s="7"/>
      <c r="J535" s="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6">
      <c r="A536" s="7"/>
      <c r="B536" s="7"/>
      <c r="C536" s="7"/>
      <c r="D536" s="7"/>
      <c r="E536" s="7"/>
      <c r="F536" s="7"/>
      <c r="G536" s="7"/>
      <c r="H536" s="7"/>
      <c r="I536" s="7"/>
      <c r="J536" s="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6">
      <c r="A537" s="7"/>
      <c r="B537" s="7"/>
      <c r="C537" s="7"/>
      <c r="D537" s="7"/>
      <c r="E537" s="7"/>
      <c r="F537" s="7"/>
      <c r="G537" s="7"/>
      <c r="H537" s="7"/>
      <c r="I537" s="7"/>
      <c r="J537" s="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6">
      <c r="A538" s="7"/>
      <c r="B538" s="7"/>
      <c r="C538" s="7"/>
      <c r="D538" s="7"/>
      <c r="E538" s="7"/>
      <c r="F538" s="7"/>
      <c r="G538" s="7"/>
      <c r="H538" s="7"/>
      <c r="I538" s="7"/>
      <c r="J538" s="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6">
      <c r="A539" s="7"/>
      <c r="B539" s="7"/>
      <c r="C539" s="7"/>
      <c r="D539" s="7"/>
      <c r="E539" s="7"/>
      <c r="F539" s="7"/>
      <c r="G539" s="7"/>
      <c r="H539" s="7"/>
      <c r="I539" s="7"/>
      <c r="J539" s="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6">
      <c r="A540" s="7"/>
      <c r="B540" s="7"/>
      <c r="C540" s="7"/>
      <c r="D540" s="7"/>
      <c r="E540" s="7"/>
      <c r="F540" s="7"/>
      <c r="G540" s="7"/>
      <c r="H540" s="7"/>
      <c r="I540" s="7"/>
      <c r="J540" s="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6">
      <c r="A541" s="7"/>
      <c r="B541" s="7"/>
      <c r="C541" s="7"/>
      <c r="D541" s="7"/>
      <c r="E541" s="7"/>
      <c r="F541" s="7"/>
      <c r="G541" s="7"/>
      <c r="H541" s="7"/>
      <c r="I541" s="7"/>
      <c r="J541" s="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6">
      <c r="A542" s="7"/>
      <c r="B542" s="7"/>
      <c r="C542" s="7"/>
      <c r="D542" s="7"/>
      <c r="E542" s="7"/>
      <c r="F542" s="7"/>
      <c r="G542" s="7"/>
      <c r="H542" s="7"/>
      <c r="I542" s="7"/>
      <c r="J542" s="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6">
      <c r="A543" s="7"/>
      <c r="B543" s="7"/>
      <c r="C543" s="7"/>
      <c r="D543" s="7"/>
      <c r="E543" s="7"/>
      <c r="F543" s="7"/>
      <c r="G543" s="7"/>
      <c r="H543" s="7"/>
      <c r="I543" s="7"/>
      <c r="J543" s="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6">
      <c r="A544" s="7"/>
      <c r="B544" s="7"/>
      <c r="C544" s="7"/>
      <c r="D544" s="7"/>
      <c r="E544" s="7"/>
      <c r="F544" s="7"/>
      <c r="G544" s="7"/>
      <c r="H544" s="7"/>
      <c r="I544" s="7"/>
      <c r="J544" s="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6">
      <c r="A545" s="7"/>
      <c r="B545" s="7"/>
      <c r="C545" s="7"/>
      <c r="D545" s="7"/>
      <c r="E545" s="7"/>
      <c r="F545" s="7"/>
      <c r="G545" s="7"/>
      <c r="H545" s="7"/>
      <c r="I545" s="7"/>
      <c r="J545" s="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6">
      <c r="A546" s="7"/>
      <c r="B546" s="7"/>
      <c r="C546" s="7"/>
      <c r="D546" s="7"/>
      <c r="E546" s="7"/>
      <c r="F546" s="7"/>
      <c r="G546" s="7"/>
      <c r="H546" s="7"/>
      <c r="I546" s="7"/>
      <c r="J546" s="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6">
      <c r="A547" s="7"/>
      <c r="B547" s="7"/>
      <c r="C547" s="7"/>
      <c r="D547" s="7"/>
      <c r="E547" s="7"/>
      <c r="F547" s="7"/>
      <c r="G547" s="7"/>
      <c r="H547" s="7"/>
      <c r="I547" s="7"/>
      <c r="J547" s="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6">
      <c r="A548" s="7"/>
      <c r="B548" s="7"/>
      <c r="C548" s="7"/>
      <c r="D548" s="7"/>
      <c r="E548" s="7"/>
      <c r="F548" s="7"/>
      <c r="G548" s="7"/>
      <c r="H548" s="7"/>
      <c r="I548" s="7"/>
      <c r="J548" s="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6">
      <c r="A549" s="7"/>
      <c r="B549" s="7"/>
      <c r="C549" s="7"/>
      <c r="D549" s="7"/>
      <c r="E549" s="7"/>
      <c r="F549" s="7"/>
      <c r="G549" s="7"/>
      <c r="H549" s="7"/>
      <c r="I549" s="7"/>
      <c r="J549" s="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6">
      <c r="A550" s="7"/>
      <c r="B550" s="7"/>
      <c r="C550" s="7"/>
      <c r="D550" s="7"/>
      <c r="E550" s="7"/>
      <c r="F550" s="7"/>
      <c r="G550" s="7"/>
      <c r="H550" s="7"/>
      <c r="I550" s="7"/>
      <c r="J550" s="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6">
      <c r="A551" s="7"/>
      <c r="B551" s="7"/>
      <c r="C551" s="7"/>
      <c r="D551" s="7"/>
      <c r="E551" s="7"/>
      <c r="F551" s="7"/>
      <c r="G551" s="7"/>
      <c r="H551" s="7"/>
      <c r="I551" s="7"/>
      <c r="J551" s="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6">
      <c r="A552" s="7"/>
      <c r="B552" s="7"/>
      <c r="C552" s="7"/>
      <c r="D552" s="7"/>
      <c r="E552" s="7"/>
      <c r="F552" s="7"/>
      <c r="G552" s="7"/>
      <c r="H552" s="7"/>
      <c r="I552" s="7"/>
      <c r="J552" s="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6">
      <c r="A553" s="7"/>
      <c r="B553" s="7"/>
      <c r="C553" s="7"/>
      <c r="D553" s="7"/>
      <c r="E553" s="7"/>
      <c r="F553" s="7"/>
      <c r="G553" s="7"/>
      <c r="H553" s="7"/>
      <c r="I553" s="7"/>
      <c r="J553" s="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6">
      <c r="A554" s="7"/>
      <c r="B554" s="7"/>
      <c r="C554" s="7"/>
      <c r="D554" s="7"/>
      <c r="E554" s="7"/>
      <c r="F554" s="7"/>
      <c r="G554" s="7"/>
      <c r="H554" s="7"/>
      <c r="I554" s="7"/>
      <c r="J554" s="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6">
      <c r="A555" s="7"/>
      <c r="B555" s="7"/>
      <c r="C555" s="7"/>
      <c r="D555" s="7"/>
      <c r="E555" s="7"/>
      <c r="F555" s="7"/>
      <c r="G555" s="7"/>
      <c r="H555" s="7"/>
      <c r="I555" s="7"/>
      <c r="J555" s="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6">
      <c r="A556" s="7"/>
      <c r="B556" s="7"/>
      <c r="C556" s="7"/>
      <c r="D556" s="7"/>
      <c r="E556" s="7"/>
      <c r="F556" s="7"/>
      <c r="G556" s="7"/>
      <c r="H556" s="7"/>
      <c r="I556" s="7"/>
      <c r="J556" s="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6">
      <c r="A557" s="7"/>
      <c r="B557" s="7"/>
      <c r="C557" s="7"/>
      <c r="D557" s="7"/>
      <c r="E557" s="7"/>
      <c r="F557" s="7"/>
      <c r="G557" s="7"/>
      <c r="H557" s="7"/>
      <c r="I557" s="7"/>
      <c r="J557" s="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6">
      <c r="A558" s="7"/>
      <c r="B558" s="7"/>
      <c r="C558" s="7"/>
      <c r="D558" s="7"/>
      <c r="E558" s="7"/>
      <c r="F558" s="7"/>
      <c r="G558" s="7"/>
      <c r="H558" s="7"/>
      <c r="I558" s="7"/>
      <c r="J558" s="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6">
      <c r="A559" s="7"/>
      <c r="B559" s="7"/>
      <c r="C559" s="7"/>
      <c r="D559" s="7"/>
      <c r="E559" s="7"/>
      <c r="F559" s="7"/>
      <c r="G559" s="7"/>
      <c r="H559" s="7"/>
      <c r="I559" s="7"/>
      <c r="J559" s="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6">
      <c r="A560" s="7"/>
      <c r="B560" s="7"/>
      <c r="C560" s="7"/>
      <c r="D560" s="7"/>
      <c r="E560" s="7"/>
      <c r="F560" s="7"/>
      <c r="G560" s="7"/>
      <c r="H560" s="7"/>
      <c r="I560" s="7"/>
      <c r="J560" s="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6">
      <c r="A561" s="7"/>
      <c r="B561" s="7"/>
      <c r="C561" s="7"/>
      <c r="D561" s="7"/>
      <c r="E561" s="7"/>
      <c r="F561" s="7"/>
      <c r="G561" s="7"/>
      <c r="H561" s="7"/>
      <c r="I561" s="7"/>
      <c r="J561" s="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6">
      <c r="A562" s="7"/>
      <c r="B562" s="7"/>
      <c r="C562" s="7"/>
      <c r="D562" s="7"/>
      <c r="E562" s="7"/>
      <c r="F562" s="7"/>
      <c r="G562" s="7"/>
      <c r="H562" s="7"/>
      <c r="I562" s="7"/>
      <c r="J562" s="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6">
      <c r="A563" s="7"/>
      <c r="B563" s="7"/>
      <c r="C563" s="7"/>
      <c r="D563" s="7"/>
      <c r="E563" s="7"/>
      <c r="F563" s="7"/>
      <c r="G563" s="7"/>
      <c r="H563" s="7"/>
      <c r="I563" s="7"/>
      <c r="J563" s="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6">
      <c r="A564" s="7"/>
      <c r="B564" s="7"/>
      <c r="C564" s="7"/>
      <c r="D564" s="7"/>
      <c r="E564" s="7"/>
      <c r="F564" s="7"/>
      <c r="G564" s="7"/>
      <c r="H564" s="7"/>
      <c r="I564" s="7"/>
      <c r="J564" s="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6">
      <c r="A565" s="7"/>
      <c r="B565" s="7"/>
      <c r="C565" s="7"/>
      <c r="D565" s="7"/>
      <c r="E565" s="7"/>
      <c r="F565" s="7"/>
      <c r="G565" s="7"/>
      <c r="H565" s="7"/>
      <c r="I565" s="7"/>
      <c r="J565" s="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6">
      <c r="A566" s="7"/>
      <c r="B566" s="7"/>
      <c r="C566" s="7"/>
      <c r="D566" s="7"/>
      <c r="E566" s="7"/>
      <c r="F566" s="7"/>
      <c r="G566" s="7"/>
      <c r="H566" s="7"/>
      <c r="I566" s="7"/>
      <c r="J566" s="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6">
      <c r="A567" s="7"/>
      <c r="B567" s="7"/>
      <c r="C567" s="7"/>
      <c r="D567" s="7"/>
      <c r="E567" s="7"/>
      <c r="F567" s="7"/>
      <c r="G567" s="7"/>
      <c r="H567" s="7"/>
      <c r="I567" s="7"/>
      <c r="J567" s="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6">
      <c r="A568" s="7"/>
      <c r="B568" s="7"/>
      <c r="C568" s="7"/>
      <c r="D568" s="7"/>
      <c r="E568" s="7"/>
      <c r="F568" s="7"/>
      <c r="G568" s="7"/>
      <c r="H568" s="7"/>
      <c r="I568" s="7"/>
      <c r="J568" s="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6">
      <c r="A569" s="7"/>
      <c r="B569" s="7"/>
      <c r="C569" s="7"/>
      <c r="D569" s="7"/>
      <c r="E569" s="7"/>
      <c r="F569" s="7"/>
      <c r="G569" s="7"/>
      <c r="H569" s="7"/>
      <c r="I569" s="7"/>
      <c r="J569" s="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6">
      <c r="A570" s="7"/>
      <c r="B570" s="7"/>
      <c r="C570" s="7"/>
      <c r="D570" s="7"/>
      <c r="E570" s="7"/>
      <c r="F570" s="7"/>
      <c r="G570" s="7"/>
      <c r="H570" s="7"/>
      <c r="I570" s="7"/>
      <c r="J570" s="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6">
      <c r="A571" s="7"/>
      <c r="B571" s="7"/>
      <c r="C571" s="7"/>
      <c r="D571" s="7"/>
      <c r="E571" s="7"/>
      <c r="F571" s="7"/>
      <c r="G571" s="7"/>
      <c r="H571" s="7"/>
      <c r="I571" s="7"/>
      <c r="J571" s="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6">
      <c r="A572" s="7"/>
      <c r="B572" s="7"/>
      <c r="C572" s="7"/>
      <c r="D572" s="7"/>
      <c r="E572" s="7"/>
      <c r="F572" s="7"/>
      <c r="G572" s="7"/>
      <c r="H572" s="7"/>
      <c r="I572" s="7"/>
      <c r="J572" s="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6">
      <c r="A573" s="7"/>
      <c r="B573" s="7"/>
      <c r="C573" s="7"/>
      <c r="D573" s="7"/>
      <c r="E573" s="7"/>
      <c r="F573" s="7"/>
      <c r="G573" s="7"/>
      <c r="H573" s="7"/>
      <c r="I573" s="7"/>
      <c r="J573" s="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6">
      <c r="A574" s="7"/>
      <c r="B574" s="7"/>
      <c r="C574" s="7"/>
      <c r="D574" s="7"/>
      <c r="E574" s="7"/>
      <c r="F574" s="7"/>
      <c r="G574" s="7"/>
      <c r="H574" s="7"/>
      <c r="I574" s="7"/>
      <c r="J574" s="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6">
      <c r="A575" s="7"/>
      <c r="B575" s="7"/>
      <c r="C575" s="7"/>
      <c r="D575" s="7"/>
      <c r="E575" s="7"/>
      <c r="F575" s="7"/>
      <c r="G575" s="7"/>
      <c r="H575" s="7"/>
      <c r="I575" s="7"/>
      <c r="J575" s="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6">
      <c r="A576" s="7"/>
      <c r="B576" s="7"/>
      <c r="C576" s="7"/>
      <c r="D576" s="7"/>
      <c r="E576" s="7"/>
      <c r="F576" s="7"/>
      <c r="G576" s="7"/>
      <c r="H576" s="7"/>
      <c r="I576" s="7"/>
      <c r="J576" s="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6">
      <c r="A577" s="7"/>
      <c r="B577" s="7"/>
      <c r="C577" s="7"/>
      <c r="D577" s="7"/>
      <c r="E577" s="7"/>
      <c r="F577" s="7"/>
      <c r="G577" s="7"/>
      <c r="H577" s="7"/>
      <c r="I577" s="7"/>
      <c r="J577" s="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6">
      <c r="A578" s="7"/>
      <c r="B578" s="7"/>
      <c r="C578" s="7"/>
      <c r="D578" s="7"/>
      <c r="E578" s="7"/>
      <c r="F578" s="7"/>
      <c r="G578" s="7"/>
      <c r="H578" s="7"/>
      <c r="I578" s="7"/>
      <c r="J578" s="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6">
      <c r="A579" s="7"/>
      <c r="B579" s="7"/>
      <c r="C579" s="7"/>
      <c r="D579" s="7"/>
      <c r="E579" s="7"/>
      <c r="F579" s="7"/>
      <c r="G579" s="7"/>
      <c r="H579" s="7"/>
      <c r="I579" s="7"/>
      <c r="J579" s="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6">
      <c r="A580" s="7"/>
      <c r="B580" s="7"/>
      <c r="C580" s="7"/>
      <c r="D580" s="7"/>
      <c r="E580" s="7"/>
      <c r="F580" s="7"/>
      <c r="G580" s="7"/>
      <c r="H580" s="7"/>
      <c r="I580" s="7"/>
      <c r="J580" s="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6">
      <c r="A581" s="7"/>
      <c r="B581" s="7"/>
      <c r="C581" s="7"/>
      <c r="D581" s="7"/>
      <c r="E581" s="7"/>
      <c r="F581" s="7"/>
      <c r="G581" s="7"/>
      <c r="H581" s="7"/>
      <c r="I581" s="7"/>
      <c r="J581" s="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6">
      <c r="A582" s="7"/>
      <c r="B582" s="7"/>
      <c r="C582" s="7"/>
      <c r="D582" s="7"/>
      <c r="E582" s="7"/>
      <c r="F582" s="7"/>
      <c r="G582" s="7"/>
      <c r="H582" s="7"/>
      <c r="I582" s="7"/>
      <c r="J582" s="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6">
      <c r="A583" s="7"/>
      <c r="B583" s="7"/>
      <c r="C583" s="7"/>
      <c r="D583" s="7"/>
      <c r="E583" s="7"/>
      <c r="F583" s="7"/>
      <c r="G583" s="7"/>
      <c r="H583" s="7"/>
      <c r="I583" s="7"/>
      <c r="J583" s="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6">
      <c r="A584" s="7"/>
      <c r="B584" s="7"/>
      <c r="C584" s="7"/>
      <c r="D584" s="7"/>
      <c r="E584" s="7"/>
      <c r="F584" s="7"/>
      <c r="G584" s="7"/>
      <c r="H584" s="7"/>
      <c r="I584" s="7"/>
      <c r="J584" s="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6">
      <c r="A585" s="7"/>
      <c r="B585" s="7"/>
      <c r="C585" s="7"/>
      <c r="D585" s="7"/>
      <c r="E585" s="7"/>
      <c r="F585" s="7"/>
      <c r="G585" s="7"/>
      <c r="H585" s="7"/>
      <c r="I585" s="7"/>
      <c r="J585" s="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6">
      <c r="A586" s="7"/>
      <c r="B586" s="7"/>
      <c r="C586" s="7"/>
      <c r="D586" s="7"/>
      <c r="E586" s="7"/>
      <c r="F586" s="7"/>
      <c r="G586" s="7"/>
      <c r="H586" s="7"/>
      <c r="I586" s="7"/>
      <c r="J586" s="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6">
      <c r="A587" s="7"/>
      <c r="B587" s="7"/>
      <c r="C587" s="7"/>
      <c r="D587" s="7"/>
      <c r="E587" s="7"/>
      <c r="F587" s="7"/>
      <c r="G587" s="7"/>
      <c r="H587" s="7"/>
      <c r="I587" s="7"/>
      <c r="J587" s="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6">
      <c r="A588" s="7"/>
      <c r="B588" s="7"/>
      <c r="C588" s="7"/>
      <c r="D588" s="7"/>
      <c r="E588" s="7"/>
      <c r="F588" s="7"/>
      <c r="G588" s="7"/>
      <c r="H588" s="7"/>
      <c r="I588" s="7"/>
      <c r="J588" s="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6">
      <c r="A589" s="7"/>
      <c r="B589" s="7"/>
      <c r="C589" s="7"/>
      <c r="D589" s="7"/>
      <c r="E589" s="7"/>
      <c r="F589" s="7"/>
      <c r="G589" s="7"/>
      <c r="H589" s="7"/>
      <c r="I589" s="7"/>
      <c r="J589" s="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6">
      <c r="A590" s="7"/>
      <c r="B590" s="7"/>
      <c r="C590" s="7"/>
      <c r="D590" s="7"/>
      <c r="E590" s="7"/>
      <c r="F590" s="7"/>
      <c r="G590" s="7"/>
      <c r="H590" s="7"/>
      <c r="I590" s="7"/>
      <c r="J590" s="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6">
      <c r="A591" s="7"/>
      <c r="B591" s="7"/>
      <c r="C591" s="7"/>
      <c r="D591" s="7"/>
      <c r="E591" s="7"/>
      <c r="F591" s="7"/>
      <c r="G591" s="7"/>
      <c r="H591" s="7"/>
      <c r="I591" s="7"/>
      <c r="J591" s="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6">
      <c r="A592" s="7"/>
      <c r="B592" s="7"/>
      <c r="C592" s="7"/>
      <c r="D592" s="7"/>
      <c r="E592" s="7"/>
      <c r="F592" s="7"/>
      <c r="G592" s="7"/>
      <c r="H592" s="7"/>
      <c r="I592" s="7"/>
      <c r="J592" s="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6">
      <c r="A593" s="7"/>
      <c r="B593" s="7"/>
      <c r="C593" s="7"/>
      <c r="D593" s="7"/>
      <c r="E593" s="7"/>
      <c r="F593" s="7"/>
      <c r="G593" s="7"/>
      <c r="H593" s="7"/>
      <c r="I593" s="7"/>
      <c r="J593" s="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6">
      <c r="A594" s="7"/>
      <c r="B594" s="7"/>
      <c r="C594" s="7"/>
      <c r="D594" s="7"/>
      <c r="E594" s="7"/>
      <c r="F594" s="7"/>
      <c r="G594" s="7"/>
      <c r="H594" s="7"/>
      <c r="I594" s="7"/>
      <c r="J594" s="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6">
      <c r="A595" s="7"/>
      <c r="B595" s="7"/>
      <c r="C595" s="7"/>
      <c r="D595" s="7"/>
      <c r="E595" s="7"/>
      <c r="F595" s="7"/>
      <c r="G595" s="7"/>
      <c r="H595" s="7"/>
      <c r="I595" s="7"/>
      <c r="J595" s="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6">
      <c r="A596" s="7"/>
      <c r="B596" s="7"/>
      <c r="C596" s="7"/>
      <c r="D596" s="7"/>
      <c r="E596" s="7"/>
      <c r="F596" s="7"/>
      <c r="G596" s="7"/>
      <c r="H596" s="7"/>
      <c r="I596" s="7"/>
      <c r="J596" s="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6">
      <c r="A597" s="7"/>
      <c r="B597" s="7"/>
      <c r="C597" s="7"/>
      <c r="D597" s="7"/>
      <c r="E597" s="7"/>
      <c r="F597" s="7"/>
      <c r="G597" s="7"/>
      <c r="H597" s="7"/>
      <c r="I597" s="7"/>
      <c r="J597" s="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6">
      <c r="A598" s="7"/>
      <c r="B598" s="7"/>
      <c r="C598" s="7"/>
      <c r="D598" s="7"/>
      <c r="E598" s="7"/>
      <c r="F598" s="7"/>
      <c r="G598" s="7"/>
      <c r="H598" s="7"/>
      <c r="I598" s="7"/>
      <c r="J598" s="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6">
      <c r="A599" s="7"/>
      <c r="B599" s="7"/>
      <c r="C599" s="7"/>
      <c r="D599" s="7"/>
      <c r="E599" s="7"/>
      <c r="F599" s="7"/>
      <c r="G599" s="7"/>
      <c r="H599" s="7"/>
      <c r="I599" s="7"/>
      <c r="J599" s="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6">
      <c r="A600" s="7"/>
      <c r="B600" s="7"/>
      <c r="C600" s="7"/>
      <c r="D600" s="7"/>
      <c r="E600" s="7"/>
      <c r="F600" s="7"/>
      <c r="G600" s="7"/>
      <c r="H600" s="7"/>
      <c r="I600" s="7"/>
      <c r="J600" s="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6">
      <c r="A601" s="7"/>
      <c r="B601" s="7"/>
      <c r="C601" s="7"/>
      <c r="D601" s="7"/>
      <c r="E601" s="7"/>
      <c r="F601" s="7"/>
      <c r="G601" s="7"/>
      <c r="H601" s="7"/>
      <c r="I601" s="7"/>
      <c r="J601" s="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6">
      <c r="A602" s="7"/>
      <c r="B602" s="7"/>
      <c r="C602" s="7"/>
      <c r="D602" s="7"/>
      <c r="E602" s="7"/>
      <c r="F602" s="7"/>
      <c r="G602" s="7"/>
      <c r="H602" s="7"/>
      <c r="I602" s="7"/>
      <c r="J602" s="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6">
      <c r="A603" s="7"/>
      <c r="B603" s="7"/>
      <c r="C603" s="7"/>
      <c r="D603" s="7"/>
      <c r="E603" s="7"/>
      <c r="F603" s="7"/>
      <c r="G603" s="7"/>
      <c r="H603" s="7"/>
      <c r="I603" s="7"/>
      <c r="J603" s="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6">
      <c r="A604" s="7"/>
      <c r="B604" s="7"/>
      <c r="C604" s="7"/>
      <c r="D604" s="7"/>
      <c r="E604" s="7"/>
      <c r="F604" s="7"/>
      <c r="G604" s="7"/>
      <c r="H604" s="7"/>
      <c r="I604" s="7"/>
      <c r="J604" s="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6">
      <c r="A605" s="7"/>
      <c r="B605" s="7"/>
      <c r="C605" s="7"/>
      <c r="D605" s="7"/>
      <c r="E605" s="7"/>
      <c r="F605" s="7"/>
      <c r="G605" s="7"/>
      <c r="H605" s="7"/>
      <c r="I605" s="7"/>
      <c r="J605" s="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6">
      <c r="A606" s="7"/>
      <c r="B606" s="7"/>
      <c r="C606" s="7"/>
      <c r="D606" s="7"/>
      <c r="E606" s="7"/>
      <c r="F606" s="7"/>
      <c r="G606" s="7"/>
      <c r="H606" s="7"/>
      <c r="I606" s="7"/>
      <c r="J606" s="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6">
      <c r="A607" s="7"/>
      <c r="B607" s="7"/>
      <c r="C607" s="7"/>
      <c r="D607" s="7"/>
      <c r="E607" s="7"/>
      <c r="F607" s="7"/>
      <c r="G607" s="7"/>
      <c r="H607" s="7"/>
      <c r="I607" s="7"/>
      <c r="J607" s="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6">
      <c r="A608" s="7"/>
      <c r="B608" s="7"/>
      <c r="C608" s="7"/>
      <c r="D608" s="7"/>
      <c r="E608" s="7"/>
      <c r="F608" s="7"/>
      <c r="G608" s="7"/>
      <c r="H608" s="7"/>
      <c r="I608" s="7"/>
      <c r="J608" s="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6">
      <c r="A609" s="7"/>
      <c r="B609" s="7"/>
      <c r="C609" s="7"/>
      <c r="D609" s="7"/>
      <c r="E609" s="7"/>
      <c r="F609" s="7"/>
      <c r="G609" s="7"/>
      <c r="H609" s="7"/>
      <c r="I609" s="7"/>
      <c r="J609" s="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6">
      <c r="A610" s="7"/>
      <c r="B610" s="7"/>
      <c r="C610" s="7"/>
      <c r="D610" s="7"/>
      <c r="E610" s="7"/>
      <c r="F610" s="7"/>
      <c r="G610" s="7"/>
      <c r="H610" s="7"/>
      <c r="I610" s="7"/>
      <c r="J610" s="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6">
      <c r="A611" s="7"/>
      <c r="B611" s="7"/>
      <c r="C611" s="7"/>
      <c r="D611" s="7"/>
      <c r="E611" s="7"/>
      <c r="F611" s="7"/>
      <c r="G611" s="7"/>
      <c r="H611" s="7"/>
      <c r="I611" s="7"/>
      <c r="J611" s="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6">
      <c r="A612" s="7"/>
      <c r="B612" s="7"/>
      <c r="C612" s="7"/>
      <c r="D612" s="7"/>
      <c r="E612" s="7"/>
      <c r="F612" s="7"/>
      <c r="G612" s="7"/>
      <c r="H612" s="7"/>
      <c r="I612" s="7"/>
      <c r="J612" s="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6">
      <c r="A613" s="7"/>
      <c r="B613" s="7"/>
      <c r="C613" s="7"/>
      <c r="D613" s="7"/>
      <c r="E613" s="7"/>
      <c r="F613" s="7"/>
      <c r="G613" s="7"/>
      <c r="H613" s="7"/>
      <c r="I613" s="7"/>
      <c r="J613" s="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6">
      <c r="A614" s="7"/>
      <c r="B614" s="7"/>
      <c r="C614" s="7"/>
      <c r="D614" s="7"/>
      <c r="E614" s="7"/>
      <c r="F614" s="7"/>
      <c r="G614" s="7"/>
      <c r="H614" s="7"/>
      <c r="I614" s="7"/>
      <c r="J614" s="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6">
      <c r="A615" s="7"/>
      <c r="B615" s="7"/>
      <c r="C615" s="7"/>
      <c r="D615" s="7"/>
      <c r="E615" s="7"/>
      <c r="F615" s="7"/>
      <c r="G615" s="7"/>
      <c r="H615" s="7"/>
      <c r="I615" s="7"/>
      <c r="J615" s="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6">
      <c r="A616" s="7"/>
      <c r="B616" s="7"/>
      <c r="C616" s="7"/>
      <c r="D616" s="7"/>
      <c r="E616" s="7"/>
      <c r="F616" s="7"/>
      <c r="G616" s="7"/>
      <c r="H616" s="7"/>
      <c r="I616" s="7"/>
      <c r="J616" s="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6">
      <c r="A617" s="7"/>
      <c r="B617" s="7"/>
      <c r="C617" s="7"/>
      <c r="D617" s="7"/>
      <c r="E617" s="7"/>
      <c r="F617" s="7"/>
      <c r="G617" s="7"/>
      <c r="H617" s="7"/>
      <c r="I617" s="7"/>
      <c r="J617" s="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6">
      <c r="A618" s="7"/>
      <c r="B618" s="7"/>
      <c r="C618" s="7"/>
      <c r="D618" s="7"/>
      <c r="E618" s="7"/>
      <c r="F618" s="7"/>
      <c r="G618" s="7"/>
      <c r="H618" s="7"/>
      <c r="I618" s="7"/>
      <c r="J618" s="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6">
      <c r="A619" s="7"/>
      <c r="B619" s="7"/>
      <c r="C619" s="7"/>
      <c r="D619" s="7"/>
      <c r="E619" s="7"/>
      <c r="F619" s="7"/>
      <c r="G619" s="7"/>
      <c r="H619" s="7"/>
      <c r="I619" s="7"/>
      <c r="J619" s="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6">
      <c r="A620" s="7"/>
      <c r="B620" s="7"/>
      <c r="C620" s="7"/>
      <c r="D620" s="7"/>
      <c r="E620" s="7"/>
      <c r="F620" s="7"/>
      <c r="G620" s="7"/>
      <c r="H620" s="7"/>
      <c r="I620" s="7"/>
      <c r="J620" s="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6">
      <c r="A621" s="7"/>
      <c r="B621" s="7"/>
      <c r="C621" s="7"/>
      <c r="D621" s="7"/>
      <c r="E621" s="7"/>
      <c r="F621" s="7"/>
      <c r="G621" s="7"/>
      <c r="H621" s="7"/>
      <c r="I621" s="7"/>
      <c r="J621" s="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6">
      <c r="A622" s="7"/>
      <c r="B622" s="7"/>
      <c r="C622" s="7"/>
      <c r="D622" s="7"/>
      <c r="E622" s="7"/>
      <c r="F622" s="7"/>
      <c r="G622" s="7"/>
      <c r="H622" s="7"/>
      <c r="I622" s="7"/>
      <c r="J622" s="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6">
      <c r="A623" s="7"/>
      <c r="B623" s="7"/>
      <c r="C623" s="7"/>
      <c r="D623" s="7"/>
      <c r="E623" s="7"/>
      <c r="F623" s="7"/>
      <c r="G623" s="7"/>
      <c r="H623" s="7"/>
      <c r="I623" s="7"/>
      <c r="J623" s="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6">
      <c r="A624" s="7"/>
      <c r="B624" s="7"/>
      <c r="C624" s="7"/>
      <c r="D624" s="7"/>
      <c r="E624" s="7"/>
      <c r="F624" s="7"/>
      <c r="G624" s="7"/>
      <c r="H624" s="7"/>
      <c r="I624" s="7"/>
      <c r="J624" s="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6">
      <c r="A625" s="7"/>
      <c r="B625" s="7"/>
      <c r="C625" s="7"/>
      <c r="D625" s="7"/>
      <c r="E625" s="7"/>
      <c r="F625" s="7"/>
      <c r="G625" s="7"/>
      <c r="H625" s="7"/>
      <c r="I625" s="7"/>
      <c r="J625" s="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6">
      <c r="A626" s="7"/>
      <c r="B626" s="7"/>
      <c r="C626" s="7"/>
      <c r="D626" s="7"/>
      <c r="E626" s="7"/>
      <c r="F626" s="7"/>
      <c r="G626" s="7"/>
      <c r="H626" s="7"/>
      <c r="I626" s="7"/>
      <c r="J626" s="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6">
      <c r="A627" s="7"/>
      <c r="B627" s="7"/>
      <c r="C627" s="7"/>
      <c r="D627" s="7"/>
      <c r="E627" s="7"/>
      <c r="F627" s="7"/>
      <c r="G627" s="7"/>
      <c r="H627" s="7"/>
      <c r="I627" s="7"/>
      <c r="J627" s="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6">
      <c r="A628" s="7"/>
      <c r="B628" s="7"/>
      <c r="C628" s="7"/>
      <c r="D628" s="7"/>
      <c r="E628" s="7"/>
      <c r="F628" s="7"/>
      <c r="G628" s="7"/>
      <c r="H628" s="7"/>
      <c r="I628" s="7"/>
      <c r="J628" s="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6">
      <c r="A629" s="7"/>
      <c r="B629" s="7"/>
      <c r="C629" s="7"/>
      <c r="D629" s="7"/>
      <c r="E629" s="7"/>
      <c r="F629" s="7"/>
      <c r="G629" s="7"/>
      <c r="H629" s="7"/>
      <c r="I629" s="7"/>
      <c r="J629" s="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6">
      <c r="A630" s="7"/>
      <c r="B630" s="7"/>
      <c r="C630" s="7"/>
      <c r="D630" s="7"/>
      <c r="E630" s="7"/>
      <c r="F630" s="7"/>
      <c r="G630" s="7"/>
      <c r="H630" s="7"/>
      <c r="I630" s="7"/>
      <c r="J630" s="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6">
      <c r="A631" s="7"/>
      <c r="B631" s="7"/>
      <c r="C631" s="7"/>
      <c r="D631" s="7"/>
      <c r="E631" s="7"/>
      <c r="F631" s="7"/>
      <c r="G631" s="7"/>
      <c r="H631" s="7"/>
      <c r="I631" s="7"/>
      <c r="J631" s="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6">
      <c r="A632" s="7"/>
      <c r="B632" s="7"/>
      <c r="C632" s="7"/>
      <c r="D632" s="7"/>
      <c r="E632" s="7"/>
      <c r="F632" s="7"/>
      <c r="G632" s="7"/>
      <c r="H632" s="7"/>
      <c r="I632" s="7"/>
      <c r="J632" s="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6">
      <c r="A633" s="7"/>
      <c r="B633" s="7"/>
      <c r="C633" s="7"/>
      <c r="D633" s="7"/>
      <c r="E633" s="7"/>
      <c r="F633" s="7"/>
      <c r="G633" s="7"/>
      <c r="H633" s="7"/>
      <c r="I633" s="7"/>
      <c r="J633" s="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6">
      <c r="A634" s="7"/>
      <c r="B634" s="7"/>
      <c r="C634" s="7"/>
      <c r="D634" s="7"/>
      <c r="E634" s="7"/>
      <c r="F634" s="7"/>
      <c r="G634" s="7"/>
      <c r="H634" s="7"/>
      <c r="I634" s="7"/>
      <c r="J634" s="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6">
      <c r="A635" s="7"/>
      <c r="B635" s="7"/>
      <c r="C635" s="7"/>
      <c r="D635" s="7"/>
      <c r="E635" s="7"/>
      <c r="F635" s="7"/>
      <c r="G635" s="7"/>
      <c r="H635" s="7"/>
      <c r="I635" s="7"/>
      <c r="J635" s="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6">
      <c r="A636" s="7"/>
      <c r="B636" s="7"/>
      <c r="C636" s="7"/>
      <c r="D636" s="7"/>
      <c r="E636" s="7"/>
      <c r="F636" s="7"/>
      <c r="G636" s="7"/>
      <c r="H636" s="7"/>
      <c r="I636" s="7"/>
      <c r="J636" s="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6">
      <c r="A637" s="7"/>
      <c r="B637" s="7"/>
      <c r="C637" s="7"/>
      <c r="D637" s="7"/>
      <c r="E637" s="7"/>
      <c r="F637" s="7"/>
      <c r="G637" s="7"/>
      <c r="H637" s="7"/>
      <c r="I637" s="7"/>
      <c r="J637" s="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6">
      <c r="A638" s="7"/>
      <c r="B638" s="7"/>
      <c r="C638" s="7"/>
      <c r="D638" s="7"/>
      <c r="E638" s="7"/>
      <c r="F638" s="7"/>
      <c r="G638" s="7"/>
      <c r="H638" s="7"/>
      <c r="I638" s="7"/>
      <c r="J638" s="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6">
      <c r="A639" s="7"/>
      <c r="B639" s="7"/>
      <c r="C639" s="7"/>
      <c r="D639" s="7"/>
      <c r="E639" s="7"/>
      <c r="F639" s="7"/>
      <c r="G639" s="7"/>
      <c r="H639" s="7"/>
      <c r="I639" s="7"/>
      <c r="J639" s="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6">
      <c r="A640" s="7"/>
      <c r="B640" s="7"/>
      <c r="C640" s="7"/>
      <c r="D640" s="7"/>
      <c r="E640" s="7"/>
      <c r="F640" s="7"/>
      <c r="G640" s="7"/>
      <c r="H640" s="7"/>
      <c r="I640" s="7"/>
      <c r="J640" s="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6">
      <c r="A641" s="7"/>
      <c r="B641" s="7"/>
      <c r="C641" s="7"/>
      <c r="D641" s="7"/>
      <c r="E641" s="7"/>
      <c r="F641" s="7"/>
      <c r="G641" s="7"/>
      <c r="H641" s="7"/>
      <c r="I641" s="7"/>
      <c r="J641" s="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6">
      <c r="A642" s="7"/>
      <c r="B642" s="7"/>
      <c r="C642" s="7"/>
      <c r="D642" s="7"/>
      <c r="E642" s="7"/>
      <c r="F642" s="7"/>
      <c r="G642" s="7"/>
      <c r="H642" s="7"/>
      <c r="I642" s="7"/>
      <c r="J642" s="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6">
      <c r="A643" s="7"/>
      <c r="B643" s="7"/>
      <c r="C643" s="7"/>
      <c r="D643" s="7"/>
      <c r="E643" s="7"/>
      <c r="F643" s="7"/>
      <c r="G643" s="7"/>
      <c r="H643" s="7"/>
      <c r="I643" s="7"/>
      <c r="J643" s="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6">
      <c r="A644" s="7"/>
      <c r="B644" s="7"/>
      <c r="C644" s="7"/>
      <c r="D644" s="7"/>
      <c r="E644" s="7"/>
      <c r="F644" s="7"/>
      <c r="G644" s="7"/>
      <c r="H644" s="7"/>
      <c r="I644" s="7"/>
      <c r="J644" s="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6">
      <c r="A645" s="7"/>
      <c r="B645" s="7"/>
      <c r="C645" s="7"/>
      <c r="D645" s="7"/>
      <c r="E645" s="7"/>
      <c r="F645" s="7"/>
      <c r="G645" s="7"/>
      <c r="H645" s="7"/>
      <c r="I645" s="7"/>
      <c r="J645" s="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6">
      <c r="A646" s="7"/>
      <c r="B646" s="7"/>
      <c r="C646" s="7"/>
      <c r="D646" s="7"/>
      <c r="E646" s="7"/>
      <c r="F646" s="7"/>
      <c r="G646" s="7"/>
      <c r="H646" s="7"/>
      <c r="I646" s="7"/>
      <c r="J646" s="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6">
      <c r="A647" s="7"/>
      <c r="B647" s="7"/>
      <c r="C647" s="7"/>
      <c r="D647" s="7"/>
      <c r="E647" s="7"/>
      <c r="F647" s="7"/>
      <c r="G647" s="7"/>
      <c r="H647" s="7"/>
      <c r="I647" s="7"/>
      <c r="J647" s="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6">
      <c r="A648" s="7"/>
      <c r="B648" s="7"/>
      <c r="C648" s="7"/>
      <c r="D648" s="7"/>
      <c r="E648" s="7"/>
      <c r="F648" s="7"/>
      <c r="G648" s="7"/>
      <c r="H648" s="7"/>
      <c r="I648" s="7"/>
      <c r="J648" s="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6">
      <c r="A649" s="7"/>
      <c r="B649" s="7"/>
      <c r="C649" s="7"/>
      <c r="D649" s="7"/>
      <c r="E649" s="7"/>
      <c r="F649" s="7"/>
      <c r="G649" s="7"/>
      <c r="H649" s="7"/>
      <c r="I649" s="7"/>
      <c r="J649" s="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6">
      <c r="A650" s="7"/>
      <c r="B650" s="7"/>
      <c r="C650" s="7"/>
      <c r="D650" s="7"/>
      <c r="E650" s="7"/>
      <c r="F650" s="7"/>
      <c r="G650" s="7"/>
      <c r="H650" s="7"/>
      <c r="I650" s="7"/>
      <c r="J650" s="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6">
      <c r="A651" s="7"/>
      <c r="B651" s="7"/>
      <c r="C651" s="7"/>
      <c r="D651" s="7"/>
      <c r="E651" s="7"/>
      <c r="F651" s="7"/>
      <c r="G651" s="7"/>
      <c r="H651" s="7"/>
      <c r="I651" s="7"/>
      <c r="J651" s="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6">
      <c r="A652" s="7"/>
      <c r="B652" s="7"/>
      <c r="C652" s="7"/>
      <c r="D652" s="7"/>
      <c r="E652" s="7"/>
      <c r="F652" s="7"/>
      <c r="G652" s="7"/>
      <c r="H652" s="7"/>
      <c r="I652" s="7"/>
      <c r="J652" s="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6">
      <c r="A653" s="7"/>
      <c r="B653" s="7"/>
      <c r="C653" s="7"/>
      <c r="D653" s="7"/>
      <c r="E653" s="7"/>
      <c r="F653" s="7"/>
      <c r="G653" s="7"/>
      <c r="H653" s="7"/>
      <c r="I653" s="7"/>
      <c r="J653" s="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6">
      <c r="A654" s="7"/>
      <c r="B654" s="7"/>
      <c r="C654" s="7"/>
      <c r="D654" s="7"/>
      <c r="E654" s="7"/>
      <c r="F654" s="7"/>
      <c r="G654" s="7"/>
      <c r="H654" s="7"/>
      <c r="I654" s="7"/>
      <c r="J654" s="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6">
      <c r="A655" s="7"/>
      <c r="B655" s="7"/>
      <c r="C655" s="7"/>
      <c r="D655" s="7"/>
      <c r="E655" s="7"/>
      <c r="F655" s="7"/>
      <c r="G655" s="7"/>
      <c r="H655" s="7"/>
      <c r="I655" s="7"/>
      <c r="J655" s="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6">
      <c r="A656" s="7"/>
      <c r="B656" s="7"/>
      <c r="C656" s="7"/>
      <c r="D656" s="7"/>
      <c r="E656" s="7"/>
      <c r="F656" s="7"/>
      <c r="G656" s="7"/>
      <c r="H656" s="7"/>
      <c r="I656" s="7"/>
      <c r="J656" s="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6">
      <c r="A657" s="7"/>
      <c r="B657" s="7"/>
      <c r="C657" s="7"/>
      <c r="D657" s="7"/>
      <c r="E657" s="7"/>
      <c r="F657" s="7"/>
      <c r="G657" s="7"/>
      <c r="H657" s="7"/>
      <c r="I657" s="7"/>
      <c r="J657" s="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6">
      <c r="A658" s="7"/>
      <c r="B658" s="7"/>
      <c r="C658" s="7"/>
      <c r="D658" s="7"/>
      <c r="E658" s="7"/>
      <c r="F658" s="7"/>
      <c r="G658" s="7"/>
      <c r="H658" s="7"/>
      <c r="I658" s="7"/>
      <c r="J658" s="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6">
      <c r="A659" s="7"/>
      <c r="B659" s="7"/>
      <c r="C659" s="7"/>
      <c r="D659" s="7"/>
      <c r="E659" s="7"/>
      <c r="F659" s="7"/>
      <c r="G659" s="7"/>
      <c r="H659" s="7"/>
      <c r="I659" s="7"/>
      <c r="J659" s="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6">
      <c r="A660" s="7"/>
      <c r="B660" s="7"/>
      <c r="C660" s="7"/>
      <c r="D660" s="7"/>
      <c r="E660" s="7"/>
      <c r="F660" s="7"/>
      <c r="G660" s="7"/>
      <c r="H660" s="7"/>
      <c r="I660" s="7"/>
      <c r="J660" s="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6">
      <c r="A661" s="7"/>
      <c r="B661" s="7"/>
      <c r="C661" s="7"/>
      <c r="D661" s="7"/>
      <c r="E661" s="7"/>
      <c r="F661" s="7"/>
      <c r="G661" s="7"/>
      <c r="H661" s="7"/>
      <c r="I661" s="7"/>
      <c r="J661" s="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6">
      <c r="A662" s="7"/>
      <c r="B662" s="7"/>
      <c r="C662" s="7"/>
      <c r="D662" s="7"/>
      <c r="E662" s="7"/>
      <c r="F662" s="7"/>
      <c r="G662" s="7"/>
      <c r="H662" s="7"/>
      <c r="I662" s="7"/>
      <c r="J662" s="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6">
      <c r="A663" s="7"/>
      <c r="B663" s="7"/>
      <c r="C663" s="7"/>
      <c r="D663" s="7"/>
      <c r="E663" s="7"/>
      <c r="F663" s="7"/>
      <c r="G663" s="7"/>
      <c r="H663" s="7"/>
      <c r="I663" s="7"/>
      <c r="J663" s="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6">
      <c r="A664" s="7"/>
      <c r="B664" s="7"/>
      <c r="C664" s="7"/>
      <c r="D664" s="7"/>
      <c r="E664" s="7"/>
      <c r="F664" s="7"/>
      <c r="G664" s="7"/>
      <c r="H664" s="7"/>
      <c r="I664" s="7"/>
      <c r="J664" s="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6">
      <c r="A665" s="7"/>
      <c r="B665" s="7"/>
      <c r="C665" s="7"/>
      <c r="D665" s="7"/>
      <c r="E665" s="7"/>
      <c r="F665" s="7"/>
      <c r="G665" s="7"/>
      <c r="H665" s="7"/>
      <c r="I665" s="7"/>
      <c r="J665" s="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6">
      <c r="A666" s="7"/>
      <c r="B666" s="7"/>
      <c r="C666" s="7"/>
      <c r="D666" s="7"/>
      <c r="E666" s="7"/>
      <c r="F666" s="7"/>
      <c r="G666" s="7"/>
      <c r="H666" s="7"/>
      <c r="I666" s="7"/>
      <c r="J666" s="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6">
      <c r="A667" s="7"/>
      <c r="B667" s="7"/>
      <c r="C667" s="7"/>
      <c r="D667" s="7"/>
      <c r="E667" s="7"/>
      <c r="F667" s="7"/>
      <c r="G667" s="7"/>
      <c r="H667" s="7"/>
      <c r="I667" s="7"/>
      <c r="J667" s="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6">
      <c r="A668" s="7"/>
      <c r="B668" s="7"/>
      <c r="C668" s="7"/>
      <c r="D668" s="7"/>
      <c r="E668" s="7"/>
      <c r="F668" s="7"/>
      <c r="G668" s="7"/>
      <c r="H668" s="7"/>
      <c r="I668" s="7"/>
      <c r="J668" s="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6">
      <c r="A669" s="7"/>
      <c r="B669" s="7"/>
      <c r="C669" s="7"/>
      <c r="D669" s="7"/>
      <c r="E669" s="7"/>
      <c r="F669" s="7"/>
      <c r="G669" s="7"/>
      <c r="H669" s="7"/>
      <c r="I669" s="7"/>
      <c r="J669" s="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6">
      <c r="A670" s="7"/>
      <c r="B670" s="7"/>
      <c r="C670" s="7"/>
      <c r="D670" s="7"/>
      <c r="E670" s="7"/>
      <c r="F670" s="7"/>
      <c r="G670" s="7"/>
      <c r="H670" s="7"/>
      <c r="I670" s="7"/>
      <c r="J670" s="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6">
      <c r="A671" s="7"/>
      <c r="B671" s="7"/>
      <c r="C671" s="7"/>
      <c r="D671" s="7"/>
      <c r="E671" s="7"/>
      <c r="F671" s="7"/>
      <c r="G671" s="7"/>
      <c r="H671" s="7"/>
      <c r="I671" s="7"/>
      <c r="J671" s="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6">
      <c r="A672" s="7"/>
      <c r="B672" s="7"/>
      <c r="C672" s="7"/>
      <c r="D672" s="7"/>
      <c r="E672" s="7"/>
      <c r="F672" s="7"/>
      <c r="G672" s="7"/>
      <c r="H672" s="7"/>
      <c r="I672" s="7"/>
      <c r="J672" s="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6">
      <c r="A673" s="7"/>
      <c r="B673" s="7"/>
      <c r="C673" s="7"/>
      <c r="D673" s="7"/>
      <c r="E673" s="7"/>
      <c r="F673" s="7"/>
      <c r="G673" s="7"/>
      <c r="H673" s="7"/>
      <c r="I673" s="7"/>
      <c r="J673" s="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6">
      <c r="A674" s="7"/>
      <c r="B674" s="7"/>
      <c r="C674" s="7"/>
      <c r="D674" s="7"/>
      <c r="E674" s="7"/>
      <c r="F674" s="7"/>
      <c r="G674" s="7"/>
      <c r="H674" s="7"/>
      <c r="I674" s="7"/>
      <c r="J674" s="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6">
      <c r="A675" s="7"/>
      <c r="B675" s="7"/>
      <c r="C675" s="7"/>
      <c r="D675" s="7"/>
      <c r="E675" s="7"/>
      <c r="F675" s="7"/>
      <c r="G675" s="7"/>
      <c r="H675" s="7"/>
      <c r="I675" s="7"/>
      <c r="J675" s="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6">
      <c r="A676" s="7"/>
      <c r="B676" s="7"/>
      <c r="C676" s="7"/>
      <c r="D676" s="7"/>
      <c r="E676" s="7"/>
      <c r="F676" s="7"/>
      <c r="G676" s="7"/>
      <c r="H676" s="7"/>
      <c r="I676" s="7"/>
      <c r="J676" s="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6">
      <c r="A677" s="7"/>
      <c r="B677" s="7"/>
      <c r="C677" s="7"/>
      <c r="D677" s="7"/>
      <c r="E677" s="7"/>
      <c r="F677" s="7"/>
      <c r="G677" s="7"/>
      <c r="H677" s="7"/>
      <c r="I677" s="7"/>
      <c r="J677" s="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6">
      <c r="A678" s="7"/>
      <c r="B678" s="7"/>
      <c r="C678" s="7"/>
      <c r="D678" s="7"/>
      <c r="E678" s="7"/>
      <c r="F678" s="7"/>
      <c r="G678" s="7"/>
      <c r="H678" s="7"/>
      <c r="I678" s="7"/>
      <c r="J678" s="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6">
      <c r="A679" s="7"/>
      <c r="B679" s="7"/>
      <c r="C679" s="7"/>
      <c r="D679" s="7"/>
      <c r="E679" s="7"/>
      <c r="F679" s="7"/>
      <c r="G679" s="7"/>
      <c r="H679" s="7"/>
      <c r="I679" s="7"/>
      <c r="J679" s="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6">
      <c r="A680" s="7"/>
      <c r="B680" s="7"/>
      <c r="C680" s="7"/>
      <c r="D680" s="7"/>
      <c r="E680" s="7"/>
      <c r="F680" s="7"/>
      <c r="G680" s="7"/>
      <c r="H680" s="7"/>
      <c r="I680" s="7"/>
      <c r="J680" s="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6">
      <c r="A681" s="7"/>
      <c r="B681" s="7"/>
      <c r="C681" s="7"/>
      <c r="D681" s="7"/>
      <c r="E681" s="7"/>
      <c r="F681" s="7"/>
      <c r="G681" s="7"/>
      <c r="H681" s="7"/>
      <c r="I681" s="7"/>
      <c r="J681" s="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6">
      <c r="A682" s="7"/>
      <c r="B682" s="7"/>
      <c r="C682" s="7"/>
      <c r="D682" s="7"/>
      <c r="E682" s="7"/>
      <c r="F682" s="7"/>
      <c r="G682" s="7"/>
      <c r="H682" s="7"/>
      <c r="I682" s="7"/>
      <c r="J682" s="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6">
      <c r="A683" s="7"/>
      <c r="B683" s="7"/>
      <c r="C683" s="7"/>
      <c r="D683" s="7"/>
      <c r="E683" s="7"/>
      <c r="F683" s="7"/>
      <c r="G683" s="7"/>
      <c r="H683" s="7"/>
      <c r="I683" s="7"/>
      <c r="J683" s="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6">
      <c r="A684" s="7"/>
      <c r="B684" s="7"/>
      <c r="C684" s="7"/>
      <c r="D684" s="7"/>
      <c r="E684" s="7"/>
      <c r="F684" s="7"/>
      <c r="G684" s="7"/>
      <c r="H684" s="7"/>
      <c r="I684" s="7"/>
      <c r="J684" s="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6">
      <c r="A685" s="7"/>
      <c r="B685" s="7"/>
      <c r="C685" s="7"/>
      <c r="D685" s="7"/>
      <c r="E685" s="7"/>
      <c r="F685" s="7"/>
      <c r="G685" s="7"/>
      <c r="H685" s="7"/>
      <c r="I685" s="7"/>
      <c r="J685" s="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6">
      <c r="A686" s="7"/>
      <c r="B686" s="7"/>
      <c r="C686" s="7"/>
      <c r="D686" s="7"/>
      <c r="E686" s="7"/>
      <c r="F686" s="7"/>
      <c r="G686" s="7"/>
      <c r="H686" s="7"/>
      <c r="I686" s="7"/>
      <c r="J686" s="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6">
      <c r="A687" s="7"/>
      <c r="B687" s="7"/>
      <c r="C687" s="7"/>
      <c r="D687" s="7"/>
      <c r="E687" s="7"/>
      <c r="F687" s="7"/>
      <c r="G687" s="7"/>
      <c r="H687" s="7"/>
      <c r="I687" s="7"/>
      <c r="J687" s="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6">
      <c r="A688" s="7"/>
      <c r="B688" s="7"/>
      <c r="C688" s="7"/>
      <c r="D688" s="7"/>
      <c r="E688" s="7"/>
      <c r="F688" s="7"/>
      <c r="G688" s="7"/>
      <c r="H688" s="7"/>
      <c r="I688" s="7"/>
      <c r="J688" s="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6">
      <c r="A689" s="7"/>
      <c r="B689" s="7"/>
      <c r="C689" s="7"/>
      <c r="D689" s="7"/>
      <c r="E689" s="7"/>
      <c r="F689" s="7"/>
      <c r="G689" s="7"/>
      <c r="H689" s="7"/>
      <c r="I689" s="7"/>
      <c r="J689" s="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6">
      <c r="A690" s="7"/>
      <c r="B690" s="7"/>
      <c r="C690" s="7"/>
      <c r="D690" s="7"/>
      <c r="E690" s="7"/>
      <c r="F690" s="7"/>
      <c r="G690" s="7"/>
      <c r="H690" s="7"/>
      <c r="I690" s="7"/>
      <c r="J690" s="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6">
      <c r="A691" s="7"/>
      <c r="B691" s="7"/>
      <c r="C691" s="7"/>
      <c r="D691" s="7"/>
      <c r="E691" s="7"/>
      <c r="F691" s="7"/>
      <c r="G691" s="7"/>
      <c r="H691" s="7"/>
      <c r="I691" s="7"/>
      <c r="J691" s="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6">
      <c r="A692" s="7"/>
      <c r="B692" s="7"/>
      <c r="C692" s="7"/>
      <c r="D692" s="7"/>
      <c r="E692" s="7"/>
      <c r="F692" s="7"/>
      <c r="G692" s="7"/>
      <c r="H692" s="7"/>
      <c r="I692" s="7"/>
      <c r="J692" s="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6">
      <c r="A693" s="7"/>
      <c r="B693" s="7"/>
      <c r="C693" s="7"/>
      <c r="D693" s="7"/>
      <c r="E693" s="7"/>
      <c r="F693" s="7"/>
      <c r="G693" s="7"/>
      <c r="H693" s="7"/>
      <c r="I693" s="7"/>
      <c r="J693" s="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6">
      <c r="A694" s="7"/>
      <c r="B694" s="7"/>
      <c r="C694" s="7"/>
      <c r="D694" s="7"/>
      <c r="E694" s="7"/>
      <c r="F694" s="7"/>
      <c r="G694" s="7"/>
      <c r="H694" s="7"/>
      <c r="I694" s="7"/>
      <c r="J694" s="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6">
      <c r="A695" s="7"/>
      <c r="B695" s="7"/>
      <c r="C695" s="7"/>
      <c r="D695" s="7"/>
      <c r="E695" s="7"/>
      <c r="F695" s="7"/>
      <c r="G695" s="7"/>
      <c r="H695" s="7"/>
      <c r="I695" s="7"/>
      <c r="J695" s="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6">
      <c r="A696" s="7"/>
      <c r="B696" s="7"/>
      <c r="C696" s="7"/>
      <c r="D696" s="7"/>
      <c r="E696" s="7"/>
      <c r="F696" s="7"/>
      <c r="G696" s="7"/>
      <c r="H696" s="7"/>
      <c r="I696" s="7"/>
      <c r="J696" s="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6">
      <c r="A697" s="7"/>
      <c r="B697" s="7"/>
      <c r="C697" s="7"/>
      <c r="D697" s="7"/>
      <c r="E697" s="7"/>
      <c r="F697" s="7"/>
      <c r="G697" s="7"/>
      <c r="H697" s="7"/>
      <c r="I697" s="7"/>
      <c r="J697" s="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6">
      <c r="A698" s="7"/>
      <c r="B698" s="7"/>
      <c r="C698" s="7"/>
      <c r="D698" s="7"/>
      <c r="E698" s="7"/>
      <c r="F698" s="7"/>
      <c r="G698" s="7"/>
      <c r="H698" s="7"/>
      <c r="I698" s="7"/>
      <c r="J698" s="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6">
      <c r="A699" s="7"/>
      <c r="B699" s="7"/>
      <c r="C699" s="7"/>
      <c r="D699" s="7"/>
      <c r="E699" s="7"/>
      <c r="F699" s="7"/>
      <c r="G699" s="7"/>
      <c r="H699" s="7"/>
      <c r="I699" s="7"/>
      <c r="J699" s="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6">
      <c r="A700" s="7"/>
      <c r="B700" s="7"/>
      <c r="C700" s="7"/>
      <c r="D700" s="7"/>
      <c r="E700" s="7"/>
      <c r="F700" s="7"/>
      <c r="G700" s="7"/>
      <c r="H700" s="7"/>
      <c r="I700" s="7"/>
      <c r="J700" s="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6">
      <c r="A701" s="7"/>
      <c r="B701" s="7"/>
      <c r="C701" s="7"/>
      <c r="D701" s="7"/>
      <c r="E701" s="7"/>
      <c r="F701" s="7"/>
      <c r="G701" s="7"/>
      <c r="H701" s="7"/>
      <c r="I701" s="7"/>
      <c r="J701" s="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6">
      <c r="A702" s="7"/>
      <c r="B702" s="7"/>
      <c r="C702" s="7"/>
      <c r="D702" s="7"/>
      <c r="E702" s="7"/>
      <c r="F702" s="7"/>
      <c r="G702" s="7"/>
      <c r="H702" s="7"/>
      <c r="I702" s="7"/>
      <c r="J702" s="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6">
      <c r="A703" s="7"/>
      <c r="B703" s="7"/>
      <c r="C703" s="7"/>
      <c r="D703" s="7"/>
      <c r="E703" s="7"/>
      <c r="F703" s="7"/>
      <c r="G703" s="7"/>
      <c r="H703" s="7"/>
      <c r="I703" s="7"/>
      <c r="J703" s="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6">
      <c r="A704" s="7"/>
      <c r="B704" s="7"/>
      <c r="C704" s="7"/>
      <c r="D704" s="7"/>
      <c r="E704" s="7"/>
      <c r="F704" s="7"/>
      <c r="G704" s="7"/>
      <c r="H704" s="7"/>
      <c r="I704" s="7"/>
      <c r="J704" s="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6">
      <c r="A705" s="7"/>
      <c r="B705" s="7"/>
      <c r="C705" s="7"/>
      <c r="D705" s="7"/>
      <c r="E705" s="7"/>
      <c r="F705" s="7"/>
      <c r="G705" s="7"/>
      <c r="H705" s="7"/>
      <c r="I705" s="7"/>
      <c r="J705" s="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6">
      <c r="A706" s="7"/>
      <c r="B706" s="7"/>
      <c r="C706" s="7"/>
      <c r="D706" s="7"/>
      <c r="E706" s="7"/>
      <c r="F706" s="7"/>
      <c r="G706" s="7"/>
      <c r="H706" s="7"/>
      <c r="I706" s="7"/>
      <c r="J706" s="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6">
      <c r="A707" s="7"/>
      <c r="B707" s="7"/>
      <c r="C707" s="7"/>
      <c r="D707" s="7"/>
      <c r="E707" s="7"/>
      <c r="F707" s="7"/>
      <c r="G707" s="7"/>
      <c r="H707" s="7"/>
      <c r="I707" s="7"/>
      <c r="J707" s="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6">
      <c r="A708" s="7"/>
      <c r="B708" s="7"/>
      <c r="C708" s="7"/>
      <c r="D708" s="7"/>
      <c r="E708" s="7"/>
      <c r="F708" s="7"/>
      <c r="G708" s="7"/>
      <c r="H708" s="7"/>
      <c r="I708" s="7"/>
      <c r="J708" s="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6">
      <c r="A709" s="7"/>
      <c r="B709" s="7"/>
      <c r="C709" s="7"/>
      <c r="D709" s="7"/>
      <c r="E709" s="7"/>
      <c r="F709" s="7"/>
      <c r="G709" s="7"/>
      <c r="H709" s="7"/>
      <c r="I709" s="7"/>
      <c r="J709" s="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6">
      <c r="A710" s="7"/>
      <c r="B710" s="7"/>
      <c r="C710" s="7"/>
      <c r="D710" s="7"/>
      <c r="E710" s="7"/>
      <c r="F710" s="7"/>
      <c r="G710" s="7"/>
      <c r="H710" s="7"/>
      <c r="I710" s="7"/>
      <c r="J710" s="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6">
      <c r="A711" s="7"/>
      <c r="B711" s="7"/>
      <c r="C711" s="7"/>
      <c r="D711" s="7"/>
      <c r="E711" s="7"/>
      <c r="F711" s="7"/>
      <c r="G711" s="7"/>
      <c r="H711" s="7"/>
      <c r="I711" s="7"/>
      <c r="J711" s="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6">
      <c r="A712" s="7"/>
      <c r="B712" s="7"/>
      <c r="C712" s="7"/>
      <c r="D712" s="7"/>
      <c r="E712" s="7"/>
      <c r="F712" s="7"/>
      <c r="G712" s="7"/>
      <c r="H712" s="7"/>
      <c r="I712" s="7"/>
      <c r="J712" s="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6">
      <c r="A713" s="7"/>
      <c r="B713" s="7"/>
      <c r="C713" s="7"/>
      <c r="D713" s="7"/>
      <c r="E713" s="7"/>
      <c r="F713" s="7"/>
      <c r="G713" s="7"/>
      <c r="H713" s="7"/>
      <c r="I713" s="7"/>
      <c r="J713" s="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6">
      <c r="A714" s="7"/>
      <c r="B714" s="7"/>
      <c r="C714" s="7"/>
      <c r="D714" s="7"/>
      <c r="E714" s="7"/>
      <c r="F714" s="7"/>
      <c r="G714" s="7"/>
      <c r="H714" s="7"/>
      <c r="I714" s="7"/>
      <c r="J714" s="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6">
      <c r="A715" s="7"/>
      <c r="B715" s="7"/>
      <c r="C715" s="7"/>
      <c r="D715" s="7"/>
      <c r="E715" s="7"/>
      <c r="F715" s="7"/>
      <c r="G715" s="7"/>
      <c r="H715" s="7"/>
      <c r="I715" s="7"/>
      <c r="J715" s="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6">
      <c r="A716" s="7"/>
      <c r="B716" s="7"/>
      <c r="C716" s="7"/>
      <c r="D716" s="7"/>
      <c r="E716" s="7"/>
      <c r="F716" s="7"/>
      <c r="G716" s="7"/>
      <c r="H716" s="7"/>
      <c r="I716" s="7"/>
      <c r="J716" s="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6">
      <c r="A717" s="7"/>
      <c r="B717" s="7"/>
      <c r="C717" s="7"/>
      <c r="D717" s="7"/>
      <c r="E717" s="7"/>
      <c r="F717" s="7"/>
      <c r="G717" s="7"/>
      <c r="H717" s="7"/>
      <c r="I717" s="7"/>
      <c r="J717" s="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6">
      <c r="A718" s="7"/>
      <c r="B718" s="7"/>
      <c r="C718" s="7"/>
      <c r="D718" s="7"/>
      <c r="E718" s="7"/>
      <c r="F718" s="7"/>
      <c r="G718" s="7"/>
      <c r="H718" s="7"/>
      <c r="I718" s="7"/>
      <c r="J718" s="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6">
      <c r="A719" s="7"/>
      <c r="B719" s="7"/>
      <c r="C719" s="7"/>
      <c r="D719" s="7"/>
      <c r="E719" s="7"/>
      <c r="F719" s="7"/>
      <c r="G719" s="7"/>
      <c r="H719" s="7"/>
      <c r="I719" s="7"/>
      <c r="J719" s="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6">
      <c r="A720" s="7"/>
      <c r="B720" s="7"/>
      <c r="C720" s="7"/>
      <c r="D720" s="7"/>
      <c r="E720" s="7"/>
      <c r="F720" s="7"/>
      <c r="G720" s="7"/>
      <c r="H720" s="7"/>
      <c r="I720" s="7"/>
      <c r="J720" s="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6">
      <c r="A721" s="7"/>
      <c r="B721" s="7"/>
      <c r="C721" s="7"/>
      <c r="D721" s="7"/>
      <c r="E721" s="7"/>
      <c r="F721" s="7"/>
      <c r="G721" s="7"/>
      <c r="H721" s="7"/>
      <c r="I721" s="7"/>
      <c r="J721" s="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6">
      <c r="A722" s="7"/>
      <c r="B722" s="7"/>
      <c r="C722" s="7"/>
      <c r="D722" s="7"/>
      <c r="E722" s="7"/>
      <c r="F722" s="7"/>
      <c r="G722" s="7"/>
      <c r="H722" s="7"/>
      <c r="I722" s="7"/>
      <c r="J722" s="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6">
      <c r="A723" s="7"/>
      <c r="B723" s="7"/>
      <c r="C723" s="7"/>
      <c r="D723" s="7"/>
      <c r="E723" s="7"/>
      <c r="F723" s="7"/>
      <c r="G723" s="7"/>
      <c r="H723" s="7"/>
      <c r="I723" s="7"/>
      <c r="J723" s="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6">
      <c r="A724" s="7"/>
      <c r="B724" s="7"/>
      <c r="C724" s="7"/>
      <c r="D724" s="7"/>
      <c r="E724" s="7"/>
      <c r="F724" s="7"/>
      <c r="G724" s="7"/>
      <c r="H724" s="7"/>
      <c r="I724" s="7"/>
      <c r="J724" s="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6">
      <c r="A725" s="7"/>
      <c r="B725" s="7"/>
      <c r="C725" s="7"/>
      <c r="D725" s="7"/>
      <c r="E725" s="7"/>
      <c r="F725" s="7"/>
      <c r="G725" s="7"/>
      <c r="H725" s="7"/>
      <c r="I725" s="7"/>
      <c r="J725" s="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6">
      <c r="A726" s="7"/>
      <c r="B726" s="7"/>
      <c r="C726" s="7"/>
      <c r="D726" s="7"/>
      <c r="E726" s="7"/>
      <c r="F726" s="7"/>
      <c r="G726" s="7"/>
      <c r="H726" s="7"/>
      <c r="I726" s="7"/>
      <c r="J726" s="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6">
      <c r="A727" s="7"/>
      <c r="B727" s="7"/>
      <c r="C727" s="7"/>
      <c r="D727" s="7"/>
      <c r="E727" s="7"/>
      <c r="F727" s="7"/>
      <c r="G727" s="7"/>
      <c r="H727" s="7"/>
      <c r="I727" s="7"/>
      <c r="J727" s="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6">
      <c r="A728" s="7"/>
      <c r="B728" s="7"/>
      <c r="C728" s="7"/>
      <c r="D728" s="7"/>
      <c r="E728" s="7"/>
      <c r="F728" s="7"/>
      <c r="G728" s="7"/>
      <c r="H728" s="7"/>
      <c r="I728" s="7"/>
      <c r="J728" s="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6">
      <c r="A729" s="7"/>
      <c r="B729" s="7"/>
      <c r="C729" s="7"/>
      <c r="D729" s="7"/>
      <c r="E729" s="7"/>
      <c r="F729" s="7"/>
      <c r="G729" s="7"/>
      <c r="H729" s="7"/>
      <c r="I729" s="7"/>
      <c r="J729" s="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6">
      <c r="A730" s="7"/>
      <c r="B730" s="7"/>
      <c r="C730" s="7"/>
      <c r="D730" s="7"/>
      <c r="E730" s="7"/>
      <c r="F730" s="7"/>
      <c r="G730" s="7"/>
      <c r="H730" s="7"/>
      <c r="I730" s="7"/>
      <c r="J730" s="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6">
      <c r="A731" s="7"/>
      <c r="B731" s="7"/>
      <c r="C731" s="7"/>
      <c r="D731" s="7"/>
      <c r="E731" s="7"/>
      <c r="F731" s="7"/>
      <c r="G731" s="7"/>
      <c r="H731" s="7"/>
      <c r="I731" s="7"/>
      <c r="J731" s="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6">
      <c r="A732" s="7"/>
      <c r="B732" s="7"/>
      <c r="C732" s="7"/>
      <c r="D732" s="7"/>
      <c r="E732" s="7"/>
      <c r="F732" s="7"/>
      <c r="G732" s="7"/>
      <c r="H732" s="7"/>
      <c r="I732" s="7"/>
      <c r="J732" s="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6">
      <c r="A733" s="7"/>
      <c r="B733" s="7"/>
      <c r="C733" s="7"/>
      <c r="D733" s="7"/>
      <c r="E733" s="7"/>
      <c r="F733" s="7"/>
      <c r="G733" s="7"/>
      <c r="H733" s="7"/>
      <c r="I733" s="7"/>
      <c r="J733" s="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6">
      <c r="A734" s="7"/>
      <c r="B734" s="7"/>
      <c r="C734" s="7"/>
      <c r="D734" s="7"/>
      <c r="E734" s="7"/>
      <c r="F734" s="7"/>
      <c r="G734" s="7"/>
      <c r="H734" s="7"/>
      <c r="I734" s="7"/>
      <c r="J734" s="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6">
      <c r="A735" s="7"/>
      <c r="B735" s="7"/>
      <c r="C735" s="7"/>
      <c r="D735" s="7"/>
      <c r="E735" s="7"/>
      <c r="F735" s="7"/>
      <c r="G735" s="7"/>
      <c r="H735" s="7"/>
      <c r="I735" s="7"/>
      <c r="J735" s="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6">
      <c r="A736" s="7"/>
      <c r="B736" s="7"/>
      <c r="C736" s="7"/>
      <c r="D736" s="7"/>
      <c r="E736" s="7"/>
      <c r="F736" s="7"/>
      <c r="G736" s="7"/>
      <c r="H736" s="7"/>
      <c r="I736" s="7"/>
      <c r="J736" s="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6">
      <c r="A737" s="7"/>
      <c r="B737" s="7"/>
      <c r="C737" s="7"/>
      <c r="D737" s="7"/>
      <c r="E737" s="7"/>
      <c r="F737" s="7"/>
      <c r="G737" s="7"/>
      <c r="H737" s="7"/>
      <c r="I737" s="7"/>
      <c r="J737" s="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6">
      <c r="A738" s="7"/>
      <c r="B738" s="7"/>
      <c r="C738" s="7"/>
      <c r="D738" s="7"/>
      <c r="E738" s="7"/>
      <c r="F738" s="7"/>
      <c r="G738" s="7"/>
      <c r="H738" s="7"/>
      <c r="I738" s="7"/>
      <c r="J738" s="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6">
      <c r="A739" s="7"/>
      <c r="B739" s="7"/>
      <c r="C739" s="7"/>
      <c r="D739" s="7"/>
      <c r="E739" s="7"/>
      <c r="F739" s="7"/>
      <c r="G739" s="7"/>
      <c r="H739" s="7"/>
      <c r="I739" s="7"/>
      <c r="J739" s="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6">
      <c r="A740" s="7"/>
      <c r="B740" s="7"/>
      <c r="C740" s="7"/>
      <c r="D740" s="7"/>
      <c r="E740" s="7"/>
      <c r="F740" s="7"/>
      <c r="G740" s="7"/>
      <c r="H740" s="7"/>
      <c r="I740" s="7"/>
      <c r="J740" s="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6">
      <c r="A741" s="7"/>
      <c r="B741" s="7"/>
      <c r="C741" s="7"/>
      <c r="D741" s="7"/>
      <c r="E741" s="7"/>
      <c r="F741" s="7"/>
      <c r="G741" s="7"/>
      <c r="H741" s="7"/>
      <c r="I741" s="7"/>
      <c r="J741" s="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6">
      <c r="A742" s="7"/>
      <c r="B742" s="7"/>
      <c r="C742" s="7"/>
      <c r="D742" s="7"/>
      <c r="E742" s="7"/>
      <c r="F742" s="7"/>
      <c r="G742" s="7"/>
      <c r="H742" s="7"/>
      <c r="I742" s="7"/>
      <c r="J742" s="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6">
      <c r="A743" s="7"/>
      <c r="B743" s="7"/>
      <c r="C743" s="7"/>
      <c r="D743" s="7"/>
      <c r="E743" s="7"/>
      <c r="F743" s="7"/>
      <c r="G743" s="7"/>
      <c r="H743" s="7"/>
      <c r="I743" s="7"/>
      <c r="J743" s="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6">
      <c r="A744" s="7"/>
      <c r="B744" s="7"/>
      <c r="C744" s="7"/>
      <c r="D744" s="7"/>
      <c r="E744" s="7"/>
      <c r="F744" s="7"/>
      <c r="G744" s="7"/>
      <c r="H744" s="7"/>
      <c r="I744" s="7"/>
      <c r="J744" s="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6">
      <c r="A745" s="7"/>
      <c r="B745" s="7"/>
      <c r="C745" s="7"/>
      <c r="D745" s="7"/>
      <c r="E745" s="7"/>
      <c r="F745" s="7"/>
      <c r="G745" s="7"/>
      <c r="H745" s="7"/>
      <c r="I745" s="7"/>
      <c r="J745" s="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6">
      <c r="A746" s="7"/>
      <c r="B746" s="7"/>
      <c r="C746" s="7"/>
      <c r="D746" s="7"/>
      <c r="E746" s="7"/>
      <c r="F746" s="7"/>
      <c r="G746" s="7"/>
      <c r="H746" s="7"/>
      <c r="I746" s="7"/>
      <c r="J746" s="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6">
      <c r="A747" s="7"/>
      <c r="B747" s="7"/>
      <c r="C747" s="7"/>
      <c r="D747" s="7"/>
      <c r="E747" s="7"/>
      <c r="F747" s="7"/>
      <c r="G747" s="7"/>
      <c r="H747" s="7"/>
      <c r="I747" s="7"/>
      <c r="J747" s="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6">
      <c r="A748" s="7"/>
      <c r="B748" s="7"/>
      <c r="C748" s="7"/>
      <c r="D748" s="7"/>
      <c r="E748" s="7"/>
      <c r="F748" s="7"/>
      <c r="G748" s="7"/>
      <c r="H748" s="7"/>
      <c r="I748" s="7"/>
      <c r="J748" s="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6">
      <c r="A749" s="7"/>
      <c r="B749" s="7"/>
      <c r="C749" s="7"/>
      <c r="D749" s="7"/>
      <c r="E749" s="7"/>
      <c r="F749" s="7"/>
      <c r="G749" s="7"/>
      <c r="H749" s="7"/>
      <c r="I749" s="7"/>
      <c r="J749" s="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6">
      <c r="A750" s="7"/>
      <c r="B750" s="7"/>
      <c r="C750" s="7"/>
      <c r="D750" s="7"/>
      <c r="E750" s="7"/>
      <c r="F750" s="7"/>
      <c r="G750" s="7"/>
      <c r="H750" s="7"/>
      <c r="I750" s="7"/>
      <c r="J750" s="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6">
      <c r="A751" s="7"/>
      <c r="B751" s="7"/>
      <c r="C751" s="7"/>
      <c r="D751" s="7"/>
      <c r="E751" s="7"/>
      <c r="F751" s="7"/>
      <c r="G751" s="7"/>
      <c r="H751" s="7"/>
      <c r="I751" s="7"/>
      <c r="J751" s="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6">
      <c r="A752" s="7"/>
      <c r="B752" s="7"/>
      <c r="C752" s="7"/>
      <c r="D752" s="7"/>
      <c r="E752" s="7"/>
      <c r="F752" s="7"/>
      <c r="G752" s="7"/>
      <c r="H752" s="7"/>
      <c r="I752" s="7"/>
      <c r="J752" s="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6">
      <c r="A753" s="7"/>
      <c r="B753" s="7"/>
      <c r="C753" s="7"/>
      <c r="D753" s="7"/>
      <c r="E753" s="7"/>
      <c r="F753" s="7"/>
      <c r="G753" s="7"/>
      <c r="H753" s="7"/>
      <c r="I753" s="7"/>
      <c r="J753" s="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6">
      <c r="A754" s="7"/>
      <c r="B754" s="7"/>
      <c r="C754" s="7"/>
      <c r="D754" s="7"/>
      <c r="E754" s="7"/>
      <c r="F754" s="7"/>
      <c r="G754" s="7"/>
      <c r="H754" s="7"/>
      <c r="I754" s="7"/>
      <c r="J754" s="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6">
      <c r="A755" s="7"/>
      <c r="B755" s="7"/>
      <c r="C755" s="7"/>
      <c r="D755" s="7"/>
      <c r="E755" s="7"/>
      <c r="F755" s="7"/>
      <c r="G755" s="7"/>
      <c r="H755" s="7"/>
      <c r="I755" s="7"/>
      <c r="J755" s="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6">
      <c r="A756" s="7"/>
      <c r="B756" s="7"/>
      <c r="C756" s="7"/>
      <c r="D756" s="7"/>
      <c r="E756" s="7"/>
      <c r="F756" s="7"/>
      <c r="G756" s="7"/>
      <c r="H756" s="7"/>
      <c r="I756" s="7"/>
      <c r="J756" s="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6">
      <c r="A757" s="7"/>
      <c r="B757" s="7"/>
      <c r="C757" s="7"/>
      <c r="D757" s="7"/>
      <c r="E757" s="7"/>
      <c r="F757" s="7"/>
      <c r="G757" s="7"/>
      <c r="H757" s="7"/>
      <c r="I757" s="7"/>
      <c r="J757" s="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6">
      <c r="A758" s="7"/>
      <c r="B758" s="7"/>
      <c r="C758" s="7"/>
      <c r="D758" s="7"/>
      <c r="E758" s="7"/>
      <c r="F758" s="7"/>
      <c r="G758" s="7"/>
      <c r="H758" s="7"/>
      <c r="I758" s="7"/>
      <c r="J758" s="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6">
      <c r="A759" s="7"/>
      <c r="B759" s="7"/>
      <c r="C759" s="7"/>
      <c r="D759" s="7"/>
      <c r="E759" s="7"/>
      <c r="F759" s="7"/>
      <c r="G759" s="7"/>
      <c r="H759" s="7"/>
      <c r="I759" s="7"/>
      <c r="J759" s="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6">
      <c r="A760" s="7"/>
      <c r="B760" s="7"/>
      <c r="C760" s="7"/>
      <c r="D760" s="7"/>
      <c r="E760" s="7"/>
      <c r="F760" s="7"/>
      <c r="G760" s="7"/>
      <c r="H760" s="7"/>
      <c r="I760" s="7"/>
      <c r="J760" s="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6">
      <c r="A761" s="7"/>
      <c r="B761" s="7"/>
      <c r="C761" s="7"/>
      <c r="D761" s="7"/>
      <c r="E761" s="7"/>
      <c r="F761" s="7"/>
      <c r="G761" s="7"/>
      <c r="H761" s="7"/>
      <c r="I761" s="7"/>
      <c r="J761" s="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6">
      <c r="A762" s="7"/>
      <c r="B762" s="7"/>
      <c r="C762" s="7"/>
      <c r="D762" s="7"/>
      <c r="E762" s="7"/>
      <c r="F762" s="7"/>
      <c r="G762" s="7"/>
      <c r="H762" s="7"/>
      <c r="I762" s="7"/>
      <c r="J762" s="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6">
      <c r="A763" s="7"/>
      <c r="B763" s="7"/>
      <c r="C763" s="7"/>
      <c r="D763" s="7"/>
      <c r="E763" s="7"/>
      <c r="F763" s="7"/>
      <c r="G763" s="7"/>
      <c r="H763" s="7"/>
      <c r="I763" s="7"/>
      <c r="J763" s="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6">
      <c r="A764" s="7"/>
      <c r="B764" s="7"/>
      <c r="C764" s="7"/>
      <c r="D764" s="7"/>
      <c r="E764" s="7"/>
      <c r="F764" s="7"/>
      <c r="G764" s="7"/>
      <c r="H764" s="7"/>
      <c r="I764" s="7"/>
      <c r="J764" s="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6">
      <c r="A765" s="7"/>
      <c r="B765" s="7"/>
      <c r="C765" s="7"/>
      <c r="D765" s="7"/>
      <c r="E765" s="7"/>
      <c r="F765" s="7"/>
      <c r="G765" s="7"/>
      <c r="H765" s="7"/>
      <c r="I765" s="7"/>
      <c r="J765" s="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6">
      <c r="A766" s="7"/>
      <c r="B766" s="7"/>
      <c r="C766" s="7"/>
      <c r="D766" s="7"/>
      <c r="E766" s="7"/>
      <c r="F766" s="7"/>
      <c r="G766" s="7"/>
      <c r="H766" s="7"/>
      <c r="I766" s="7"/>
      <c r="J766" s="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6">
      <c r="A767" s="7"/>
      <c r="B767" s="7"/>
      <c r="C767" s="7"/>
      <c r="D767" s="7"/>
      <c r="E767" s="7"/>
      <c r="F767" s="7"/>
      <c r="G767" s="7"/>
      <c r="H767" s="7"/>
      <c r="I767" s="7"/>
      <c r="J767" s="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6">
      <c r="A768" s="7"/>
      <c r="B768" s="7"/>
      <c r="C768" s="7"/>
      <c r="D768" s="7"/>
      <c r="E768" s="7"/>
      <c r="F768" s="7"/>
      <c r="G768" s="7"/>
      <c r="H768" s="7"/>
      <c r="I768" s="7"/>
      <c r="J768" s="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6">
      <c r="A769" s="7"/>
      <c r="B769" s="7"/>
      <c r="C769" s="7"/>
      <c r="D769" s="7"/>
      <c r="E769" s="7"/>
      <c r="F769" s="7"/>
      <c r="G769" s="7"/>
      <c r="H769" s="7"/>
      <c r="I769" s="7"/>
      <c r="J769" s="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6">
      <c r="A770" s="7"/>
      <c r="B770" s="7"/>
      <c r="C770" s="7"/>
      <c r="D770" s="7"/>
      <c r="E770" s="7"/>
      <c r="F770" s="7"/>
      <c r="G770" s="7"/>
      <c r="H770" s="7"/>
      <c r="I770" s="7"/>
      <c r="J770" s="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6">
      <c r="A771" s="7"/>
      <c r="B771" s="7"/>
      <c r="C771" s="7"/>
      <c r="D771" s="7"/>
      <c r="E771" s="7"/>
      <c r="F771" s="7"/>
      <c r="G771" s="7"/>
      <c r="H771" s="7"/>
      <c r="I771" s="7"/>
      <c r="J771" s="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6">
      <c r="A772" s="7"/>
      <c r="B772" s="7"/>
      <c r="C772" s="7"/>
      <c r="D772" s="7"/>
      <c r="E772" s="7"/>
      <c r="F772" s="7"/>
      <c r="G772" s="7"/>
      <c r="H772" s="7"/>
      <c r="I772" s="7"/>
      <c r="J772" s="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6">
      <c r="A773" s="7"/>
      <c r="B773" s="7"/>
      <c r="C773" s="7"/>
      <c r="D773" s="7"/>
      <c r="E773" s="7"/>
      <c r="F773" s="7"/>
      <c r="G773" s="7"/>
      <c r="H773" s="7"/>
      <c r="I773" s="7"/>
      <c r="J773" s="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6">
      <c r="A774" s="7"/>
      <c r="B774" s="7"/>
      <c r="C774" s="7"/>
      <c r="D774" s="7"/>
      <c r="E774" s="7"/>
      <c r="F774" s="7"/>
      <c r="G774" s="7"/>
      <c r="H774" s="7"/>
      <c r="I774" s="7"/>
      <c r="J774" s="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6">
      <c r="A775" s="7"/>
      <c r="B775" s="7"/>
      <c r="C775" s="7"/>
      <c r="D775" s="7"/>
      <c r="E775" s="7"/>
      <c r="F775" s="7"/>
      <c r="G775" s="7"/>
      <c r="H775" s="7"/>
      <c r="I775" s="7"/>
      <c r="J775" s="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6">
      <c r="A776" s="7"/>
      <c r="B776" s="7"/>
      <c r="C776" s="7"/>
      <c r="D776" s="7"/>
      <c r="E776" s="7"/>
      <c r="F776" s="7"/>
      <c r="G776" s="7"/>
      <c r="H776" s="7"/>
      <c r="I776" s="7"/>
      <c r="J776" s="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6">
      <c r="A777" s="7"/>
      <c r="B777" s="7"/>
      <c r="C777" s="7"/>
      <c r="D777" s="7"/>
      <c r="E777" s="7"/>
      <c r="F777" s="7"/>
      <c r="G777" s="7"/>
      <c r="H777" s="7"/>
      <c r="I777" s="7"/>
      <c r="J777" s="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6">
      <c r="A778" s="7"/>
      <c r="B778" s="7"/>
      <c r="C778" s="7"/>
      <c r="D778" s="7"/>
      <c r="E778" s="7"/>
      <c r="F778" s="7"/>
      <c r="G778" s="7"/>
      <c r="H778" s="7"/>
      <c r="I778" s="7"/>
      <c r="J778" s="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6">
      <c r="A779" s="7"/>
      <c r="B779" s="7"/>
      <c r="C779" s="7"/>
      <c r="D779" s="7"/>
      <c r="E779" s="7"/>
      <c r="F779" s="7"/>
      <c r="G779" s="7"/>
      <c r="H779" s="7"/>
      <c r="I779" s="7"/>
      <c r="J779" s="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6">
      <c r="A780" s="7"/>
      <c r="B780" s="7"/>
      <c r="C780" s="7"/>
      <c r="D780" s="7"/>
      <c r="E780" s="7"/>
      <c r="F780" s="7"/>
      <c r="G780" s="7"/>
      <c r="H780" s="7"/>
      <c r="I780" s="7"/>
      <c r="J780" s="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6">
      <c r="A781" s="7"/>
      <c r="B781" s="7"/>
      <c r="C781" s="7"/>
      <c r="D781" s="7"/>
      <c r="E781" s="7"/>
      <c r="F781" s="7"/>
      <c r="G781" s="7"/>
      <c r="H781" s="7"/>
      <c r="I781" s="7"/>
      <c r="J781" s="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6">
      <c r="A782" s="7"/>
      <c r="B782" s="7"/>
      <c r="C782" s="7"/>
      <c r="D782" s="7"/>
      <c r="E782" s="7"/>
      <c r="F782" s="7"/>
      <c r="G782" s="7"/>
      <c r="H782" s="7"/>
      <c r="I782" s="7"/>
      <c r="J782" s="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6">
      <c r="A783" s="7"/>
      <c r="B783" s="7"/>
      <c r="C783" s="7"/>
      <c r="D783" s="7"/>
      <c r="E783" s="7"/>
      <c r="F783" s="7"/>
      <c r="G783" s="7"/>
      <c r="H783" s="7"/>
      <c r="I783" s="7"/>
      <c r="J783" s="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6">
      <c r="A784" s="7"/>
      <c r="B784" s="7"/>
      <c r="C784" s="7"/>
      <c r="D784" s="7"/>
      <c r="E784" s="7"/>
      <c r="F784" s="7"/>
      <c r="G784" s="7"/>
      <c r="H784" s="7"/>
      <c r="I784" s="7"/>
      <c r="J784" s="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6">
      <c r="A785" s="7"/>
      <c r="B785" s="7"/>
      <c r="C785" s="7"/>
      <c r="D785" s="7"/>
      <c r="E785" s="7"/>
      <c r="F785" s="7"/>
      <c r="G785" s="7"/>
      <c r="H785" s="7"/>
      <c r="I785" s="7"/>
      <c r="J785" s="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6">
      <c r="A786" s="7"/>
      <c r="B786" s="7"/>
      <c r="C786" s="7"/>
      <c r="D786" s="7"/>
      <c r="E786" s="7"/>
      <c r="F786" s="7"/>
      <c r="G786" s="7"/>
      <c r="H786" s="7"/>
      <c r="I786" s="7"/>
      <c r="J786" s="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6">
      <c r="A787" s="7"/>
      <c r="B787" s="7"/>
      <c r="C787" s="7"/>
      <c r="D787" s="7"/>
      <c r="E787" s="7"/>
      <c r="F787" s="7"/>
      <c r="G787" s="7"/>
      <c r="H787" s="7"/>
      <c r="I787" s="7"/>
      <c r="J787" s="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6">
      <c r="A788" s="7"/>
      <c r="B788" s="7"/>
      <c r="C788" s="7"/>
      <c r="D788" s="7"/>
      <c r="E788" s="7"/>
      <c r="F788" s="7"/>
      <c r="G788" s="7"/>
      <c r="H788" s="7"/>
      <c r="I788" s="7"/>
      <c r="J788" s="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6">
      <c r="A789" s="7"/>
      <c r="B789" s="7"/>
      <c r="C789" s="7"/>
      <c r="D789" s="7"/>
      <c r="E789" s="7"/>
      <c r="F789" s="7"/>
      <c r="G789" s="7"/>
      <c r="H789" s="7"/>
      <c r="I789" s="7"/>
      <c r="J789" s="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6">
      <c r="A790" s="7"/>
      <c r="B790" s="7"/>
      <c r="C790" s="7"/>
      <c r="D790" s="7"/>
      <c r="E790" s="7"/>
      <c r="F790" s="7"/>
      <c r="G790" s="7"/>
      <c r="H790" s="7"/>
      <c r="I790" s="7"/>
      <c r="J790" s="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6">
      <c r="A791" s="7"/>
      <c r="B791" s="7"/>
      <c r="C791" s="7"/>
      <c r="D791" s="7"/>
      <c r="E791" s="7"/>
      <c r="F791" s="7"/>
      <c r="G791" s="7"/>
      <c r="H791" s="7"/>
      <c r="I791" s="7"/>
      <c r="J791" s="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6">
      <c r="A792" s="7"/>
      <c r="B792" s="7"/>
      <c r="C792" s="7"/>
      <c r="D792" s="7"/>
      <c r="E792" s="7"/>
      <c r="F792" s="7"/>
      <c r="G792" s="7"/>
      <c r="H792" s="7"/>
      <c r="I792" s="7"/>
      <c r="J792" s="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6">
      <c r="A793" s="7"/>
      <c r="B793" s="7"/>
      <c r="C793" s="7"/>
      <c r="D793" s="7"/>
      <c r="E793" s="7"/>
      <c r="F793" s="7"/>
      <c r="G793" s="7"/>
      <c r="H793" s="7"/>
      <c r="I793" s="7"/>
      <c r="J793" s="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6">
      <c r="A794" s="7"/>
      <c r="B794" s="7"/>
      <c r="C794" s="7"/>
      <c r="D794" s="7"/>
      <c r="E794" s="7"/>
      <c r="F794" s="7"/>
      <c r="G794" s="7"/>
      <c r="H794" s="7"/>
      <c r="I794" s="7"/>
      <c r="J794" s="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6">
      <c r="A795" s="7"/>
      <c r="B795" s="7"/>
      <c r="C795" s="7"/>
      <c r="D795" s="7"/>
      <c r="E795" s="7"/>
      <c r="F795" s="7"/>
      <c r="G795" s="7"/>
      <c r="H795" s="7"/>
      <c r="I795" s="7"/>
      <c r="J795" s="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6">
      <c r="A796" s="7"/>
      <c r="B796" s="7"/>
      <c r="C796" s="7"/>
      <c r="D796" s="7"/>
      <c r="E796" s="7"/>
      <c r="F796" s="7"/>
      <c r="G796" s="7"/>
      <c r="H796" s="7"/>
      <c r="I796" s="7"/>
      <c r="J796" s="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6">
      <c r="A797" s="7"/>
      <c r="B797" s="7"/>
      <c r="C797" s="7"/>
      <c r="D797" s="7"/>
      <c r="E797" s="7"/>
      <c r="F797" s="7"/>
      <c r="G797" s="7"/>
      <c r="H797" s="7"/>
      <c r="I797" s="7"/>
      <c r="J797" s="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6">
      <c r="A798" s="7"/>
      <c r="B798" s="7"/>
      <c r="C798" s="7"/>
      <c r="D798" s="7"/>
      <c r="E798" s="7"/>
      <c r="F798" s="7"/>
      <c r="G798" s="7"/>
      <c r="H798" s="7"/>
      <c r="I798" s="7"/>
      <c r="J798" s="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6">
      <c r="A799" s="7"/>
      <c r="B799" s="7"/>
      <c r="C799" s="7"/>
      <c r="D799" s="7"/>
      <c r="E799" s="7"/>
      <c r="F799" s="7"/>
      <c r="G799" s="7"/>
      <c r="H799" s="7"/>
      <c r="I799" s="7"/>
      <c r="J799" s="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6">
      <c r="A800" s="7"/>
      <c r="B800" s="7"/>
      <c r="C800" s="7"/>
      <c r="D800" s="7"/>
      <c r="E800" s="7"/>
      <c r="F800" s="7"/>
      <c r="G800" s="7"/>
      <c r="H800" s="7"/>
      <c r="I800" s="7"/>
      <c r="J800" s="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6">
      <c r="A801" s="7"/>
      <c r="B801" s="7"/>
      <c r="C801" s="7"/>
      <c r="D801" s="7"/>
      <c r="E801" s="7"/>
      <c r="F801" s="7"/>
      <c r="G801" s="7"/>
      <c r="H801" s="7"/>
      <c r="I801" s="7"/>
      <c r="J801" s="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6">
      <c r="A802" s="7"/>
      <c r="B802" s="7"/>
      <c r="C802" s="7"/>
      <c r="D802" s="7"/>
      <c r="E802" s="7"/>
      <c r="F802" s="7"/>
      <c r="G802" s="7"/>
      <c r="H802" s="7"/>
      <c r="I802" s="7"/>
      <c r="J802" s="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6">
      <c r="A803" s="7"/>
      <c r="B803" s="7"/>
      <c r="C803" s="7"/>
      <c r="D803" s="7"/>
      <c r="E803" s="7"/>
      <c r="F803" s="7"/>
      <c r="G803" s="7"/>
      <c r="H803" s="7"/>
      <c r="I803" s="7"/>
      <c r="J803" s="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6">
      <c r="A804" s="7"/>
      <c r="B804" s="7"/>
      <c r="C804" s="7"/>
      <c r="D804" s="7"/>
      <c r="E804" s="7"/>
      <c r="F804" s="7"/>
      <c r="G804" s="7"/>
      <c r="H804" s="7"/>
      <c r="I804" s="7"/>
      <c r="J804" s="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6">
      <c r="A805" s="7"/>
      <c r="B805" s="7"/>
      <c r="C805" s="7"/>
      <c r="D805" s="7"/>
      <c r="E805" s="7"/>
      <c r="F805" s="7"/>
      <c r="G805" s="7"/>
      <c r="H805" s="7"/>
      <c r="I805" s="7"/>
      <c r="J805" s="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6">
      <c r="A806" s="7"/>
      <c r="B806" s="7"/>
      <c r="C806" s="7"/>
      <c r="D806" s="7"/>
      <c r="E806" s="7"/>
      <c r="F806" s="7"/>
      <c r="G806" s="7"/>
      <c r="H806" s="7"/>
      <c r="I806" s="7"/>
      <c r="J806" s="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6">
      <c r="A807" s="7"/>
      <c r="B807" s="7"/>
      <c r="C807" s="7"/>
      <c r="D807" s="7"/>
      <c r="E807" s="7"/>
      <c r="F807" s="7"/>
      <c r="G807" s="7"/>
      <c r="H807" s="7"/>
      <c r="I807" s="7"/>
      <c r="J807" s="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6">
      <c r="A808" s="7"/>
      <c r="B808" s="7"/>
      <c r="C808" s="7"/>
      <c r="D808" s="7"/>
      <c r="E808" s="7"/>
      <c r="F808" s="7"/>
      <c r="G808" s="7"/>
      <c r="H808" s="7"/>
      <c r="I808" s="7"/>
      <c r="J808" s="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6">
      <c r="A809" s="7"/>
      <c r="B809" s="7"/>
      <c r="C809" s="7"/>
      <c r="D809" s="7"/>
      <c r="E809" s="7"/>
      <c r="F809" s="7"/>
      <c r="G809" s="7"/>
      <c r="H809" s="7"/>
      <c r="I809" s="7"/>
      <c r="J809" s="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6">
      <c r="A810" s="7"/>
      <c r="B810" s="7"/>
      <c r="C810" s="7"/>
      <c r="D810" s="7"/>
      <c r="E810" s="7"/>
      <c r="F810" s="7"/>
      <c r="G810" s="7"/>
      <c r="H810" s="7"/>
      <c r="I810" s="7"/>
      <c r="J810" s="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6">
      <c r="A811" s="7"/>
      <c r="B811" s="7"/>
      <c r="C811" s="7"/>
      <c r="D811" s="7"/>
      <c r="E811" s="7"/>
      <c r="F811" s="7"/>
      <c r="G811" s="7"/>
      <c r="H811" s="7"/>
      <c r="I811" s="7"/>
      <c r="J811" s="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6">
      <c r="A812" s="7"/>
      <c r="B812" s="7"/>
      <c r="C812" s="7"/>
      <c r="D812" s="7"/>
      <c r="E812" s="7"/>
      <c r="F812" s="7"/>
      <c r="G812" s="7"/>
      <c r="H812" s="7"/>
      <c r="I812" s="7"/>
      <c r="J812" s="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6">
      <c r="A813" s="7"/>
      <c r="B813" s="7"/>
      <c r="C813" s="7"/>
      <c r="D813" s="7"/>
      <c r="E813" s="7"/>
      <c r="F813" s="7"/>
      <c r="G813" s="7"/>
      <c r="H813" s="7"/>
      <c r="I813" s="7"/>
      <c r="J813" s="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6">
      <c r="A814" s="7"/>
      <c r="B814" s="7"/>
      <c r="C814" s="7"/>
      <c r="D814" s="7"/>
      <c r="E814" s="7"/>
      <c r="F814" s="7"/>
      <c r="G814" s="7"/>
      <c r="H814" s="7"/>
      <c r="I814" s="7"/>
      <c r="J814" s="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6">
      <c r="A815" s="7"/>
      <c r="B815" s="7"/>
      <c r="C815" s="7"/>
      <c r="D815" s="7"/>
      <c r="E815" s="7"/>
      <c r="F815" s="7"/>
      <c r="G815" s="7"/>
      <c r="H815" s="7"/>
      <c r="I815" s="7"/>
      <c r="J815" s="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6">
      <c r="A816" s="7"/>
      <c r="B816" s="7"/>
      <c r="C816" s="7"/>
      <c r="D816" s="7"/>
      <c r="E816" s="7"/>
      <c r="F816" s="7"/>
      <c r="G816" s="7"/>
      <c r="H816" s="7"/>
      <c r="I816" s="7"/>
      <c r="J816" s="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6">
      <c r="A817" s="7"/>
      <c r="B817" s="7"/>
      <c r="C817" s="7"/>
      <c r="D817" s="7"/>
      <c r="E817" s="7"/>
      <c r="F817" s="7"/>
      <c r="G817" s="7"/>
      <c r="H817" s="7"/>
      <c r="I817" s="7"/>
      <c r="J817" s="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6">
      <c r="A818" s="7"/>
      <c r="B818" s="7"/>
      <c r="C818" s="7"/>
      <c r="D818" s="7"/>
      <c r="E818" s="7"/>
      <c r="F818" s="7"/>
      <c r="G818" s="7"/>
      <c r="H818" s="7"/>
      <c r="I818" s="7"/>
      <c r="J818" s="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6">
      <c r="A819" s="7"/>
      <c r="B819" s="7"/>
      <c r="C819" s="7"/>
      <c r="D819" s="7"/>
      <c r="E819" s="7"/>
      <c r="F819" s="7"/>
      <c r="G819" s="7"/>
      <c r="H819" s="7"/>
      <c r="I819" s="7"/>
      <c r="J819" s="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6">
      <c r="A820" s="7"/>
      <c r="B820" s="7"/>
      <c r="C820" s="7"/>
      <c r="D820" s="7"/>
      <c r="E820" s="7"/>
      <c r="F820" s="7"/>
      <c r="G820" s="7"/>
      <c r="H820" s="7"/>
      <c r="I820" s="7"/>
      <c r="J820" s="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6">
      <c r="A821" s="7"/>
      <c r="B821" s="7"/>
      <c r="C821" s="7"/>
      <c r="D821" s="7"/>
      <c r="E821" s="7"/>
      <c r="F821" s="7"/>
      <c r="G821" s="7"/>
      <c r="H821" s="7"/>
      <c r="I821" s="7"/>
      <c r="J821" s="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6">
      <c r="A822" s="7"/>
      <c r="B822" s="7"/>
      <c r="C822" s="7"/>
      <c r="D822" s="7"/>
      <c r="E822" s="7"/>
      <c r="F822" s="7"/>
      <c r="G822" s="7"/>
      <c r="H822" s="7"/>
      <c r="I822" s="7"/>
      <c r="J822" s="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6">
      <c r="A823" s="7"/>
      <c r="B823" s="7"/>
      <c r="C823" s="7"/>
      <c r="D823" s="7"/>
      <c r="E823" s="7"/>
      <c r="F823" s="7"/>
      <c r="G823" s="7"/>
      <c r="H823" s="7"/>
      <c r="I823" s="7"/>
      <c r="J823" s="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6">
      <c r="A824" s="7"/>
      <c r="B824" s="7"/>
      <c r="C824" s="7"/>
      <c r="D824" s="7"/>
      <c r="E824" s="7"/>
      <c r="F824" s="7"/>
      <c r="G824" s="7"/>
      <c r="H824" s="7"/>
      <c r="I824" s="7"/>
      <c r="J824" s="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6">
      <c r="A825" s="7"/>
      <c r="B825" s="7"/>
      <c r="C825" s="7"/>
      <c r="D825" s="7"/>
      <c r="E825" s="7"/>
      <c r="F825" s="7"/>
      <c r="G825" s="7"/>
      <c r="H825" s="7"/>
      <c r="I825" s="7"/>
      <c r="J825" s="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6">
      <c r="A826" s="7"/>
      <c r="B826" s="7"/>
      <c r="C826" s="7"/>
      <c r="D826" s="7"/>
      <c r="E826" s="7"/>
      <c r="F826" s="7"/>
      <c r="G826" s="7"/>
      <c r="H826" s="7"/>
      <c r="I826" s="7"/>
      <c r="J826" s="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6">
      <c r="A827" s="7"/>
      <c r="B827" s="7"/>
      <c r="C827" s="7"/>
      <c r="D827" s="7"/>
      <c r="E827" s="7"/>
      <c r="F827" s="7"/>
      <c r="G827" s="7"/>
      <c r="H827" s="7"/>
      <c r="I827" s="7"/>
      <c r="J827" s="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6">
      <c r="A828" s="7"/>
      <c r="B828" s="7"/>
      <c r="C828" s="7"/>
      <c r="D828" s="7"/>
      <c r="E828" s="7"/>
      <c r="F828" s="7"/>
      <c r="G828" s="7"/>
      <c r="H828" s="7"/>
      <c r="I828" s="7"/>
      <c r="J828" s="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6">
      <c r="A829" s="7"/>
      <c r="B829" s="7"/>
      <c r="C829" s="7"/>
      <c r="D829" s="7"/>
      <c r="E829" s="7"/>
      <c r="F829" s="7"/>
      <c r="G829" s="7"/>
      <c r="H829" s="7"/>
      <c r="I829" s="7"/>
      <c r="J829" s="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6">
      <c r="A830" s="7"/>
      <c r="B830" s="7"/>
      <c r="C830" s="7"/>
      <c r="D830" s="7"/>
      <c r="E830" s="7"/>
      <c r="F830" s="7"/>
      <c r="G830" s="7"/>
      <c r="H830" s="7"/>
      <c r="I830" s="7"/>
      <c r="J830" s="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6">
      <c r="A831" s="7"/>
      <c r="B831" s="7"/>
      <c r="C831" s="7"/>
      <c r="D831" s="7"/>
      <c r="E831" s="7"/>
      <c r="F831" s="7"/>
      <c r="G831" s="7"/>
      <c r="H831" s="7"/>
      <c r="I831" s="7"/>
      <c r="J831" s="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6">
      <c r="A832" s="7"/>
      <c r="B832" s="7"/>
      <c r="C832" s="7"/>
      <c r="D832" s="7"/>
      <c r="E832" s="7"/>
      <c r="F832" s="7"/>
      <c r="G832" s="7"/>
      <c r="H832" s="7"/>
      <c r="I832" s="7"/>
      <c r="J832" s="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6">
      <c r="A833" s="7"/>
      <c r="B833" s="7"/>
      <c r="C833" s="7"/>
      <c r="D833" s="7"/>
      <c r="E833" s="7"/>
      <c r="F833" s="7"/>
      <c r="G833" s="7"/>
      <c r="H833" s="7"/>
      <c r="I833" s="7"/>
      <c r="J833" s="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6">
      <c r="A834" s="7"/>
      <c r="B834" s="7"/>
      <c r="C834" s="7"/>
      <c r="D834" s="7"/>
      <c r="E834" s="7"/>
      <c r="F834" s="7"/>
      <c r="G834" s="7"/>
      <c r="H834" s="7"/>
      <c r="I834" s="7"/>
      <c r="J834" s="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6">
      <c r="A835" s="7"/>
      <c r="B835" s="7"/>
      <c r="C835" s="7"/>
      <c r="D835" s="7"/>
      <c r="E835" s="7"/>
      <c r="F835" s="7"/>
      <c r="G835" s="7"/>
      <c r="H835" s="7"/>
      <c r="I835" s="7"/>
      <c r="J835" s="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6">
      <c r="A836" s="7"/>
      <c r="B836" s="7"/>
      <c r="C836" s="7"/>
      <c r="D836" s="7"/>
      <c r="E836" s="7"/>
      <c r="F836" s="7"/>
      <c r="G836" s="7"/>
      <c r="H836" s="7"/>
      <c r="I836" s="7"/>
      <c r="J836" s="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6">
      <c r="A837" s="7"/>
      <c r="B837" s="7"/>
      <c r="C837" s="7"/>
      <c r="D837" s="7"/>
      <c r="E837" s="7"/>
      <c r="F837" s="7"/>
      <c r="G837" s="7"/>
      <c r="H837" s="7"/>
      <c r="I837" s="7"/>
      <c r="J837" s="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6">
      <c r="A838" s="7"/>
      <c r="B838" s="7"/>
      <c r="C838" s="7"/>
      <c r="D838" s="7"/>
      <c r="E838" s="7"/>
      <c r="F838" s="7"/>
      <c r="G838" s="7"/>
      <c r="H838" s="7"/>
      <c r="I838" s="7"/>
      <c r="J838" s="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6">
      <c r="A839" s="7"/>
      <c r="B839" s="7"/>
      <c r="C839" s="7"/>
      <c r="D839" s="7"/>
      <c r="E839" s="7"/>
      <c r="F839" s="7"/>
      <c r="G839" s="7"/>
      <c r="H839" s="7"/>
      <c r="I839" s="7"/>
      <c r="J839" s="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6">
      <c r="A840" s="7"/>
      <c r="B840" s="7"/>
      <c r="C840" s="7"/>
      <c r="D840" s="7"/>
      <c r="E840" s="7"/>
      <c r="F840" s="7"/>
      <c r="G840" s="7"/>
      <c r="H840" s="7"/>
      <c r="I840" s="7"/>
      <c r="J840" s="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6">
      <c r="A841" s="7"/>
      <c r="B841" s="7"/>
      <c r="C841" s="7"/>
      <c r="D841" s="7"/>
      <c r="E841" s="7"/>
      <c r="F841" s="7"/>
      <c r="G841" s="7"/>
      <c r="H841" s="7"/>
      <c r="I841" s="7"/>
      <c r="J841" s="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6">
      <c r="A842" s="7"/>
      <c r="B842" s="7"/>
      <c r="C842" s="7"/>
      <c r="D842" s="7"/>
      <c r="E842" s="7"/>
      <c r="F842" s="7"/>
      <c r="G842" s="7"/>
      <c r="H842" s="7"/>
      <c r="I842" s="7"/>
      <c r="J842" s="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6">
      <c r="A843" s="7"/>
      <c r="B843" s="7"/>
      <c r="C843" s="7"/>
      <c r="D843" s="7"/>
      <c r="E843" s="7"/>
      <c r="F843" s="7"/>
      <c r="G843" s="7"/>
      <c r="H843" s="7"/>
      <c r="I843" s="7"/>
      <c r="J843" s="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6">
      <c r="A844" s="7"/>
      <c r="B844" s="7"/>
      <c r="C844" s="7"/>
      <c r="D844" s="7"/>
      <c r="E844" s="7"/>
      <c r="F844" s="7"/>
      <c r="G844" s="7"/>
      <c r="H844" s="7"/>
      <c r="I844" s="7"/>
      <c r="J844" s="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6">
      <c r="A845" s="7"/>
      <c r="B845" s="7"/>
      <c r="C845" s="7"/>
      <c r="D845" s="7"/>
      <c r="E845" s="7"/>
      <c r="F845" s="7"/>
      <c r="G845" s="7"/>
      <c r="H845" s="7"/>
      <c r="I845" s="7"/>
      <c r="J845" s="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6">
      <c r="A846" s="7"/>
      <c r="B846" s="7"/>
      <c r="C846" s="7"/>
      <c r="D846" s="7"/>
      <c r="E846" s="7"/>
      <c r="F846" s="7"/>
      <c r="G846" s="7"/>
      <c r="H846" s="7"/>
      <c r="I846" s="7"/>
      <c r="J846" s="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6">
      <c r="A847" s="7"/>
      <c r="B847" s="7"/>
      <c r="C847" s="7"/>
      <c r="D847" s="7"/>
      <c r="E847" s="7"/>
      <c r="F847" s="7"/>
      <c r="G847" s="7"/>
      <c r="H847" s="7"/>
      <c r="I847" s="7"/>
      <c r="J847" s="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6">
      <c r="A848" s="7"/>
      <c r="B848" s="7"/>
      <c r="C848" s="7"/>
      <c r="D848" s="7"/>
      <c r="E848" s="7"/>
      <c r="F848" s="7"/>
      <c r="G848" s="7"/>
      <c r="H848" s="7"/>
      <c r="I848" s="7"/>
      <c r="J848" s="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6">
      <c r="A849" s="7"/>
      <c r="B849" s="7"/>
      <c r="C849" s="7"/>
      <c r="D849" s="7"/>
      <c r="E849" s="7"/>
      <c r="F849" s="7"/>
      <c r="G849" s="7"/>
      <c r="H849" s="7"/>
      <c r="I849" s="7"/>
      <c r="J849" s="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6">
      <c r="A850" s="7"/>
      <c r="B850" s="7"/>
      <c r="C850" s="7"/>
      <c r="D850" s="7"/>
      <c r="E850" s="7"/>
      <c r="F850" s="7"/>
      <c r="G850" s="7"/>
      <c r="H850" s="7"/>
      <c r="I850" s="7"/>
      <c r="J850" s="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6">
      <c r="A851" s="7"/>
      <c r="B851" s="7"/>
      <c r="C851" s="7"/>
      <c r="D851" s="7"/>
      <c r="E851" s="7"/>
      <c r="F851" s="7"/>
      <c r="G851" s="7"/>
      <c r="H851" s="7"/>
      <c r="I851" s="7"/>
      <c r="J851" s="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6">
      <c r="A852" s="7"/>
      <c r="B852" s="7"/>
      <c r="C852" s="7"/>
      <c r="D852" s="7"/>
      <c r="E852" s="7"/>
      <c r="F852" s="7"/>
      <c r="G852" s="7"/>
      <c r="H852" s="7"/>
      <c r="I852" s="7"/>
      <c r="J852" s="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6">
      <c r="A853" s="7"/>
      <c r="B853" s="7"/>
      <c r="C853" s="7"/>
      <c r="D853" s="7"/>
      <c r="E853" s="7"/>
      <c r="F853" s="7"/>
      <c r="G853" s="7"/>
      <c r="H853" s="7"/>
      <c r="I853" s="7"/>
      <c r="J853" s="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6">
      <c r="A854" s="7"/>
      <c r="B854" s="7"/>
      <c r="C854" s="7"/>
      <c r="D854" s="7"/>
      <c r="E854" s="7"/>
      <c r="F854" s="7"/>
      <c r="G854" s="7"/>
      <c r="H854" s="7"/>
      <c r="I854" s="7"/>
      <c r="J854" s="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6">
      <c r="A855" s="7"/>
      <c r="B855" s="7"/>
      <c r="C855" s="7"/>
      <c r="D855" s="7"/>
      <c r="E855" s="7"/>
      <c r="F855" s="7"/>
      <c r="G855" s="7"/>
      <c r="H855" s="7"/>
      <c r="I855" s="7"/>
      <c r="J855" s="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6">
      <c r="A856" s="7"/>
      <c r="B856" s="7"/>
      <c r="C856" s="7"/>
      <c r="D856" s="7"/>
      <c r="E856" s="7"/>
      <c r="F856" s="7"/>
      <c r="G856" s="7"/>
      <c r="H856" s="7"/>
      <c r="I856" s="7"/>
      <c r="J856" s="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6">
      <c r="A857" s="7"/>
      <c r="B857" s="7"/>
      <c r="C857" s="7"/>
      <c r="D857" s="7"/>
      <c r="E857" s="7"/>
      <c r="F857" s="7"/>
      <c r="G857" s="7"/>
      <c r="H857" s="7"/>
      <c r="I857" s="7"/>
      <c r="J857" s="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6">
      <c r="A858" s="7"/>
      <c r="B858" s="7"/>
      <c r="C858" s="7"/>
      <c r="D858" s="7"/>
      <c r="E858" s="7"/>
      <c r="F858" s="7"/>
      <c r="G858" s="7"/>
      <c r="H858" s="7"/>
      <c r="I858" s="7"/>
      <c r="J858" s="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6">
      <c r="A859" s="7"/>
      <c r="B859" s="7"/>
      <c r="C859" s="7"/>
      <c r="D859" s="7"/>
      <c r="E859" s="7"/>
      <c r="F859" s="7"/>
      <c r="G859" s="7"/>
      <c r="H859" s="7"/>
      <c r="I859" s="7"/>
      <c r="J859" s="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6">
      <c r="A860" s="7"/>
      <c r="B860" s="7"/>
      <c r="C860" s="7"/>
      <c r="D860" s="7"/>
      <c r="E860" s="7"/>
      <c r="F860" s="7"/>
      <c r="G860" s="7"/>
      <c r="H860" s="7"/>
      <c r="I860" s="7"/>
      <c r="J860" s="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6">
      <c r="A861" s="7"/>
      <c r="B861" s="7"/>
      <c r="C861" s="7"/>
      <c r="D861" s="7"/>
      <c r="E861" s="7"/>
      <c r="F861" s="7"/>
      <c r="G861" s="7"/>
      <c r="H861" s="7"/>
      <c r="I861" s="7"/>
      <c r="J861" s="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6">
      <c r="A862" s="7"/>
      <c r="B862" s="7"/>
      <c r="C862" s="7"/>
      <c r="D862" s="7"/>
      <c r="E862" s="7"/>
      <c r="F862" s="7"/>
      <c r="G862" s="7"/>
      <c r="H862" s="7"/>
      <c r="I862" s="7"/>
      <c r="J862" s="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6">
      <c r="A863" s="7"/>
      <c r="B863" s="7"/>
      <c r="C863" s="7"/>
      <c r="D863" s="7"/>
      <c r="E863" s="7"/>
      <c r="F863" s="7"/>
      <c r="G863" s="7"/>
      <c r="H863" s="7"/>
      <c r="I863" s="7"/>
      <c r="J863" s="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6">
      <c r="A864" s="7"/>
      <c r="B864" s="7"/>
      <c r="C864" s="7"/>
      <c r="D864" s="7"/>
      <c r="E864" s="7"/>
      <c r="F864" s="7"/>
      <c r="G864" s="7"/>
      <c r="H864" s="7"/>
      <c r="I864" s="7"/>
      <c r="J864" s="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6">
      <c r="A865" s="7"/>
      <c r="B865" s="7"/>
      <c r="C865" s="7"/>
      <c r="D865" s="7"/>
      <c r="E865" s="7"/>
      <c r="F865" s="7"/>
      <c r="G865" s="7"/>
      <c r="H865" s="7"/>
      <c r="I865" s="7"/>
      <c r="J865" s="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6">
      <c r="A866" s="7"/>
      <c r="B866" s="7"/>
      <c r="C866" s="7"/>
      <c r="D866" s="7"/>
      <c r="E866" s="7"/>
      <c r="F866" s="7"/>
      <c r="G866" s="7"/>
      <c r="H866" s="7"/>
      <c r="I866" s="7"/>
      <c r="J866" s="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6">
      <c r="A867" s="7"/>
      <c r="B867" s="7"/>
      <c r="C867" s="7"/>
      <c r="D867" s="7"/>
      <c r="E867" s="7"/>
      <c r="F867" s="7"/>
      <c r="G867" s="7"/>
      <c r="H867" s="7"/>
      <c r="I867" s="7"/>
      <c r="J867" s="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6">
      <c r="A868" s="7"/>
      <c r="B868" s="7"/>
      <c r="C868" s="7"/>
      <c r="D868" s="7"/>
      <c r="E868" s="7"/>
      <c r="F868" s="7"/>
      <c r="G868" s="7"/>
      <c r="H868" s="7"/>
      <c r="I868" s="7"/>
      <c r="J868" s="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6">
      <c r="A869" s="7"/>
      <c r="B869" s="7"/>
      <c r="C869" s="7"/>
      <c r="D869" s="7"/>
      <c r="E869" s="7"/>
      <c r="F869" s="7"/>
      <c r="G869" s="7"/>
      <c r="H869" s="7"/>
      <c r="I869" s="7"/>
      <c r="J869" s="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6">
      <c r="A870" s="7"/>
      <c r="B870" s="7"/>
      <c r="C870" s="7"/>
      <c r="D870" s="7"/>
      <c r="E870" s="7"/>
      <c r="F870" s="7"/>
      <c r="G870" s="7"/>
      <c r="H870" s="7"/>
      <c r="I870" s="7"/>
      <c r="J870" s="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6">
      <c r="A871" s="7"/>
      <c r="B871" s="7"/>
      <c r="C871" s="7"/>
      <c r="D871" s="7"/>
      <c r="E871" s="7"/>
      <c r="F871" s="7"/>
      <c r="G871" s="7"/>
      <c r="H871" s="7"/>
      <c r="I871" s="7"/>
      <c r="J871" s="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6">
      <c r="A872" s="7"/>
      <c r="B872" s="7"/>
      <c r="C872" s="7"/>
      <c r="D872" s="7"/>
      <c r="E872" s="7"/>
      <c r="F872" s="7"/>
      <c r="G872" s="7"/>
      <c r="H872" s="7"/>
      <c r="I872" s="7"/>
      <c r="J872" s="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6">
      <c r="A873" s="7"/>
      <c r="B873" s="7"/>
      <c r="C873" s="7"/>
      <c r="D873" s="7"/>
      <c r="E873" s="7"/>
      <c r="F873" s="7"/>
      <c r="G873" s="7"/>
      <c r="H873" s="7"/>
      <c r="I873" s="7"/>
      <c r="J873" s="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6">
      <c r="A874" s="7"/>
      <c r="B874" s="7"/>
      <c r="C874" s="7"/>
      <c r="D874" s="7"/>
      <c r="E874" s="7"/>
      <c r="F874" s="7"/>
      <c r="G874" s="7"/>
      <c r="H874" s="7"/>
      <c r="I874" s="7"/>
      <c r="J874" s="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6">
      <c r="A875" s="7"/>
      <c r="B875" s="7"/>
      <c r="C875" s="7"/>
      <c r="D875" s="7"/>
      <c r="E875" s="7"/>
      <c r="F875" s="7"/>
      <c r="G875" s="7"/>
      <c r="H875" s="7"/>
      <c r="I875" s="7"/>
      <c r="J875" s="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6">
      <c r="A876" s="7"/>
      <c r="B876" s="7"/>
      <c r="C876" s="7"/>
      <c r="D876" s="7"/>
      <c r="E876" s="7"/>
      <c r="F876" s="7"/>
      <c r="G876" s="7"/>
      <c r="H876" s="7"/>
      <c r="I876" s="7"/>
      <c r="J876" s="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6">
      <c r="A877" s="7"/>
      <c r="B877" s="7"/>
      <c r="C877" s="7"/>
      <c r="D877" s="7"/>
      <c r="E877" s="7"/>
      <c r="F877" s="7"/>
      <c r="G877" s="7"/>
      <c r="H877" s="7"/>
      <c r="I877" s="7"/>
      <c r="J877" s="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6">
      <c r="A878" s="7"/>
      <c r="B878" s="7"/>
      <c r="C878" s="7"/>
      <c r="D878" s="7"/>
      <c r="E878" s="7"/>
      <c r="F878" s="7"/>
      <c r="G878" s="7"/>
      <c r="H878" s="7"/>
      <c r="I878" s="7"/>
      <c r="J878" s="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6">
      <c r="A879" s="7"/>
      <c r="B879" s="7"/>
      <c r="C879" s="7"/>
      <c r="D879" s="7"/>
      <c r="E879" s="7"/>
      <c r="F879" s="7"/>
      <c r="G879" s="7"/>
      <c r="H879" s="7"/>
      <c r="I879" s="7"/>
      <c r="J879" s="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6">
      <c r="A880" s="7"/>
      <c r="B880" s="7"/>
      <c r="C880" s="7"/>
      <c r="D880" s="7"/>
      <c r="E880" s="7"/>
      <c r="F880" s="7"/>
      <c r="G880" s="7"/>
      <c r="H880" s="7"/>
      <c r="I880" s="7"/>
      <c r="J880" s="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6">
      <c r="A881" s="7"/>
      <c r="B881" s="7"/>
      <c r="C881" s="7"/>
      <c r="D881" s="7"/>
      <c r="E881" s="7"/>
      <c r="F881" s="7"/>
      <c r="G881" s="7"/>
      <c r="H881" s="7"/>
      <c r="I881" s="7"/>
      <c r="J881" s="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6">
      <c r="A882" s="7"/>
      <c r="B882" s="7"/>
      <c r="C882" s="7"/>
      <c r="D882" s="7"/>
      <c r="E882" s="7"/>
      <c r="F882" s="7"/>
      <c r="G882" s="7"/>
      <c r="H882" s="7"/>
      <c r="I882" s="7"/>
      <c r="J882" s="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6">
      <c r="A883" s="7"/>
      <c r="B883" s="7"/>
      <c r="C883" s="7"/>
      <c r="D883" s="7"/>
      <c r="E883" s="7"/>
      <c r="F883" s="7"/>
      <c r="G883" s="7"/>
      <c r="H883" s="7"/>
      <c r="I883" s="7"/>
      <c r="J883" s="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6">
      <c r="A884" s="7"/>
      <c r="B884" s="7"/>
      <c r="C884" s="7"/>
      <c r="D884" s="7"/>
      <c r="E884" s="7"/>
      <c r="F884" s="7"/>
      <c r="G884" s="7"/>
      <c r="H884" s="7"/>
      <c r="I884" s="7"/>
      <c r="J884" s="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6">
      <c r="A885" s="7"/>
      <c r="B885" s="7"/>
      <c r="C885" s="7"/>
      <c r="D885" s="7"/>
      <c r="E885" s="7"/>
      <c r="F885" s="7"/>
      <c r="G885" s="7"/>
      <c r="H885" s="7"/>
      <c r="I885" s="7"/>
      <c r="J885" s="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6">
      <c r="A886" s="7"/>
      <c r="B886" s="7"/>
      <c r="C886" s="7"/>
      <c r="D886" s="7"/>
      <c r="E886" s="7"/>
      <c r="F886" s="7"/>
      <c r="G886" s="7"/>
      <c r="H886" s="7"/>
      <c r="I886" s="7"/>
      <c r="J886" s="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6">
      <c r="A887" s="7"/>
      <c r="B887" s="7"/>
      <c r="C887" s="7"/>
      <c r="D887" s="7"/>
      <c r="E887" s="7"/>
      <c r="F887" s="7"/>
      <c r="G887" s="7"/>
      <c r="H887" s="7"/>
      <c r="I887" s="7"/>
      <c r="J887" s="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6">
      <c r="A888" s="7"/>
      <c r="B888" s="7"/>
      <c r="C888" s="7"/>
      <c r="D888" s="7"/>
      <c r="E888" s="7"/>
      <c r="F888" s="7"/>
      <c r="G888" s="7"/>
      <c r="H888" s="7"/>
      <c r="I888" s="7"/>
      <c r="J888" s="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6">
      <c r="A889" s="7"/>
      <c r="B889" s="7"/>
      <c r="C889" s="7"/>
      <c r="D889" s="7"/>
      <c r="E889" s="7"/>
      <c r="F889" s="7"/>
      <c r="G889" s="7"/>
      <c r="H889" s="7"/>
      <c r="I889" s="7"/>
      <c r="J889" s="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6">
      <c r="A890" s="7"/>
      <c r="B890" s="7"/>
      <c r="C890" s="7"/>
      <c r="D890" s="7"/>
      <c r="E890" s="7"/>
      <c r="F890" s="7"/>
      <c r="G890" s="7"/>
      <c r="H890" s="7"/>
      <c r="I890" s="7"/>
      <c r="J890" s="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6">
      <c r="A891" s="7"/>
      <c r="B891" s="7"/>
      <c r="C891" s="7"/>
      <c r="D891" s="7"/>
      <c r="E891" s="7"/>
      <c r="F891" s="7"/>
      <c r="G891" s="7"/>
      <c r="H891" s="7"/>
      <c r="I891" s="7"/>
      <c r="J891" s="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6">
      <c r="A892" s="7"/>
      <c r="B892" s="7"/>
      <c r="C892" s="7"/>
      <c r="D892" s="7"/>
      <c r="E892" s="7"/>
      <c r="F892" s="7"/>
      <c r="G892" s="7"/>
      <c r="H892" s="7"/>
      <c r="I892" s="7"/>
      <c r="J892" s="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6">
      <c r="A893" s="7"/>
      <c r="B893" s="7"/>
      <c r="C893" s="7"/>
      <c r="D893" s="7"/>
      <c r="E893" s="7"/>
      <c r="F893" s="7"/>
      <c r="G893" s="7"/>
      <c r="H893" s="7"/>
      <c r="I893" s="7"/>
      <c r="J893" s="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6">
      <c r="A894" s="7"/>
      <c r="B894" s="7"/>
      <c r="C894" s="7"/>
      <c r="D894" s="7"/>
      <c r="E894" s="7"/>
      <c r="F894" s="7"/>
      <c r="G894" s="7"/>
      <c r="H894" s="7"/>
      <c r="I894" s="7"/>
      <c r="J894" s="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6">
      <c r="A895" s="7"/>
      <c r="B895" s="7"/>
      <c r="C895" s="7"/>
      <c r="D895" s="7"/>
      <c r="E895" s="7"/>
      <c r="F895" s="7"/>
      <c r="G895" s="7"/>
      <c r="H895" s="7"/>
      <c r="I895" s="7"/>
      <c r="J895" s="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6">
      <c r="A896" s="7"/>
      <c r="B896" s="7"/>
      <c r="C896" s="7"/>
      <c r="D896" s="7"/>
      <c r="E896" s="7"/>
      <c r="F896" s="7"/>
      <c r="G896" s="7"/>
      <c r="H896" s="7"/>
      <c r="I896" s="7"/>
      <c r="J896" s="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6">
      <c r="A897" s="7"/>
      <c r="B897" s="7"/>
      <c r="C897" s="7"/>
      <c r="D897" s="7"/>
      <c r="E897" s="7"/>
      <c r="F897" s="7"/>
      <c r="G897" s="7"/>
      <c r="H897" s="7"/>
      <c r="I897" s="7"/>
      <c r="J897" s="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6">
      <c r="A898" s="7"/>
      <c r="B898" s="7"/>
      <c r="C898" s="7"/>
      <c r="D898" s="7"/>
      <c r="E898" s="7"/>
      <c r="F898" s="7"/>
      <c r="G898" s="7"/>
      <c r="H898" s="7"/>
      <c r="I898" s="7"/>
      <c r="J898" s="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6">
      <c r="A899" s="7"/>
      <c r="B899" s="7"/>
      <c r="C899" s="7"/>
      <c r="D899" s="7"/>
      <c r="E899" s="7"/>
      <c r="F899" s="7"/>
      <c r="G899" s="7"/>
      <c r="H899" s="7"/>
      <c r="I899" s="7"/>
      <c r="J899" s="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6">
      <c r="A900" s="7"/>
      <c r="B900" s="7"/>
      <c r="C900" s="7"/>
      <c r="D900" s="7"/>
      <c r="E900" s="7"/>
      <c r="F900" s="7"/>
      <c r="G900" s="7"/>
      <c r="H900" s="7"/>
      <c r="I900" s="7"/>
      <c r="J900" s="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6">
      <c r="A901" s="7"/>
      <c r="B901" s="7"/>
      <c r="C901" s="7"/>
      <c r="D901" s="7"/>
      <c r="E901" s="7"/>
      <c r="F901" s="7"/>
      <c r="G901" s="7"/>
      <c r="H901" s="7"/>
      <c r="I901" s="7"/>
      <c r="J901" s="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6">
      <c r="A902" s="7"/>
      <c r="B902" s="7"/>
      <c r="C902" s="7"/>
      <c r="D902" s="7"/>
      <c r="E902" s="7"/>
      <c r="F902" s="7"/>
      <c r="G902" s="7"/>
      <c r="H902" s="7"/>
      <c r="I902" s="7"/>
      <c r="J902" s="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6">
      <c r="A903" s="7"/>
      <c r="B903" s="7"/>
      <c r="C903" s="7"/>
      <c r="D903" s="7"/>
      <c r="E903" s="7"/>
      <c r="F903" s="7"/>
      <c r="G903" s="7"/>
      <c r="H903" s="7"/>
      <c r="I903" s="7"/>
      <c r="J903" s="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6">
      <c r="A904" s="7"/>
      <c r="B904" s="7"/>
      <c r="C904" s="7"/>
      <c r="D904" s="7"/>
      <c r="E904" s="7"/>
      <c r="F904" s="7"/>
      <c r="G904" s="7"/>
      <c r="H904" s="7"/>
      <c r="I904" s="7"/>
      <c r="J904" s="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6">
      <c r="A905" s="7"/>
      <c r="B905" s="7"/>
      <c r="C905" s="7"/>
      <c r="D905" s="7"/>
      <c r="E905" s="7"/>
      <c r="F905" s="7"/>
      <c r="G905" s="7"/>
      <c r="H905" s="7"/>
      <c r="I905" s="7"/>
      <c r="J905" s="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6">
      <c r="A906" s="7"/>
      <c r="B906" s="7"/>
      <c r="C906" s="7"/>
      <c r="D906" s="7"/>
      <c r="E906" s="7"/>
      <c r="F906" s="7"/>
      <c r="G906" s="7"/>
      <c r="H906" s="7"/>
      <c r="I906" s="7"/>
      <c r="J906" s="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6">
      <c r="A907" s="7"/>
      <c r="B907" s="7"/>
      <c r="C907" s="7"/>
      <c r="D907" s="7"/>
      <c r="E907" s="7"/>
      <c r="F907" s="7"/>
      <c r="G907" s="7"/>
      <c r="H907" s="7"/>
      <c r="I907" s="7"/>
      <c r="J907" s="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6">
      <c r="A908" s="7"/>
      <c r="B908" s="7"/>
      <c r="C908" s="7"/>
      <c r="D908" s="7"/>
      <c r="E908" s="7"/>
      <c r="F908" s="7"/>
      <c r="G908" s="7"/>
      <c r="H908" s="7"/>
      <c r="I908" s="7"/>
      <c r="J908" s="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6">
      <c r="A909" s="7"/>
      <c r="B909" s="7"/>
      <c r="C909" s="7"/>
      <c r="D909" s="7"/>
      <c r="E909" s="7"/>
      <c r="F909" s="7"/>
      <c r="G909" s="7"/>
      <c r="H909" s="7"/>
      <c r="I909" s="7"/>
      <c r="J909" s="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6">
      <c r="A910" s="7"/>
      <c r="B910" s="7"/>
      <c r="C910" s="7"/>
      <c r="D910" s="7"/>
      <c r="E910" s="7"/>
      <c r="F910" s="7"/>
      <c r="G910" s="7"/>
      <c r="H910" s="7"/>
      <c r="I910" s="7"/>
      <c r="J910" s="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6">
      <c r="A911" s="7"/>
      <c r="B911" s="7"/>
      <c r="C911" s="7"/>
      <c r="D911" s="7"/>
      <c r="E911" s="7"/>
      <c r="F911" s="7"/>
      <c r="G911" s="7"/>
      <c r="H911" s="7"/>
      <c r="I911" s="7"/>
      <c r="J911" s="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6">
      <c r="A912" s="7"/>
      <c r="B912" s="7"/>
      <c r="C912" s="7"/>
      <c r="D912" s="7"/>
      <c r="E912" s="7"/>
      <c r="F912" s="7"/>
      <c r="G912" s="7"/>
      <c r="H912" s="7"/>
      <c r="I912" s="7"/>
      <c r="J912" s="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6">
      <c r="A913" s="7"/>
      <c r="B913" s="7"/>
      <c r="C913" s="7"/>
      <c r="D913" s="7"/>
      <c r="E913" s="7"/>
      <c r="F913" s="7"/>
      <c r="G913" s="7"/>
      <c r="H913" s="7"/>
      <c r="I913" s="7"/>
      <c r="J913" s="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6">
      <c r="A914" s="7"/>
      <c r="B914" s="7"/>
      <c r="C914" s="7"/>
      <c r="D914" s="7"/>
      <c r="E914" s="7"/>
      <c r="F914" s="7"/>
      <c r="G914" s="7"/>
      <c r="H914" s="7"/>
      <c r="I914" s="7"/>
      <c r="J914" s="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6">
      <c r="A915" s="7"/>
      <c r="B915" s="7"/>
      <c r="C915" s="7"/>
      <c r="D915" s="7"/>
      <c r="E915" s="7"/>
      <c r="F915" s="7"/>
      <c r="G915" s="7"/>
      <c r="H915" s="7"/>
      <c r="I915" s="7"/>
      <c r="J915" s="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6">
      <c r="A916" s="7"/>
      <c r="B916" s="7"/>
      <c r="C916" s="7"/>
      <c r="D916" s="7"/>
      <c r="E916" s="7"/>
      <c r="F916" s="7"/>
      <c r="G916" s="7"/>
      <c r="H916" s="7"/>
      <c r="I916" s="7"/>
      <c r="J916" s="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6">
      <c r="A917" s="7"/>
      <c r="B917" s="7"/>
      <c r="C917" s="7"/>
      <c r="D917" s="7"/>
      <c r="E917" s="7"/>
      <c r="F917" s="7"/>
      <c r="G917" s="7"/>
      <c r="H917" s="7"/>
      <c r="I917" s="7"/>
      <c r="J917" s="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6">
      <c r="A918" s="7"/>
      <c r="B918" s="7"/>
      <c r="C918" s="7"/>
      <c r="D918" s="7"/>
      <c r="E918" s="7"/>
      <c r="F918" s="7"/>
      <c r="G918" s="7"/>
      <c r="H918" s="7"/>
      <c r="I918" s="7"/>
      <c r="J918" s="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6">
      <c r="A919" s="7"/>
      <c r="B919" s="7"/>
      <c r="C919" s="7"/>
      <c r="D919" s="7"/>
      <c r="E919" s="7"/>
      <c r="F919" s="7"/>
      <c r="G919" s="7"/>
      <c r="H919" s="7"/>
      <c r="I919" s="7"/>
      <c r="J919" s="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6">
      <c r="A920" s="7"/>
      <c r="B920" s="7"/>
      <c r="C920" s="7"/>
      <c r="D920" s="7"/>
      <c r="E920" s="7"/>
      <c r="F920" s="7"/>
      <c r="G920" s="7"/>
      <c r="H920" s="7"/>
      <c r="I920" s="7"/>
      <c r="J920" s="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6">
      <c r="A921" s="7"/>
      <c r="B921" s="7"/>
      <c r="C921" s="7"/>
      <c r="D921" s="7"/>
      <c r="E921" s="7"/>
      <c r="F921" s="7"/>
      <c r="G921" s="7"/>
      <c r="H921" s="7"/>
      <c r="I921" s="7"/>
      <c r="J921" s="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6">
      <c r="A922" s="7"/>
      <c r="B922" s="7"/>
      <c r="C922" s="7"/>
      <c r="D922" s="7"/>
      <c r="E922" s="7"/>
      <c r="F922" s="7"/>
      <c r="G922" s="7"/>
      <c r="H922" s="7"/>
      <c r="I922" s="7"/>
      <c r="J922" s="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6">
      <c r="A923" s="7"/>
      <c r="B923" s="7"/>
      <c r="C923" s="7"/>
      <c r="D923" s="7"/>
      <c r="E923" s="7"/>
      <c r="F923" s="7"/>
      <c r="G923" s="7"/>
      <c r="H923" s="7"/>
      <c r="I923" s="7"/>
      <c r="J923" s="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6">
      <c r="A924" s="7"/>
      <c r="B924" s="7"/>
      <c r="C924" s="7"/>
      <c r="D924" s="7"/>
      <c r="E924" s="7"/>
      <c r="F924" s="7"/>
      <c r="G924" s="7"/>
      <c r="H924" s="7"/>
      <c r="I924" s="7"/>
      <c r="J924" s="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6">
      <c r="A925" s="7"/>
      <c r="B925" s="7"/>
      <c r="C925" s="7"/>
      <c r="D925" s="7"/>
      <c r="E925" s="7"/>
      <c r="F925" s="7"/>
      <c r="G925" s="7"/>
      <c r="H925" s="7"/>
      <c r="I925" s="7"/>
      <c r="J925" s="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6">
      <c r="A926" s="7"/>
      <c r="B926" s="7"/>
      <c r="C926" s="7"/>
      <c r="D926" s="7"/>
      <c r="E926" s="7"/>
      <c r="F926" s="7"/>
      <c r="G926" s="7"/>
      <c r="H926" s="7"/>
      <c r="I926" s="7"/>
      <c r="J926" s="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6">
      <c r="A927" s="7"/>
      <c r="B927" s="7"/>
      <c r="C927" s="7"/>
      <c r="D927" s="7"/>
      <c r="E927" s="7"/>
      <c r="F927" s="7"/>
      <c r="G927" s="7"/>
      <c r="H927" s="7"/>
      <c r="I927" s="7"/>
      <c r="J927" s="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6">
      <c r="A928" s="7"/>
      <c r="B928" s="7"/>
      <c r="C928" s="7"/>
      <c r="D928" s="7"/>
      <c r="E928" s="7"/>
      <c r="F928" s="7"/>
      <c r="G928" s="7"/>
      <c r="H928" s="7"/>
      <c r="I928" s="7"/>
      <c r="J928" s="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6">
      <c r="A929" s="7"/>
      <c r="B929" s="7"/>
      <c r="C929" s="7"/>
      <c r="D929" s="7"/>
      <c r="E929" s="7"/>
      <c r="F929" s="7"/>
      <c r="G929" s="7"/>
      <c r="H929" s="7"/>
      <c r="I929" s="7"/>
      <c r="J929" s="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6">
      <c r="A930" s="7"/>
      <c r="B930" s="7"/>
      <c r="C930" s="7"/>
      <c r="D930" s="7"/>
      <c r="E930" s="7"/>
      <c r="F930" s="7"/>
      <c r="G930" s="7"/>
      <c r="H930" s="7"/>
      <c r="I930" s="7"/>
      <c r="J930" s="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6">
      <c r="A931" s="7"/>
      <c r="B931" s="7"/>
      <c r="C931" s="7"/>
      <c r="D931" s="7"/>
      <c r="E931" s="7"/>
      <c r="F931" s="7"/>
      <c r="G931" s="7"/>
      <c r="H931" s="7"/>
      <c r="I931" s="7"/>
      <c r="J931" s="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6">
      <c r="A932" s="7"/>
      <c r="B932" s="7"/>
      <c r="C932" s="7"/>
      <c r="D932" s="7"/>
      <c r="E932" s="7"/>
      <c r="F932" s="7"/>
      <c r="G932" s="7"/>
      <c r="H932" s="7"/>
      <c r="I932" s="7"/>
      <c r="J932" s="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6">
      <c r="A933" s="7"/>
      <c r="B933" s="7"/>
      <c r="C933" s="7"/>
      <c r="D933" s="7"/>
      <c r="E933" s="7"/>
      <c r="F933" s="7"/>
      <c r="G933" s="7"/>
      <c r="H933" s="7"/>
      <c r="I933" s="7"/>
      <c r="J933" s="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6">
      <c r="A934" s="7"/>
      <c r="B934" s="7"/>
      <c r="C934" s="7"/>
      <c r="D934" s="7"/>
      <c r="E934" s="7"/>
      <c r="F934" s="7"/>
      <c r="G934" s="7"/>
      <c r="H934" s="7"/>
      <c r="I934" s="7"/>
      <c r="J934" s="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6">
      <c r="A935" s="7"/>
      <c r="B935" s="7"/>
      <c r="C935" s="7"/>
      <c r="D935" s="7"/>
      <c r="E935" s="7"/>
      <c r="F935" s="7"/>
      <c r="G935" s="7"/>
      <c r="H935" s="7"/>
      <c r="I935" s="7"/>
      <c r="J935" s="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6">
      <c r="A936" s="7"/>
      <c r="B936" s="7"/>
      <c r="C936" s="7"/>
      <c r="D936" s="7"/>
      <c r="E936" s="7"/>
      <c r="F936" s="7"/>
      <c r="G936" s="7"/>
      <c r="H936" s="7"/>
      <c r="I936" s="7"/>
      <c r="J936" s="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6">
      <c r="A937" s="7"/>
      <c r="B937" s="7"/>
      <c r="C937" s="7"/>
      <c r="D937" s="7"/>
      <c r="E937" s="7"/>
      <c r="F937" s="7"/>
      <c r="G937" s="7"/>
      <c r="H937" s="7"/>
      <c r="I937" s="7"/>
      <c r="J937" s="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6">
      <c r="A938" s="7"/>
      <c r="B938" s="7"/>
      <c r="C938" s="7"/>
      <c r="D938" s="7"/>
      <c r="E938" s="7"/>
      <c r="F938" s="7"/>
      <c r="G938" s="7"/>
      <c r="H938" s="7"/>
      <c r="I938" s="7"/>
      <c r="J938" s="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6">
      <c r="A939" s="7"/>
      <c r="B939" s="7"/>
      <c r="C939" s="7"/>
      <c r="D939" s="7"/>
      <c r="E939" s="7"/>
      <c r="F939" s="7"/>
      <c r="G939" s="7"/>
      <c r="H939" s="7"/>
      <c r="I939" s="7"/>
      <c r="J939" s="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6">
      <c r="A940" s="7"/>
      <c r="B940" s="7"/>
      <c r="C940" s="7"/>
      <c r="D940" s="7"/>
      <c r="E940" s="7"/>
      <c r="F940" s="7"/>
      <c r="G940" s="7"/>
      <c r="H940" s="7"/>
      <c r="I940" s="7"/>
      <c r="J940" s="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6">
      <c r="A941" s="7"/>
      <c r="B941" s="7"/>
      <c r="C941" s="7"/>
      <c r="D941" s="7"/>
      <c r="E941" s="7"/>
      <c r="F941" s="7"/>
      <c r="G941" s="7"/>
      <c r="H941" s="7"/>
      <c r="I941" s="7"/>
      <c r="J941" s="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6">
      <c r="A942" s="7"/>
      <c r="B942" s="7"/>
      <c r="C942" s="7"/>
      <c r="D942" s="7"/>
      <c r="E942" s="7"/>
      <c r="F942" s="7"/>
      <c r="G942" s="7"/>
      <c r="H942" s="7"/>
      <c r="I942" s="7"/>
      <c r="J942" s="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6">
      <c r="A943" s="7"/>
      <c r="B943" s="7"/>
      <c r="C943" s="7"/>
      <c r="D943" s="7"/>
      <c r="E943" s="7"/>
      <c r="F943" s="7"/>
      <c r="G943" s="7"/>
      <c r="H943" s="7"/>
      <c r="I943" s="7"/>
      <c r="J943" s="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6">
      <c r="A944" s="7"/>
      <c r="B944" s="7"/>
      <c r="C944" s="7"/>
      <c r="D944" s="7"/>
      <c r="E944" s="7"/>
      <c r="F944" s="7"/>
      <c r="G944" s="7"/>
      <c r="H944" s="7"/>
      <c r="I944" s="7"/>
      <c r="J944" s="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6">
      <c r="A945" s="7"/>
      <c r="B945" s="7"/>
      <c r="C945" s="7"/>
      <c r="D945" s="7"/>
      <c r="E945" s="7"/>
      <c r="F945" s="7"/>
      <c r="G945" s="7"/>
      <c r="H945" s="7"/>
      <c r="I945" s="7"/>
      <c r="J945" s="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6">
      <c r="A946" s="7"/>
      <c r="B946" s="7"/>
      <c r="C946" s="7"/>
      <c r="D946" s="7"/>
      <c r="E946" s="7"/>
      <c r="F946" s="7"/>
      <c r="G946" s="7"/>
      <c r="H946" s="7"/>
      <c r="I946" s="7"/>
      <c r="J946" s="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6">
      <c r="A947" s="7"/>
      <c r="B947" s="7"/>
      <c r="C947" s="7"/>
      <c r="D947" s="7"/>
      <c r="E947" s="7"/>
      <c r="F947" s="7"/>
      <c r="G947" s="7"/>
      <c r="H947" s="7"/>
      <c r="I947" s="7"/>
      <c r="J947" s="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6">
      <c r="A948" s="7"/>
      <c r="B948" s="7"/>
      <c r="C948" s="7"/>
      <c r="D948" s="7"/>
      <c r="E948" s="7"/>
      <c r="F948" s="7"/>
      <c r="G948" s="7"/>
      <c r="H948" s="7"/>
      <c r="I948" s="7"/>
      <c r="J948" s="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6">
      <c r="A949" s="7"/>
      <c r="B949" s="7"/>
      <c r="C949" s="7"/>
      <c r="D949" s="7"/>
      <c r="E949" s="7"/>
      <c r="F949" s="7"/>
      <c r="G949" s="7"/>
      <c r="H949" s="7"/>
      <c r="I949" s="7"/>
      <c r="J949" s="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6">
      <c r="A950" s="7"/>
      <c r="B950" s="7"/>
      <c r="C950" s="7"/>
      <c r="D950" s="7"/>
      <c r="E950" s="7"/>
      <c r="F950" s="7"/>
      <c r="G950" s="7"/>
      <c r="H950" s="7"/>
      <c r="I950" s="7"/>
      <c r="J950" s="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6">
      <c r="A951" s="7"/>
      <c r="B951" s="7"/>
      <c r="C951" s="7"/>
      <c r="D951" s="7"/>
      <c r="E951" s="7"/>
      <c r="F951" s="7"/>
      <c r="G951" s="7"/>
      <c r="H951" s="7"/>
      <c r="I951" s="7"/>
      <c r="J951" s="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6">
      <c r="A952" s="7"/>
      <c r="B952" s="7"/>
      <c r="C952" s="7"/>
      <c r="D952" s="7"/>
      <c r="E952" s="7"/>
      <c r="F952" s="7"/>
      <c r="G952" s="7"/>
      <c r="H952" s="7"/>
      <c r="I952" s="7"/>
      <c r="J952" s="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6">
      <c r="A953" s="7"/>
      <c r="B953" s="7"/>
      <c r="C953" s="7"/>
      <c r="D953" s="7"/>
      <c r="E953" s="7"/>
      <c r="F953" s="7"/>
      <c r="G953" s="7"/>
      <c r="H953" s="7"/>
      <c r="I953" s="7"/>
      <c r="J953" s="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6">
      <c r="A954" s="7"/>
      <c r="B954" s="7"/>
      <c r="C954" s="7"/>
      <c r="D954" s="7"/>
      <c r="E954" s="7"/>
      <c r="F954" s="7"/>
      <c r="G954" s="7"/>
      <c r="H954" s="7"/>
      <c r="I954" s="7"/>
      <c r="J954" s="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6">
      <c r="A955" s="7"/>
      <c r="B955" s="7"/>
      <c r="C955" s="7"/>
      <c r="D955" s="7"/>
      <c r="E955" s="7"/>
      <c r="F955" s="7"/>
      <c r="G955" s="7"/>
      <c r="H955" s="7"/>
      <c r="I955" s="7"/>
      <c r="J955" s="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6">
      <c r="A956" s="7"/>
      <c r="B956" s="7"/>
      <c r="C956" s="7"/>
      <c r="D956" s="7"/>
      <c r="E956" s="7"/>
      <c r="F956" s="7"/>
      <c r="G956" s="7"/>
      <c r="H956" s="7"/>
      <c r="I956" s="7"/>
      <c r="J956" s="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6">
      <c r="A957" s="7"/>
      <c r="B957" s="7"/>
      <c r="C957" s="7"/>
      <c r="D957" s="7"/>
      <c r="E957" s="7"/>
      <c r="F957" s="7"/>
      <c r="G957" s="7"/>
      <c r="H957" s="7"/>
      <c r="I957" s="7"/>
      <c r="J957" s="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6">
      <c r="A958" s="7"/>
      <c r="B958" s="7"/>
      <c r="C958" s="7"/>
      <c r="D958" s="7"/>
      <c r="E958" s="7"/>
      <c r="F958" s="7"/>
      <c r="G958" s="7"/>
      <c r="H958" s="7"/>
      <c r="I958" s="7"/>
      <c r="J958" s="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6">
      <c r="A959" s="7"/>
      <c r="B959" s="7"/>
      <c r="C959" s="7"/>
      <c r="D959" s="7"/>
      <c r="E959" s="7"/>
      <c r="F959" s="7"/>
      <c r="G959" s="7"/>
      <c r="H959" s="7"/>
      <c r="I959" s="7"/>
      <c r="J959" s="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6">
      <c r="A960" s="7"/>
      <c r="B960" s="7"/>
      <c r="C960" s="7"/>
      <c r="D960" s="7"/>
      <c r="E960" s="7"/>
      <c r="F960" s="7"/>
      <c r="G960" s="7"/>
      <c r="H960" s="7"/>
      <c r="I960" s="7"/>
      <c r="J960" s="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6">
      <c r="A961" s="7"/>
      <c r="B961" s="7"/>
      <c r="C961" s="7"/>
      <c r="D961" s="7"/>
      <c r="E961" s="7"/>
      <c r="F961" s="7"/>
      <c r="G961" s="7"/>
      <c r="H961" s="7"/>
      <c r="I961" s="7"/>
      <c r="J961" s="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6">
      <c r="A962" s="7"/>
      <c r="B962" s="7"/>
      <c r="C962" s="7"/>
      <c r="D962" s="7"/>
      <c r="E962" s="7"/>
      <c r="F962" s="7"/>
      <c r="G962" s="7"/>
      <c r="H962" s="7"/>
      <c r="I962" s="7"/>
      <c r="J962" s="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6">
      <c r="A963" s="7"/>
      <c r="B963" s="7"/>
      <c r="C963" s="7"/>
      <c r="D963" s="7"/>
      <c r="E963" s="7"/>
      <c r="F963" s="7"/>
      <c r="G963" s="7"/>
      <c r="H963" s="7"/>
      <c r="I963" s="7"/>
      <c r="J963" s="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6">
      <c r="A964" s="7"/>
      <c r="B964" s="7"/>
      <c r="C964" s="7"/>
      <c r="D964" s="7"/>
      <c r="E964" s="7"/>
      <c r="F964" s="7"/>
      <c r="G964" s="7"/>
      <c r="H964" s="7"/>
      <c r="I964" s="7"/>
      <c r="J964" s="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6">
      <c r="A965" s="7"/>
      <c r="B965" s="7"/>
      <c r="C965" s="7"/>
      <c r="D965" s="7"/>
      <c r="E965" s="7"/>
      <c r="F965" s="7"/>
      <c r="G965" s="7"/>
      <c r="H965" s="7"/>
      <c r="I965" s="7"/>
      <c r="J965" s="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6">
      <c r="A966" s="7"/>
      <c r="B966" s="7"/>
      <c r="C966" s="7"/>
      <c r="D966" s="7"/>
      <c r="E966" s="7"/>
      <c r="F966" s="7"/>
      <c r="G966" s="7"/>
      <c r="H966" s="7"/>
      <c r="I966" s="7"/>
      <c r="J966" s="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6">
      <c r="A967" s="7"/>
      <c r="B967" s="7"/>
      <c r="C967" s="7"/>
      <c r="D967" s="7"/>
      <c r="E967" s="7"/>
      <c r="F967" s="7"/>
      <c r="G967" s="7"/>
      <c r="H967" s="7"/>
      <c r="I967" s="7"/>
      <c r="J967" s="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6">
      <c r="A968" s="7"/>
      <c r="B968" s="7"/>
      <c r="C968" s="7"/>
      <c r="D968" s="7"/>
      <c r="E968" s="7"/>
      <c r="F968" s="7"/>
      <c r="G968" s="7"/>
      <c r="H968" s="7"/>
      <c r="I968" s="7"/>
      <c r="J968" s="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6">
      <c r="A969" s="7"/>
      <c r="B969" s="7"/>
      <c r="C969" s="7"/>
      <c r="D969" s="7"/>
      <c r="E969" s="7"/>
      <c r="F969" s="7"/>
      <c r="G969" s="7"/>
      <c r="H969" s="7"/>
      <c r="I969" s="7"/>
      <c r="J969" s="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6">
      <c r="A970" s="7"/>
      <c r="B970" s="7"/>
      <c r="C970" s="7"/>
      <c r="D970" s="7"/>
      <c r="E970" s="7"/>
      <c r="F970" s="7"/>
      <c r="G970" s="7"/>
      <c r="H970" s="7"/>
      <c r="I970" s="7"/>
      <c r="J970" s="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6">
      <c r="A971" s="7"/>
      <c r="B971" s="7"/>
      <c r="C971" s="7"/>
      <c r="D971" s="7"/>
      <c r="E971" s="7"/>
      <c r="F971" s="7"/>
      <c r="G971" s="7"/>
      <c r="H971" s="7"/>
      <c r="I971" s="7"/>
      <c r="J971" s="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6">
      <c r="A972" s="7"/>
      <c r="B972" s="7"/>
      <c r="C972" s="7"/>
      <c r="D972" s="7"/>
      <c r="E972" s="7"/>
      <c r="F972" s="7"/>
      <c r="G972" s="7"/>
      <c r="H972" s="7"/>
      <c r="I972" s="7"/>
      <c r="J972" s="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6">
      <c r="A973" s="7"/>
      <c r="B973" s="7"/>
      <c r="C973" s="7"/>
      <c r="D973" s="7"/>
      <c r="E973" s="7"/>
      <c r="F973" s="7"/>
      <c r="G973" s="7"/>
      <c r="H973" s="7"/>
      <c r="I973" s="7"/>
      <c r="J973" s="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6">
      <c r="A974" s="7"/>
      <c r="B974" s="7"/>
      <c r="C974" s="7"/>
      <c r="D974" s="7"/>
      <c r="E974" s="7"/>
      <c r="F974" s="7"/>
      <c r="G974" s="7"/>
      <c r="H974" s="7"/>
      <c r="I974" s="7"/>
      <c r="J974" s="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6">
      <c r="A975" s="7"/>
      <c r="B975" s="7"/>
      <c r="C975" s="7"/>
      <c r="D975" s="7"/>
      <c r="E975" s="7"/>
      <c r="F975" s="7"/>
      <c r="G975" s="7"/>
      <c r="H975" s="7"/>
      <c r="I975" s="7"/>
      <c r="J975" s="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6">
      <c r="A976" s="7"/>
      <c r="B976" s="7"/>
      <c r="C976" s="7"/>
      <c r="D976" s="7"/>
      <c r="E976" s="7"/>
      <c r="F976" s="7"/>
      <c r="G976" s="7"/>
      <c r="H976" s="7"/>
      <c r="I976" s="7"/>
      <c r="J976" s="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6">
      <c r="A977" s="7"/>
      <c r="B977" s="7"/>
      <c r="C977" s="7"/>
      <c r="D977" s="7"/>
      <c r="E977" s="7"/>
      <c r="F977" s="7"/>
      <c r="G977" s="7"/>
      <c r="H977" s="7"/>
      <c r="I977" s="7"/>
      <c r="J977" s="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6">
      <c r="A978" s="7"/>
      <c r="B978" s="7"/>
      <c r="C978" s="7"/>
      <c r="D978" s="7"/>
      <c r="E978" s="7"/>
      <c r="F978" s="7"/>
      <c r="G978" s="7"/>
      <c r="H978" s="7"/>
      <c r="I978" s="7"/>
      <c r="J978" s="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6">
      <c r="A979" s="7"/>
      <c r="B979" s="7"/>
      <c r="C979" s="7"/>
      <c r="D979" s="7"/>
      <c r="E979" s="7"/>
      <c r="F979" s="7"/>
      <c r="G979" s="7"/>
      <c r="H979" s="7"/>
      <c r="I979" s="7"/>
      <c r="J979" s="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6">
      <c r="A980" s="7"/>
      <c r="B980" s="7"/>
      <c r="C980" s="7"/>
      <c r="D980" s="7"/>
      <c r="E980" s="7"/>
      <c r="F980" s="7"/>
      <c r="G980" s="7"/>
      <c r="H980" s="7"/>
      <c r="I980" s="7"/>
      <c r="J980" s="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6">
      <c r="A981" s="7"/>
      <c r="B981" s="7"/>
      <c r="C981" s="7"/>
      <c r="D981" s="7"/>
      <c r="E981" s="7"/>
      <c r="F981" s="7"/>
      <c r="G981" s="7"/>
      <c r="H981" s="7"/>
      <c r="I981" s="7"/>
      <c r="J981" s="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6">
      <c r="A982" s="7"/>
      <c r="B982" s="7"/>
      <c r="C982" s="7"/>
      <c r="D982" s="7"/>
      <c r="E982" s="7"/>
      <c r="F982" s="7"/>
      <c r="G982" s="7"/>
      <c r="H982" s="7"/>
      <c r="I982" s="7"/>
      <c r="J982" s="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6">
      <c r="A983" s="7"/>
      <c r="B983" s="7"/>
      <c r="C983" s="7"/>
      <c r="D983" s="7"/>
      <c r="E983" s="7"/>
      <c r="F983" s="7"/>
      <c r="G983" s="7"/>
      <c r="H983" s="7"/>
      <c r="I983" s="7"/>
      <c r="J983" s="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6">
      <c r="A984" s="7"/>
      <c r="B984" s="7"/>
      <c r="C984" s="7"/>
      <c r="D984" s="7"/>
      <c r="E984" s="7"/>
      <c r="F984" s="7"/>
      <c r="G984" s="7"/>
      <c r="H984" s="7"/>
      <c r="I984" s="7"/>
      <c r="J984" s="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6">
      <c r="A985" s="7"/>
      <c r="B985" s="7"/>
      <c r="C985" s="7"/>
      <c r="D985" s="7"/>
      <c r="E985" s="7"/>
      <c r="F985" s="7"/>
      <c r="G985" s="7"/>
      <c r="H985" s="7"/>
      <c r="I985" s="7"/>
      <c r="J985" s="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6">
      <c r="A986" s="7"/>
      <c r="B986" s="7"/>
      <c r="C986" s="7"/>
      <c r="D986" s="7"/>
      <c r="E986" s="7"/>
      <c r="F986" s="7"/>
      <c r="G986" s="7"/>
      <c r="H986" s="7"/>
      <c r="I986" s="7"/>
      <c r="J986" s="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6">
      <c r="A987" s="7"/>
      <c r="B987" s="7"/>
      <c r="C987" s="7"/>
      <c r="D987" s="7"/>
      <c r="E987" s="7"/>
      <c r="F987" s="7"/>
      <c r="G987" s="7"/>
      <c r="H987" s="7"/>
      <c r="I987" s="7"/>
      <c r="J987" s="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6">
      <c r="A988" s="7"/>
      <c r="B988" s="7"/>
      <c r="C988" s="7"/>
      <c r="D988" s="7"/>
      <c r="E988" s="7"/>
      <c r="F988" s="7"/>
      <c r="G988" s="7"/>
      <c r="H988" s="7"/>
      <c r="I988" s="7"/>
      <c r="J988" s="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6">
      <c r="A989" s="7"/>
      <c r="B989" s="7"/>
      <c r="C989" s="7"/>
      <c r="D989" s="7"/>
      <c r="E989" s="7"/>
      <c r="F989" s="7"/>
      <c r="G989" s="7"/>
      <c r="H989" s="7"/>
      <c r="I989" s="7"/>
      <c r="J989" s="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6">
      <c r="A990" s="7"/>
      <c r="B990" s="7"/>
      <c r="C990" s="7"/>
      <c r="D990" s="7"/>
      <c r="E990" s="7"/>
      <c r="F990" s="7"/>
      <c r="G990" s="7"/>
      <c r="H990" s="7"/>
      <c r="I990" s="7"/>
      <c r="J990" s="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6">
      <c r="A991" s="7"/>
      <c r="B991" s="7"/>
      <c r="C991" s="7"/>
      <c r="D991" s="7"/>
      <c r="E991" s="7"/>
      <c r="F991" s="7"/>
      <c r="G991" s="7"/>
      <c r="H991" s="7"/>
      <c r="I991" s="7"/>
      <c r="J991" s="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6">
      <c r="A992" s="7"/>
      <c r="B992" s="7"/>
      <c r="C992" s="7"/>
      <c r="D992" s="7"/>
      <c r="E992" s="7"/>
      <c r="F992" s="7"/>
      <c r="G992" s="7"/>
      <c r="H992" s="7"/>
      <c r="I992" s="7"/>
      <c r="J992" s="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6">
      <c r="A993" s="7"/>
      <c r="B993" s="7"/>
      <c r="C993" s="7"/>
      <c r="D993" s="7"/>
      <c r="E993" s="7"/>
      <c r="F993" s="7"/>
      <c r="G993" s="7"/>
      <c r="H993" s="7"/>
      <c r="I993" s="7"/>
      <c r="J993" s="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6">
      <c r="A994" s="7"/>
      <c r="B994" s="7"/>
      <c r="C994" s="7"/>
      <c r="D994" s="7"/>
      <c r="E994" s="7"/>
      <c r="F994" s="7"/>
      <c r="G994" s="7"/>
      <c r="H994" s="7"/>
      <c r="I994" s="7"/>
      <c r="J994" s="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6">
      <c r="A995" s="7"/>
      <c r="B995" s="7"/>
      <c r="C995" s="7"/>
      <c r="D995" s="7"/>
      <c r="E995" s="7"/>
      <c r="F995" s="7"/>
      <c r="G995" s="7"/>
      <c r="H995" s="7"/>
      <c r="I995" s="7"/>
      <c r="J995" s="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6">
      <c r="A996" s="7"/>
      <c r="B996" s="7"/>
      <c r="C996" s="7"/>
      <c r="D996" s="7"/>
      <c r="E996" s="7"/>
      <c r="F996" s="7"/>
      <c r="G996" s="7"/>
      <c r="H996" s="7"/>
      <c r="I996" s="7"/>
      <c r="J996" s="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6">
      <c r="A997" s="7"/>
      <c r="B997" s="7"/>
      <c r="C997" s="7"/>
      <c r="D997" s="7"/>
      <c r="E997" s="7"/>
      <c r="F997" s="7"/>
      <c r="G997" s="7"/>
      <c r="H997" s="7"/>
      <c r="I997" s="7"/>
      <c r="J997" s="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6">
      <c r="A998" s="7"/>
      <c r="B998" s="7"/>
      <c r="C998" s="7"/>
      <c r="D998" s="7"/>
      <c r="E998" s="7"/>
      <c r="F998" s="7"/>
      <c r="G998" s="7"/>
      <c r="H998" s="7"/>
      <c r="I998" s="7"/>
      <c r="J998" s="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6">
      <c r="A999" s="7"/>
      <c r="B999" s="7"/>
      <c r="C999" s="7"/>
      <c r="D999" s="7"/>
      <c r="E999" s="7"/>
      <c r="F999" s="7"/>
      <c r="G999" s="7"/>
      <c r="H999" s="7"/>
      <c r="I999" s="7"/>
      <c r="J999" s="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6">
      <c r="A1000" s="7"/>
      <c r="B1000" s="7"/>
      <c r="C1000" s="7"/>
      <c r="D1000" s="7"/>
      <c r="E1000" s="7"/>
      <c r="F1000" s="7"/>
      <c r="G1000" s="7"/>
      <c r="H1000" s="7"/>
      <c r="I1000" s="7"/>
      <c r="J1000" s="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B77:E77"/>
    <mergeCell ref="B82:E82"/>
    <mergeCell ref="B87:E87"/>
    <mergeCell ref="B92:E92"/>
    <mergeCell ref="B25:G25"/>
    <mergeCell ref="B30:G30"/>
    <mergeCell ref="B35:G35"/>
    <mergeCell ref="B42:G42"/>
    <mergeCell ref="B46:G46"/>
    <mergeCell ref="B51:E51"/>
    <mergeCell ref="B52:E52"/>
    <mergeCell ref="B21:G21"/>
    <mergeCell ref="B22:G22"/>
    <mergeCell ref="B57:E57"/>
    <mergeCell ref="B62:E62"/>
    <mergeCell ref="B73:E73"/>
    <mergeCell ref="B2:G2"/>
    <mergeCell ref="B6:G6"/>
    <mergeCell ref="B13:G13"/>
    <mergeCell ref="B14:G14"/>
    <mergeCell ref="B16:G16"/>
  </mergeCells>
  <conditionalFormatting sqref="B77 B78:E81">
    <cfRule type="expression" dxfId="56" priority="1">
      <formula>intelligent_logging_result="Excluded"</formula>
    </cfRule>
  </conditionalFormatting>
  <conditionalFormatting sqref="B92 B93:E105">
    <cfRule type="expression" dxfId="55" priority="2">
      <formula>private_cloud_result="Excluded"</formula>
    </cfRule>
  </conditionalFormatting>
  <conditionalFormatting sqref="B8:C8 E8:G8">
    <cfRule type="expression" dxfId="54" priority="3">
      <formula>vcf_aware_wsa_result="Excluded"</formula>
    </cfRule>
  </conditionalFormatting>
  <conditionalFormatting sqref="B9:C9 E9:G9">
    <cfRule type="expression" dxfId="53" priority="4">
      <formula>iam_result="Excluded"</formula>
    </cfRule>
  </conditionalFormatting>
  <conditionalFormatting sqref="B51:E51">
    <cfRule type="expression" dxfId="52" priority="5">
      <formula>AND((vrslcm_result="Excluded"),(vcf_aware_wsa_result="Excluded"),(iam_result="Excluded"),(intelligent_operations_result="Excluded"),(intelligent_logging_result="Excluded"),(private_cloud_result="Excluded"),(developer_ready_result="Excluded"))</formula>
    </cfRule>
  </conditionalFormatting>
  <conditionalFormatting sqref="B52:E56">
    <cfRule type="expression" dxfId="51" priority="6">
      <formula>vrslcm_result="Excluded"</formula>
    </cfRule>
  </conditionalFormatting>
  <conditionalFormatting sqref="B57:E61">
    <cfRule type="expression" dxfId="50" priority="7" stopIfTrue="1">
      <formula>vcf_aware_wsa_result="Excluded"</formula>
    </cfRule>
  </conditionalFormatting>
  <conditionalFormatting sqref="B62:E72 B73 B77 B78:E81">
    <cfRule type="expression" dxfId="49" priority="9">
      <formula>iam_result="Excluded"</formula>
    </cfRule>
  </conditionalFormatting>
  <conditionalFormatting sqref="B73:E76">
    <cfRule type="expression" dxfId="48" priority="8">
      <formula>developer_ready_result="Excluded"</formula>
    </cfRule>
  </conditionalFormatting>
  <conditionalFormatting sqref="B82:E86">
    <cfRule type="expression" dxfId="47" priority="10">
      <formula>intelligent_operations_result="Excluded"</formula>
    </cfRule>
  </conditionalFormatting>
  <conditionalFormatting sqref="B87:E91">
    <cfRule type="expression" dxfId="46" priority="11" stopIfTrue="1">
      <formula>inv_result="Excluded"</formula>
    </cfRule>
  </conditionalFormatting>
  <conditionalFormatting sqref="B6:G7">
    <cfRule type="expression" dxfId="45" priority="12">
      <formula>AND((vcf_aware_wsa_result="Excluded"),(iam_result="Excluded"))</formula>
    </cfRule>
  </conditionalFormatting>
  <conditionalFormatting sqref="B10:G10">
    <cfRule type="expression" dxfId="44" priority="13">
      <formula>vcf_aware_wsa_result="Excluded"</formula>
    </cfRule>
  </conditionalFormatting>
  <conditionalFormatting sqref="B11:G11">
    <cfRule type="expression" dxfId="43" priority="14">
      <formula>iam_result="Excluded"</formula>
    </cfRule>
  </conditionalFormatting>
  <conditionalFormatting sqref="B16:G19">
    <cfRule type="expression" dxfId="42" priority="15">
      <formula>iam_result="Excluded"</formula>
    </cfRule>
  </conditionalFormatting>
  <conditionalFormatting sqref="B21:G21">
    <cfRule type="expression" dxfId="41" priority="16">
      <formula>AND((private_cloud_result="Excluded"),(intelligent_operations_result="Excluded"))</formula>
    </cfRule>
  </conditionalFormatting>
  <conditionalFormatting sqref="B22:G24">
    <cfRule type="expression" dxfId="40" priority="17">
      <formula>(intelligent_logging_result="Excluded")</formula>
    </cfRule>
  </conditionalFormatting>
  <conditionalFormatting sqref="B25:G28">
    <cfRule type="expression" dxfId="39" priority="18">
      <formula>(intelligent_operations_result="Excluded")</formula>
    </cfRule>
  </conditionalFormatting>
  <conditionalFormatting sqref="B29:G29">
    <cfRule type="expression" dxfId="38" priority="19">
      <formula>OR((private_cloud_result="Excluded"),(intelligent_operations_result="Excluded"))</formula>
    </cfRule>
  </conditionalFormatting>
  <conditionalFormatting sqref="B30:G34">
    <cfRule type="expression" dxfId="37" priority="20">
      <formula>inv_result="Excluded"</formula>
    </cfRule>
  </conditionalFormatting>
  <conditionalFormatting sqref="B35:G41">
    <cfRule type="expression" dxfId="36" priority="21">
      <formula>private_cloud_result="Excluded"</formula>
    </cfRule>
  </conditionalFormatting>
  <conditionalFormatting sqref="B42:G45">
    <cfRule type="expression" dxfId="35" priority="22" stopIfTrue="1">
      <formula>hrm_result="Excluded"</formula>
    </cfRule>
  </conditionalFormatting>
  <conditionalFormatting sqref="B46:G49">
    <cfRule type="expression" dxfId="34" priority="23">
      <formula>ccm_result="Excluded"</formula>
    </cfRule>
  </conditionalFormatting>
  <conditionalFormatting sqref="C41">
    <cfRule type="expression" dxfId="33" priority="24">
      <formula>private_cloud_result="Excluded"</formula>
    </cfRule>
  </conditionalFormatting>
  <conditionalFormatting sqref="E8:E11">
    <cfRule type="containsBlanks" dxfId="32" priority="25">
      <formula>LEN(TRIM(E8))=0</formula>
    </cfRule>
    <cfRule type="notContainsBlanks" dxfId="31" priority="26">
      <formula>LEN(TRIM(E8))&gt;0</formula>
    </cfRule>
  </conditionalFormatting>
  <conditionalFormatting sqref="E16:E19 G44:G46 E47:E49 G48:G49 E31:E45 G37:G42 G32:G34 E21:E29 E75:E76">
    <cfRule type="containsBlanks" dxfId="30" priority="28">
      <formula>LEN(TRIM(E16))=0</formula>
    </cfRule>
  </conditionalFormatting>
  <conditionalFormatting sqref="E18:E19">
    <cfRule type="notContainsBlanks" dxfId="29" priority="27">
      <formula>LEN(TRIM(E18))&gt;0</formula>
    </cfRule>
  </conditionalFormatting>
  <conditionalFormatting sqref="E24">
    <cfRule type="notContainsBlanks" dxfId="28" priority="30">
      <formula>LEN(TRIM(E24))&gt;0</formula>
    </cfRule>
  </conditionalFormatting>
  <conditionalFormatting sqref="E27:E29">
    <cfRule type="notContainsBlanks" dxfId="27" priority="32">
      <formula>LEN(TRIM(E27))&gt;0</formula>
    </cfRule>
  </conditionalFormatting>
  <conditionalFormatting sqref="E32:E34">
    <cfRule type="notContainsBlanks" dxfId="26" priority="35">
      <formula>LEN(TRIM(E32))&gt;0</formula>
    </cfRule>
  </conditionalFormatting>
  <conditionalFormatting sqref="E37:E42">
    <cfRule type="notContainsBlanks" dxfId="25" priority="36">
      <formula>LEN(TRIM(E37))&gt;0</formula>
    </cfRule>
  </conditionalFormatting>
  <conditionalFormatting sqref="E44:E45">
    <cfRule type="notContainsBlanks" dxfId="24" priority="38">
      <formula>LEN(TRIM(E44))&gt;0</formula>
    </cfRule>
  </conditionalFormatting>
  <conditionalFormatting sqref="E48:E49">
    <cfRule type="notContainsBlanks" dxfId="23" priority="40">
      <formula>LEN(TRIM(E48))&gt;0</formula>
    </cfRule>
  </conditionalFormatting>
  <conditionalFormatting sqref="E54:E56">
    <cfRule type="containsBlanks" dxfId="22" priority="41">
      <formula>LEN(TRIM(E54))=0</formula>
    </cfRule>
    <cfRule type="notContainsBlanks" dxfId="21" priority="42">
      <formula>LEN(TRIM(E54))&gt;0</formula>
    </cfRule>
  </conditionalFormatting>
  <conditionalFormatting sqref="E59:E61">
    <cfRule type="containsBlanks" dxfId="20" priority="43">
      <formula>LEN(TRIM(E59))=0</formula>
    </cfRule>
    <cfRule type="notContainsBlanks" dxfId="19" priority="44">
      <formula>LEN(TRIM(E59))&gt;0</formula>
    </cfRule>
  </conditionalFormatting>
  <conditionalFormatting sqref="E64:E72 E79:E81">
    <cfRule type="containsBlanks" dxfId="18" priority="45">
      <formula>LEN(TRIM(E64))=0</formula>
    </cfRule>
    <cfRule type="notContainsBlanks" dxfId="17" priority="46">
      <formula>LEN(TRIM(E64))&gt;0</formula>
    </cfRule>
  </conditionalFormatting>
  <conditionalFormatting sqref="E79:E81">
    <cfRule type="containsBlanks" dxfId="16" priority="47" stopIfTrue="1">
      <formula>LEN(TRIM(E79))=0</formula>
    </cfRule>
  </conditionalFormatting>
  <conditionalFormatting sqref="E84:E86 E89:E91">
    <cfRule type="containsBlanks" dxfId="15" priority="49" stopIfTrue="1">
      <formula>LEN(TRIM(E84))=0</formula>
    </cfRule>
  </conditionalFormatting>
  <conditionalFormatting sqref="E89:E91 E84:E86">
    <cfRule type="notContainsBlanks" dxfId="14" priority="48">
      <formula>LEN(TRIM(E84))&gt;0</formula>
    </cfRule>
  </conditionalFormatting>
  <conditionalFormatting sqref="E94:E105">
    <cfRule type="containsBlanks" dxfId="13" priority="50" stopIfTrue="1">
      <formula>LEN(TRIM(E94))=0</formula>
    </cfRule>
    <cfRule type="notContainsBlanks" dxfId="12" priority="51">
      <formula>LEN(TRIM(E94))&gt;0</formula>
    </cfRule>
  </conditionalFormatting>
  <conditionalFormatting sqref="G8:G11">
    <cfRule type="containsBlanks" dxfId="11" priority="52">
      <formula>LEN(TRIM(G8))=0</formula>
    </cfRule>
    <cfRule type="notContainsBlanks" dxfId="10" priority="53">
      <formula>LEN(TRIM(G8))&gt;0</formula>
    </cfRule>
  </conditionalFormatting>
  <conditionalFormatting sqref="G18:G19">
    <cfRule type="containsBlanks" dxfId="9" priority="54">
      <formula>LEN(TRIM(G18))=0</formula>
    </cfRule>
    <cfRule type="notContainsBlanks" dxfId="8" priority="55">
      <formula>LEN(TRIM(G18))&gt;0</formula>
    </cfRule>
  </conditionalFormatting>
  <conditionalFormatting sqref="G24">
    <cfRule type="containsBlanks" dxfId="7" priority="56">
      <formula>LEN(TRIM(G24))=0</formula>
    </cfRule>
    <cfRule type="notContainsBlanks" dxfId="6" priority="57">
      <formula>LEN(TRIM(G24))&gt;0</formula>
    </cfRule>
  </conditionalFormatting>
  <conditionalFormatting sqref="G27:G30">
    <cfRule type="containsBlanks" dxfId="5" priority="58">
      <formula>LEN(TRIM(G27))=0</formula>
    </cfRule>
    <cfRule type="notContainsBlanks" dxfId="4" priority="59">
      <formula>LEN(TRIM(G27))&gt;0</formula>
    </cfRule>
  </conditionalFormatting>
  <conditionalFormatting sqref="G32:G34 G37:G42 G44:G46 G48:G49 E75:E76">
    <cfRule type="notContainsBlanks" dxfId="3" priority="60">
      <formula>LEN(TRIM(E75))&gt;0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04"/>
  <sheetViews>
    <sheetView showGridLines="0" workbookViewId="0"/>
  </sheetViews>
  <sheetFormatPr baseColWidth="10" defaultColWidth="8.83203125" defaultRowHeight="13"/>
  <cols>
    <col min="1" max="1" width="20" customWidth="1"/>
    <col min="2" max="2" width="29" customWidth="1"/>
    <col min="3" max="3" width="18" customWidth="1"/>
    <col min="4" max="4" width="44" customWidth="1"/>
    <col min="5" max="5" width="24" customWidth="1"/>
  </cols>
  <sheetData>
    <row r="1" spans="1:5" ht="34" customHeight="1">
      <c r="A1" s="165" t="s">
        <v>9795</v>
      </c>
      <c r="B1" s="165" t="s">
        <v>9796</v>
      </c>
      <c r="C1" s="165" t="s">
        <v>9797</v>
      </c>
      <c r="D1" s="165" t="s">
        <v>9798</v>
      </c>
      <c r="E1" s="165" t="s">
        <v>9062</v>
      </c>
    </row>
    <row r="2" spans="1:5" ht="14">
      <c r="A2" s="163" t="s">
        <v>9799</v>
      </c>
      <c r="B2" s="163" t="s">
        <v>9066</v>
      </c>
      <c r="C2" s="163" t="s">
        <v>9067</v>
      </c>
      <c r="D2" s="164" t="s">
        <v>9068</v>
      </c>
      <c r="E2" s="163" t="s">
        <v>9074</v>
      </c>
    </row>
    <row r="3" spans="1:5" ht="14">
      <c r="A3" s="163" t="s">
        <v>9800</v>
      </c>
      <c r="B3" s="163" t="s">
        <v>9066</v>
      </c>
      <c r="C3" s="163" t="s">
        <v>9067</v>
      </c>
      <c r="D3" s="164" t="s">
        <v>9068</v>
      </c>
      <c r="E3" s="163" t="s">
        <v>9074</v>
      </c>
    </row>
    <row r="4" spans="1:5" ht="14">
      <c r="A4" s="163" t="s">
        <v>9801</v>
      </c>
      <c r="B4" s="163" t="s">
        <v>9066</v>
      </c>
      <c r="C4" s="163" t="s">
        <v>9067</v>
      </c>
      <c r="D4" s="164" t="s">
        <v>9068</v>
      </c>
      <c r="E4" s="163" t="s">
        <v>9074</v>
      </c>
    </row>
    <row r="5" spans="1:5" ht="14">
      <c r="A5" s="163" t="s">
        <v>9799</v>
      </c>
      <c r="B5" s="163" t="s">
        <v>9078</v>
      </c>
      <c r="C5" s="163" t="s">
        <v>9067</v>
      </c>
      <c r="D5" s="164" t="s">
        <v>9079</v>
      </c>
      <c r="E5" s="163" t="s">
        <v>9074</v>
      </c>
    </row>
    <row r="6" spans="1:5" ht="14">
      <c r="A6" s="163" t="s">
        <v>9800</v>
      </c>
      <c r="B6" s="163" t="s">
        <v>9078</v>
      </c>
      <c r="C6" s="163" t="s">
        <v>9067</v>
      </c>
      <c r="D6" s="164" t="s">
        <v>9079</v>
      </c>
      <c r="E6" s="163" t="s">
        <v>9074</v>
      </c>
    </row>
    <row r="7" spans="1:5" ht="14">
      <c r="A7" s="163" t="s">
        <v>9801</v>
      </c>
      <c r="B7" s="163" t="s">
        <v>9078</v>
      </c>
      <c r="C7" s="163" t="s">
        <v>9067</v>
      </c>
      <c r="D7" s="164" t="s">
        <v>9079</v>
      </c>
      <c r="E7" s="163" t="s">
        <v>9074</v>
      </c>
    </row>
    <row r="8" spans="1:5" ht="14">
      <c r="A8" s="163" t="s">
        <v>9799</v>
      </c>
      <c r="B8" s="163" t="s">
        <v>9082</v>
      </c>
      <c r="C8" s="163" t="s">
        <v>9067</v>
      </c>
      <c r="D8" s="164" t="s">
        <v>9083</v>
      </c>
      <c r="E8" s="163" t="s">
        <v>9088</v>
      </c>
    </row>
    <row r="9" spans="1:5" ht="14">
      <c r="A9" s="163" t="s">
        <v>9800</v>
      </c>
      <c r="B9" s="163" t="s">
        <v>9082</v>
      </c>
      <c r="C9" s="163" t="s">
        <v>9067</v>
      </c>
      <c r="D9" s="164" t="s">
        <v>9083</v>
      </c>
      <c r="E9" s="163" t="s">
        <v>9088</v>
      </c>
    </row>
    <row r="10" spans="1:5" ht="14">
      <c r="A10" s="163" t="s">
        <v>9799</v>
      </c>
      <c r="B10" s="163" t="s">
        <v>9090</v>
      </c>
      <c r="C10" s="163" t="s">
        <v>9067</v>
      </c>
      <c r="D10" s="164" t="s">
        <v>9091</v>
      </c>
      <c r="E10" s="163" t="s">
        <v>9088</v>
      </c>
    </row>
    <row r="11" spans="1:5" ht="14">
      <c r="A11" s="163" t="s">
        <v>9800</v>
      </c>
      <c r="B11" s="163" t="s">
        <v>9090</v>
      </c>
      <c r="C11" s="163" t="s">
        <v>9067</v>
      </c>
      <c r="D11" s="164" t="s">
        <v>9091</v>
      </c>
      <c r="E11" s="163" t="s">
        <v>9088</v>
      </c>
    </row>
    <row r="12" spans="1:5" ht="14">
      <c r="A12" s="163" t="s">
        <v>9802</v>
      </c>
      <c r="B12" s="163" t="s">
        <v>9094</v>
      </c>
      <c r="C12" s="163" t="s">
        <v>9095</v>
      </c>
      <c r="D12" s="164" t="s">
        <v>9096</v>
      </c>
      <c r="E12" s="163" t="s">
        <v>9088</v>
      </c>
    </row>
    <row r="13" spans="1:5" ht="14">
      <c r="A13" s="163" t="s">
        <v>9803</v>
      </c>
      <c r="B13" s="163" t="s">
        <v>9094</v>
      </c>
      <c r="C13" s="163" t="s">
        <v>9095</v>
      </c>
      <c r="D13" s="164" t="s">
        <v>9096</v>
      </c>
      <c r="E13" s="163" t="s">
        <v>9088</v>
      </c>
    </row>
    <row r="14" spans="1:5" ht="14">
      <c r="A14" s="163" t="s">
        <v>9802</v>
      </c>
      <c r="B14" s="163" t="s">
        <v>9101</v>
      </c>
      <c r="C14" s="163" t="s">
        <v>9095</v>
      </c>
      <c r="D14" s="164" t="s">
        <v>9102</v>
      </c>
      <c r="E14" s="163" t="s">
        <v>9088</v>
      </c>
    </row>
    <row r="15" spans="1:5" ht="14">
      <c r="A15" s="163" t="s">
        <v>9803</v>
      </c>
      <c r="B15" s="163" t="s">
        <v>9101</v>
      </c>
      <c r="C15" s="163" t="s">
        <v>9095</v>
      </c>
      <c r="D15" s="164" t="s">
        <v>9102</v>
      </c>
      <c r="E15" s="163" t="s">
        <v>9088</v>
      </c>
    </row>
    <row r="16" spans="1:5" ht="14">
      <c r="A16" s="163" t="s">
        <v>9802</v>
      </c>
      <c r="B16" s="163" t="s">
        <v>9105</v>
      </c>
      <c r="C16" s="163" t="s">
        <v>9095</v>
      </c>
      <c r="D16" s="164" t="s">
        <v>9106</v>
      </c>
      <c r="E16" s="163" t="s">
        <v>9088</v>
      </c>
    </row>
    <row r="17" spans="1:5" ht="14">
      <c r="A17" s="163" t="s">
        <v>9169</v>
      </c>
      <c r="B17" s="163" t="s">
        <v>9105</v>
      </c>
      <c r="C17" s="163" t="s">
        <v>9095</v>
      </c>
      <c r="D17" s="164" t="s">
        <v>9106</v>
      </c>
      <c r="E17" s="163" t="s">
        <v>9088</v>
      </c>
    </row>
    <row r="18" spans="1:5" ht="14">
      <c r="A18" s="163" t="s">
        <v>9803</v>
      </c>
      <c r="B18" s="163" t="s">
        <v>9105</v>
      </c>
      <c r="C18" s="163" t="s">
        <v>9095</v>
      </c>
      <c r="D18" s="164" t="s">
        <v>9106</v>
      </c>
      <c r="E18" s="163" t="s">
        <v>9088</v>
      </c>
    </row>
    <row r="19" spans="1:5" ht="14">
      <c r="A19" s="163" t="s">
        <v>9802</v>
      </c>
      <c r="B19" s="163" t="s">
        <v>9111</v>
      </c>
      <c r="C19" s="163" t="s">
        <v>9095</v>
      </c>
      <c r="D19" s="164" t="s">
        <v>9112</v>
      </c>
      <c r="E19" s="163" t="s">
        <v>9088</v>
      </c>
    </row>
    <row r="20" spans="1:5" ht="14">
      <c r="A20" s="163" t="s">
        <v>9803</v>
      </c>
      <c r="B20" s="163" t="s">
        <v>9111</v>
      </c>
      <c r="C20" s="163" t="s">
        <v>9095</v>
      </c>
      <c r="D20" s="164" t="s">
        <v>9112</v>
      </c>
      <c r="E20" s="163" t="s">
        <v>9088</v>
      </c>
    </row>
    <row r="21" spans="1:5" ht="14">
      <c r="A21" s="163" t="s">
        <v>9802</v>
      </c>
      <c r="B21" s="163" t="s">
        <v>9115</v>
      </c>
      <c r="C21" s="163" t="s">
        <v>9095</v>
      </c>
      <c r="D21" s="164" t="s">
        <v>9116</v>
      </c>
      <c r="E21" s="163" t="s">
        <v>9088</v>
      </c>
    </row>
    <row r="22" spans="1:5" ht="14">
      <c r="A22" s="163" t="s">
        <v>9801</v>
      </c>
      <c r="B22" s="163" t="s">
        <v>9115</v>
      </c>
      <c r="C22" s="163" t="s">
        <v>9095</v>
      </c>
      <c r="D22" s="164" t="s">
        <v>9116</v>
      </c>
      <c r="E22" s="163" t="s">
        <v>9088</v>
      </c>
    </row>
    <row r="23" spans="1:5" ht="14">
      <c r="A23" s="163" t="s">
        <v>9803</v>
      </c>
      <c r="B23" s="163" t="s">
        <v>9115</v>
      </c>
      <c r="C23" s="163" t="s">
        <v>9095</v>
      </c>
      <c r="D23" s="164" t="s">
        <v>9116</v>
      </c>
      <c r="E23" s="163" t="s">
        <v>9088</v>
      </c>
    </row>
    <row r="24" spans="1:5" ht="14">
      <c r="A24" s="163" t="s">
        <v>9802</v>
      </c>
      <c r="B24" s="163" t="s">
        <v>9121</v>
      </c>
      <c r="C24" s="163" t="s">
        <v>9095</v>
      </c>
      <c r="D24" s="164" t="s">
        <v>9122</v>
      </c>
      <c r="E24" s="163" t="s">
        <v>9088</v>
      </c>
    </row>
    <row r="25" spans="1:5" ht="14">
      <c r="A25" s="163" t="s">
        <v>9803</v>
      </c>
      <c r="B25" s="163" t="s">
        <v>9121</v>
      </c>
      <c r="C25" s="163" t="s">
        <v>9095</v>
      </c>
      <c r="D25" s="164" t="s">
        <v>9122</v>
      </c>
      <c r="E25" s="163" t="s">
        <v>9088</v>
      </c>
    </row>
    <row r="26" spans="1:5" ht="14">
      <c r="A26" s="163" t="s">
        <v>9802</v>
      </c>
      <c r="B26" s="163" t="s">
        <v>9125</v>
      </c>
      <c r="C26" s="163" t="s">
        <v>9095</v>
      </c>
      <c r="D26" s="164" t="s">
        <v>9126</v>
      </c>
      <c r="E26" s="163" t="s">
        <v>9088</v>
      </c>
    </row>
    <row r="27" spans="1:5" ht="14">
      <c r="A27" s="163" t="s">
        <v>9803</v>
      </c>
      <c r="B27" s="163" t="s">
        <v>9125</v>
      </c>
      <c r="C27" s="163" t="s">
        <v>9095</v>
      </c>
      <c r="D27" s="164" t="s">
        <v>9126</v>
      </c>
      <c r="E27" s="163" t="s">
        <v>9088</v>
      </c>
    </row>
    <row r="28" spans="1:5" ht="14">
      <c r="A28" s="163" t="s">
        <v>9802</v>
      </c>
      <c r="B28" s="163" t="s">
        <v>9129</v>
      </c>
      <c r="C28" s="163" t="s">
        <v>9095</v>
      </c>
      <c r="D28" s="164" t="s">
        <v>9130</v>
      </c>
      <c r="E28" s="163" t="s">
        <v>9088</v>
      </c>
    </row>
    <row r="29" spans="1:5" ht="14">
      <c r="A29" s="163" t="s">
        <v>9236</v>
      </c>
      <c r="B29" s="163" t="s">
        <v>9129</v>
      </c>
      <c r="C29" s="163" t="s">
        <v>9095</v>
      </c>
      <c r="D29" s="164" t="s">
        <v>9130</v>
      </c>
      <c r="E29" s="163" t="s">
        <v>9088</v>
      </c>
    </row>
    <row r="30" spans="1:5" ht="14">
      <c r="A30" s="163" t="s">
        <v>9803</v>
      </c>
      <c r="B30" s="163" t="s">
        <v>9129</v>
      </c>
      <c r="C30" s="163" t="s">
        <v>9095</v>
      </c>
      <c r="D30" s="164" t="s">
        <v>9130</v>
      </c>
      <c r="E30" s="163" t="s">
        <v>9088</v>
      </c>
    </row>
    <row r="31" spans="1:5" ht="14">
      <c r="A31" s="163" t="s">
        <v>9802</v>
      </c>
      <c r="B31" s="163" t="s">
        <v>9135</v>
      </c>
      <c r="C31" s="163" t="s">
        <v>9095</v>
      </c>
      <c r="D31" s="164" t="s">
        <v>9136</v>
      </c>
      <c r="E31" s="163" t="s">
        <v>9088</v>
      </c>
    </row>
    <row r="32" spans="1:5" ht="14">
      <c r="A32" s="163" t="s">
        <v>9301</v>
      </c>
      <c r="B32" s="163" t="s">
        <v>9135</v>
      </c>
      <c r="C32" s="163" t="s">
        <v>9095</v>
      </c>
      <c r="D32" s="164" t="s">
        <v>9136</v>
      </c>
      <c r="E32" s="163" t="s">
        <v>9088</v>
      </c>
    </row>
    <row r="33" spans="1:5" ht="14">
      <c r="A33" s="163" t="s">
        <v>9803</v>
      </c>
      <c r="B33" s="163" t="s">
        <v>9135</v>
      </c>
      <c r="C33" s="163" t="s">
        <v>9095</v>
      </c>
      <c r="D33" s="164" t="s">
        <v>9136</v>
      </c>
      <c r="E33" s="163" t="s">
        <v>9088</v>
      </c>
    </row>
    <row r="34" spans="1:5" ht="14">
      <c r="A34" s="163" t="s">
        <v>9802</v>
      </c>
      <c r="B34" s="163" t="s">
        <v>9141</v>
      </c>
      <c r="C34" s="163" t="s">
        <v>9095</v>
      </c>
      <c r="D34" s="164" t="s">
        <v>9142</v>
      </c>
      <c r="E34" s="163" t="s">
        <v>9088</v>
      </c>
    </row>
    <row r="35" spans="1:5" ht="14">
      <c r="A35" s="163" t="s">
        <v>9804</v>
      </c>
      <c r="B35" s="163" t="s">
        <v>9141</v>
      </c>
      <c r="C35" s="163" t="s">
        <v>9095</v>
      </c>
      <c r="D35" s="164" t="s">
        <v>9142</v>
      </c>
      <c r="E35" s="163" t="s">
        <v>9088</v>
      </c>
    </row>
    <row r="36" spans="1:5" ht="14">
      <c r="A36" s="163" t="s">
        <v>9803</v>
      </c>
      <c r="B36" s="163" t="s">
        <v>9141</v>
      </c>
      <c r="C36" s="163" t="s">
        <v>9095</v>
      </c>
      <c r="D36" s="164" t="s">
        <v>9142</v>
      </c>
      <c r="E36" s="163" t="s">
        <v>9088</v>
      </c>
    </row>
    <row r="37" spans="1:5" ht="14">
      <c r="A37" s="163" t="s">
        <v>9152</v>
      </c>
      <c r="B37" s="163" t="s">
        <v>9147</v>
      </c>
      <c r="C37" s="163" t="s">
        <v>9148</v>
      </c>
      <c r="D37" s="164" t="s">
        <v>9149</v>
      </c>
      <c r="E37" s="163" t="s">
        <v>9088</v>
      </c>
    </row>
    <row r="38" spans="1:5" ht="14">
      <c r="A38" s="163" t="s">
        <v>9159</v>
      </c>
      <c r="B38" s="163" t="s">
        <v>9155</v>
      </c>
      <c r="C38" s="163" t="s">
        <v>9148</v>
      </c>
      <c r="D38" s="164" t="s">
        <v>9156</v>
      </c>
      <c r="E38" s="163" t="s">
        <v>9088</v>
      </c>
    </row>
    <row r="39" spans="1:5" ht="14">
      <c r="A39" s="163" t="s">
        <v>9159</v>
      </c>
      <c r="B39" s="163" t="s">
        <v>9161</v>
      </c>
      <c r="C39" s="163" t="s">
        <v>9148</v>
      </c>
      <c r="D39" s="164" t="s">
        <v>9162</v>
      </c>
      <c r="E39" s="163" t="s">
        <v>9088</v>
      </c>
    </row>
    <row r="40" spans="1:5" ht="14">
      <c r="A40" s="163" t="s">
        <v>9169</v>
      </c>
      <c r="B40" s="163" t="s">
        <v>9165</v>
      </c>
      <c r="C40" s="163" t="s">
        <v>9148</v>
      </c>
      <c r="D40" s="164" t="s">
        <v>9166</v>
      </c>
      <c r="E40" s="163" t="s">
        <v>9088</v>
      </c>
    </row>
    <row r="41" spans="1:5" ht="14">
      <c r="A41" s="163" t="s">
        <v>9175</v>
      </c>
      <c r="B41" s="163" t="s">
        <v>9171</v>
      </c>
      <c r="C41" s="163" t="s">
        <v>9148</v>
      </c>
      <c r="D41" s="164" t="s">
        <v>9172</v>
      </c>
      <c r="E41" s="163" t="s">
        <v>9176</v>
      </c>
    </row>
    <row r="42" spans="1:5" ht="14">
      <c r="A42" s="163" t="s">
        <v>9152</v>
      </c>
      <c r="B42" s="163" t="s">
        <v>9178</v>
      </c>
      <c r="C42" s="163" t="s">
        <v>9148</v>
      </c>
      <c r="D42" s="164" t="s">
        <v>9179</v>
      </c>
      <c r="E42" s="163" t="s">
        <v>9088</v>
      </c>
    </row>
    <row r="43" spans="1:5" ht="14">
      <c r="A43" s="163" t="s">
        <v>9159</v>
      </c>
      <c r="B43" s="163" t="s">
        <v>9178</v>
      </c>
      <c r="C43" s="163" t="s">
        <v>9148</v>
      </c>
      <c r="D43" s="164" t="s">
        <v>9179</v>
      </c>
      <c r="E43" s="163" t="s">
        <v>9088</v>
      </c>
    </row>
    <row r="44" spans="1:5" ht="14">
      <c r="A44" s="163" t="s">
        <v>9152</v>
      </c>
      <c r="B44" s="163" t="s">
        <v>9185</v>
      </c>
      <c r="C44" s="163" t="s">
        <v>9148</v>
      </c>
      <c r="D44" s="164" t="s">
        <v>9186</v>
      </c>
      <c r="E44" s="163" t="s">
        <v>9176</v>
      </c>
    </row>
    <row r="45" spans="1:5" ht="14">
      <c r="A45" s="163" t="s">
        <v>9159</v>
      </c>
      <c r="B45" s="163" t="s">
        <v>9185</v>
      </c>
      <c r="C45" s="163" t="s">
        <v>9148</v>
      </c>
      <c r="D45" s="164" t="s">
        <v>9186</v>
      </c>
      <c r="E45" s="163" t="s">
        <v>9176</v>
      </c>
    </row>
    <row r="46" spans="1:5" ht="14">
      <c r="A46" s="163" t="s">
        <v>9152</v>
      </c>
      <c r="B46" s="163" t="s">
        <v>9190</v>
      </c>
      <c r="C46" s="163" t="s">
        <v>9148</v>
      </c>
      <c r="D46" s="164" t="s">
        <v>9191</v>
      </c>
      <c r="E46" s="163" t="s">
        <v>9176</v>
      </c>
    </row>
    <row r="47" spans="1:5" ht="14">
      <c r="A47" s="163" t="s">
        <v>9159</v>
      </c>
      <c r="B47" s="163" t="s">
        <v>9190</v>
      </c>
      <c r="C47" s="163" t="s">
        <v>9148</v>
      </c>
      <c r="D47" s="164" t="s">
        <v>9191</v>
      </c>
      <c r="E47" s="163" t="s">
        <v>9176</v>
      </c>
    </row>
    <row r="48" spans="1:5" ht="14">
      <c r="A48" s="163" t="s">
        <v>9805</v>
      </c>
      <c r="B48" s="163" t="s">
        <v>9190</v>
      </c>
      <c r="C48" s="163" t="s">
        <v>9148</v>
      </c>
      <c r="D48" s="164" t="s">
        <v>9191</v>
      </c>
      <c r="E48" s="163" t="s">
        <v>9176</v>
      </c>
    </row>
    <row r="49" spans="1:5" ht="14">
      <c r="A49" s="163" t="s">
        <v>9806</v>
      </c>
      <c r="B49" s="163" t="s">
        <v>9190</v>
      </c>
      <c r="C49" s="163" t="s">
        <v>9148</v>
      </c>
      <c r="D49" s="164" t="s">
        <v>9191</v>
      </c>
      <c r="E49" s="163" t="s">
        <v>9176</v>
      </c>
    </row>
    <row r="50" spans="1:5" ht="14">
      <c r="A50" s="163" t="s">
        <v>9152</v>
      </c>
      <c r="B50" s="163" t="s">
        <v>9195</v>
      </c>
      <c r="C50" s="163" t="s">
        <v>9148</v>
      </c>
      <c r="D50" s="164" t="s">
        <v>9196</v>
      </c>
      <c r="E50" s="163" t="s">
        <v>9176</v>
      </c>
    </row>
    <row r="51" spans="1:5" ht="14">
      <c r="A51" s="163" t="s">
        <v>9159</v>
      </c>
      <c r="B51" s="163" t="s">
        <v>9195</v>
      </c>
      <c r="C51" s="163" t="s">
        <v>9148</v>
      </c>
      <c r="D51" s="164" t="s">
        <v>9196</v>
      </c>
      <c r="E51" s="163" t="s">
        <v>9176</v>
      </c>
    </row>
    <row r="52" spans="1:5" ht="14">
      <c r="A52" s="163" t="s">
        <v>9804</v>
      </c>
      <c r="B52" s="163" t="s">
        <v>9195</v>
      </c>
      <c r="C52" s="163" t="s">
        <v>9148</v>
      </c>
      <c r="D52" s="164" t="s">
        <v>9196</v>
      </c>
      <c r="E52" s="163" t="s">
        <v>9176</v>
      </c>
    </row>
    <row r="53" spans="1:5" ht="14">
      <c r="A53" s="163" t="s">
        <v>9152</v>
      </c>
      <c r="B53" s="163" t="s">
        <v>9200</v>
      </c>
      <c r="C53" s="163" t="s">
        <v>9148</v>
      </c>
      <c r="D53" s="164" t="s">
        <v>9201</v>
      </c>
      <c r="E53" s="163" t="s">
        <v>9088</v>
      </c>
    </row>
    <row r="54" spans="1:5" ht="14">
      <c r="A54" s="163" t="s">
        <v>9159</v>
      </c>
      <c r="B54" s="163" t="s">
        <v>9200</v>
      </c>
      <c r="C54" s="163" t="s">
        <v>9148</v>
      </c>
      <c r="D54" s="164" t="s">
        <v>9201</v>
      </c>
      <c r="E54" s="163" t="s">
        <v>9088</v>
      </c>
    </row>
    <row r="55" spans="1:5" ht="14">
      <c r="A55" s="163" t="s">
        <v>9236</v>
      </c>
      <c r="B55" s="163" t="s">
        <v>9200</v>
      </c>
      <c r="C55" s="163" t="s">
        <v>9148</v>
      </c>
      <c r="D55" s="164" t="s">
        <v>9201</v>
      </c>
      <c r="E55" s="163" t="s">
        <v>9088</v>
      </c>
    </row>
    <row r="56" spans="1:5" ht="14">
      <c r="A56" s="163" t="s">
        <v>9159</v>
      </c>
      <c r="B56" s="163" t="s">
        <v>9206</v>
      </c>
      <c r="C56" s="163" t="s">
        <v>9148</v>
      </c>
      <c r="D56" s="164" t="s">
        <v>9207</v>
      </c>
      <c r="E56" s="163" t="s">
        <v>9088</v>
      </c>
    </row>
    <row r="57" spans="1:5" ht="14">
      <c r="A57" s="163" t="s">
        <v>9175</v>
      </c>
      <c r="B57" s="163" t="s">
        <v>9206</v>
      </c>
      <c r="C57" s="163" t="s">
        <v>9148</v>
      </c>
      <c r="D57" s="164" t="s">
        <v>9207</v>
      </c>
      <c r="E57" s="163" t="s">
        <v>9088</v>
      </c>
    </row>
    <row r="58" spans="1:5" ht="14">
      <c r="A58" s="163" t="s">
        <v>9159</v>
      </c>
      <c r="B58" s="163" t="s">
        <v>9213</v>
      </c>
      <c r="C58" s="163" t="s">
        <v>9148</v>
      </c>
      <c r="D58" s="164" t="s">
        <v>6009</v>
      </c>
      <c r="E58" s="163" t="s">
        <v>9088</v>
      </c>
    </row>
    <row r="59" spans="1:5" ht="14">
      <c r="A59" s="163" t="s">
        <v>9175</v>
      </c>
      <c r="B59" s="163" t="s">
        <v>9213</v>
      </c>
      <c r="C59" s="163" t="s">
        <v>9148</v>
      </c>
      <c r="D59" s="164" t="s">
        <v>6009</v>
      </c>
      <c r="E59" s="163" t="s">
        <v>9088</v>
      </c>
    </row>
    <row r="60" spans="1:5" ht="14">
      <c r="A60" s="163" t="s">
        <v>9159</v>
      </c>
      <c r="B60" s="163" t="s">
        <v>9216</v>
      </c>
      <c r="C60" s="163" t="s">
        <v>9148</v>
      </c>
      <c r="D60" s="164" t="s">
        <v>9217</v>
      </c>
      <c r="E60" s="163" t="s">
        <v>9088</v>
      </c>
    </row>
    <row r="61" spans="1:5" ht="14">
      <c r="A61" s="163" t="s">
        <v>9175</v>
      </c>
      <c r="B61" s="163" t="s">
        <v>9216</v>
      </c>
      <c r="C61" s="163" t="s">
        <v>9148</v>
      </c>
      <c r="D61" s="164" t="s">
        <v>9217</v>
      </c>
      <c r="E61" s="163" t="s">
        <v>9088</v>
      </c>
    </row>
    <row r="62" spans="1:5" ht="14">
      <c r="A62" s="163" t="s">
        <v>9236</v>
      </c>
      <c r="B62" s="163" t="s">
        <v>9216</v>
      </c>
      <c r="C62" s="163" t="s">
        <v>9148</v>
      </c>
      <c r="D62" s="164" t="s">
        <v>9217</v>
      </c>
      <c r="E62" s="163" t="s">
        <v>9088</v>
      </c>
    </row>
    <row r="63" spans="1:5" ht="14">
      <c r="A63" s="163" t="s">
        <v>9159</v>
      </c>
      <c r="B63" s="163" t="s">
        <v>9222</v>
      </c>
      <c r="C63" s="163" t="s">
        <v>9148</v>
      </c>
      <c r="D63" s="164" t="s">
        <v>9223</v>
      </c>
      <c r="E63" s="163" t="s">
        <v>9176</v>
      </c>
    </row>
    <row r="64" spans="1:5" ht="14">
      <c r="A64" s="163" t="s">
        <v>9175</v>
      </c>
      <c r="B64" s="163" t="s">
        <v>9222</v>
      </c>
      <c r="C64" s="163" t="s">
        <v>9148</v>
      </c>
      <c r="D64" s="164" t="s">
        <v>9223</v>
      </c>
      <c r="E64" s="163" t="s">
        <v>9176</v>
      </c>
    </row>
    <row r="65" spans="1:5" ht="14">
      <c r="A65" s="163" t="s">
        <v>9805</v>
      </c>
      <c r="B65" s="163" t="s">
        <v>9222</v>
      </c>
      <c r="C65" s="163" t="s">
        <v>9148</v>
      </c>
      <c r="D65" s="164" t="s">
        <v>9223</v>
      </c>
      <c r="E65" s="163" t="s">
        <v>9176</v>
      </c>
    </row>
    <row r="66" spans="1:5" ht="14">
      <c r="A66" s="163" t="s">
        <v>9806</v>
      </c>
      <c r="B66" s="163" t="s">
        <v>9222</v>
      </c>
      <c r="C66" s="163" t="s">
        <v>9148</v>
      </c>
      <c r="D66" s="164" t="s">
        <v>9223</v>
      </c>
      <c r="E66" s="163" t="s">
        <v>9176</v>
      </c>
    </row>
    <row r="67" spans="1:5" ht="14">
      <c r="A67" s="163" t="s">
        <v>9159</v>
      </c>
      <c r="B67" s="163" t="s">
        <v>9228</v>
      </c>
      <c r="C67" s="163" t="s">
        <v>9148</v>
      </c>
      <c r="D67" s="164" t="s">
        <v>9229</v>
      </c>
      <c r="E67" s="163" t="s">
        <v>9088</v>
      </c>
    </row>
    <row r="68" spans="1:5" ht="14">
      <c r="A68" s="163" t="s">
        <v>9175</v>
      </c>
      <c r="B68" s="163" t="s">
        <v>9228</v>
      </c>
      <c r="C68" s="163" t="s">
        <v>9148</v>
      </c>
      <c r="D68" s="164" t="s">
        <v>9229</v>
      </c>
      <c r="E68" s="163" t="s">
        <v>9088</v>
      </c>
    </row>
    <row r="69" spans="1:5" ht="14">
      <c r="A69" s="163" t="s">
        <v>9236</v>
      </c>
      <c r="B69" s="163" t="s">
        <v>9228</v>
      </c>
      <c r="C69" s="163" t="s">
        <v>9148</v>
      </c>
      <c r="D69" s="164" t="s">
        <v>9229</v>
      </c>
      <c r="E69" s="163" t="s">
        <v>9088</v>
      </c>
    </row>
    <row r="70" spans="1:5" ht="14">
      <c r="A70" s="163" t="s">
        <v>9236</v>
      </c>
      <c r="B70" s="163" t="s">
        <v>9232</v>
      </c>
      <c r="C70" s="163" t="s">
        <v>9148</v>
      </c>
      <c r="D70" s="164" t="s">
        <v>9233</v>
      </c>
      <c r="E70" s="163" t="s">
        <v>9088</v>
      </c>
    </row>
    <row r="71" spans="1:5" ht="14">
      <c r="A71" s="163" t="s">
        <v>9236</v>
      </c>
      <c r="B71" s="163" t="s">
        <v>9239</v>
      </c>
      <c r="C71" s="163" t="s">
        <v>9148</v>
      </c>
      <c r="D71" s="164" t="s">
        <v>9240</v>
      </c>
      <c r="E71" s="163" t="s">
        <v>9088</v>
      </c>
    </row>
    <row r="72" spans="1:5" ht="14">
      <c r="A72" s="163" t="s">
        <v>9159</v>
      </c>
      <c r="B72" s="163" t="s">
        <v>9243</v>
      </c>
      <c r="C72" s="163" t="s">
        <v>9148</v>
      </c>
      <c r="D72" s="164" t="s">
        <v>9244</v>
      </c>
      <c r="E72" s="163" t="s">
        <v>9176</v>
      </c>
    </row>
    <row r="73" spans="1:5" ht="14">
      <c r="A73" s="163" t="s">
        <v>9253</v>
      </c>
      <c r="B73" s="163" t="s">
        <v>9249</v>
      </c>
      <c r="C73" s="163" t="s">
        <v>9148</v>
      </c>
      <c r="D73" s="164" t="s">
        <v>9250</v>
      </c>
      <c r="E73" s="163" t="s">
        <v>9088</v>
      </c>
    </row>
    <row r="74" spans="1:5" ht="14">
      <c r="A74" s="163" t="s">
        <v>9259</v>
      </c>
      <c r="B74" s="163" t="s">
        <v>9255</v>
      </c>
      <c r="C74" s="163" t="s">
        <v>9148</v>
      </c>
      <c r="D74" s="164" t="s">
        <v>9256</v>
      </c>
      <c r="E74" s="163" t="s">
        <v>9088</v>
      </c>
    </row>
    <row r="75" spans="1:5" ht="14">
      <c r="A75" s="163" t="s">
        <v>9804</v>
      </c>
      <c r="B75" s="163" t="s">
        <v>9262</v>
      </c>
      <c r="C75" s="163" t="s">
        <v>9148</v>
      </c>
      <c r="D75" s="164" t="s">
        <v>9263</v>
      </c>
      <c r="E75" s="163" t="s">
        <v>9088</v>
      </c>
    </row>
    <row r="76" spans="1:5" ht="14">
      <c r="A76" s="163" t="s">
        <v>9259</v>
      </c>
      <c r="B76" s="163" t="s">
        <v>9262</v>
      </c>
      <c r="C76" s="163" t="s">
        <v>9148</v>
      </c>
      <c r="D76" s="164" t="s">
        <v>9263</v>
      </c>
      <c r="E76" s="163" t="s">
        <v>9088</v>
      </c>
    </row>
    <row r="77" spans="1:5" ht="14">
      <c r="A77" s="163" t="s">
        <v>9804</v>
      </c>
      <c r="B77" s="163" t="s">
        <v>9268</v>
      </c>
      <c r="C77" s="163" t="s">
        <v>9148</v>
      </c>
      <c r="D77" s="164" t="s">
        <v>9269</v>
      </c>
      <c r="E77" s="163" t="s">
        <v>9176</v>
      </c>
    </row>
    <row r="78" spans="1:5" ht="14">
      <c r="A78" s="163" t="s">
        <v>9259</v>
      </c>
      <c r="B78" s="163" t="s">
        <v>9268</v>
      </c>
      <c r="C78" s="163" t="s">
        <v>9148</v>
      </c>
      <c r="D78" s="164" t="s">
        <v>9269</v>
      </c>
      <c r="E78" s="163" t="s">
        <v>9176</v>
      </c>
    </row>
    <row r="79" spans="1:5" ht="14">
      <c r="A79" s="163" t="s">
        <v>9159</v>
      </c>
      <c r="B79" s="163" t="s">
        <v>9273</v>
      </c>
      <c r="C79" s="163" t="s">
        <v>9148</v>
      </c>
      <c r="D79" s="164" t="s">
        <v>6790</v>
      </c>
      <c r="E79" s="163" t="s">
        <v>9176</v>
      </c>
    </row>
    <row r="80" spans="1:5" ht="14">
      <c r="A80" s="163" t="s">
        <v>9159</v>
      </c>
      <c r="B80" s="163" t="s">
        <v>9276</v>
      </c>
      <c r="C80" s="163" t="s">
        <v>9148</v>
      </c>
      <c r="D80" s="164" t="s">
        <v>9277</v>
      </c>
      <c r="E80" s="163" t="s">
        <v>9176</v>
      </c>
    </row>
    <row r="81" spans="1:5" ht="14">
      <c r="A81" s="163" t="s">
        <v>9285</v>
      </c>
      <c r="B81" s="163" t="s">
        <v>9280</v>
      </c>
      <c r="C81" s="163" t="s">
        <v>9148</v>
      </c>
      <c r="D81" s="164" t="s">
        <v>9281</v>
      </c>
      <c r="E81" s="163" t="s">
        <v>9074</v>
      </c>
    </row>
    <row r="82" spans="1:5" ht="14">
      <c r="A82" s="163" t="s">
        <v>9285</v>
      </c>
      <c r="B82" s="163" t="s">
        <v>9287</v>
      </c>
      <c r="C82" s="163" t="s">
        <v>9148</v>
      </c>
      <c r="D82" s="164" t="s">
        <v>7894</v>
      </c>
      <c r="E82" s="163" t="s">
        <v>9074</v>
      </c>
    </row>
    <row r="83" spans="1:5" ht="14">
      <c r="A83" s="163" t="s">
        <v>9285</v>
      </c>
      <c r="B83" s="163" t="s">
        <v>9290</v>
      </c>
      <c r="C83" s="163" t="s">
        <v>9148</v>
      </c>
      <c r="D83" s="164" t="s">
        <v>9291</v>
      </c>
      <c r="E83" s="163" t="s">
        <v>9074</v>
      </c>
    </row>
    <row r="84" spans="1:5" ht="14">
      <c r="A84" s="163" t="s">
        <v>9285</v>
      </c>
      <c r="B84" s="163" t="s">
        <v>9294</v>
      </c>
      <c r="C84" s="163" t="s">
        <v>9148</v>
      </c>
      <c r="D84" s="164" t="s">
        <v>7897</v>
      </c>
      <c r="E84" s="163" t="s">
        <v>9074</v>
      </c>
    </row>
    <row r="85" spans="1:5" ht="14">
      <c r="A85" s="163" t="s">
        <v>9301</v>
      </c>
      <c r="B85" s="163" t="s">
        <v>9297</v>
      </c>
      <c r="C85" s="163" t="s">
        <v>9148</v>
      </c>
      <c r="D85" s="164" t="s">
        <v>9298</v>
      </c>
      <c r="E85" s="163" t="s">
        <v>9088</v>
      </c>
    </row>
    <row r="86" spans="1:5" ht="14">
      <c r="A86" s="163" t="s">
        <v>9301</v>
      </c>
      <c r="B86" s="163" t="s">
        <v>9304</v>
      </c>
      <c r="C86" s="163" t="s">
        <v>9148</v>
      </c>
      <c r="D86" s="164" t="s">
        <v>9305</v>
      </c>
      <c r="E86" s="163" t="s">
        <v>9088</v>
      </c>
    </row>
    <row r="87" spans="1:5" ht="14">
      <c r="A87" s="163" t="s">
        <v>9159</v>
      </c>
      <c r="B87" s="163" t="s">
        <v>9308</v>
      </c>
      <c r="C87" s="163" t="s">
        <v>9148</v>
      </c>
      <c r="D87" s="164" t="s">
        <v>9309</v>
      </c>
      <c r="E87" s="163" t="s">
        <v>9088</v>
      </c>
    </row>
    <row r="88" spans="1:5" ht="14">
      <c r="A88" s="163" t="s">
        <v>9805</v>
      </c>
      <c r="B88" s="163" t="s">
        <v>9313</v>
      </c>
      <c r="C88" s="163" t="s">
        <v>9148</v>
      </c>
      <c r="D88" s="164" t="s">
        <v>9314</v>
      </c>
      <c r="E88" s="163" t="s">
        <v>9088</v>
      </c>
    </row>
    <row r="89" spans="1:5" ht="14">
      <c r="A89" s="163" t="s">
        <v>9806</v>
      </c>
      <c r="B89" s="163" t="s">
        <v>9313</v>
      </c>
      <c r="C89" s="163" t="s">
        <v>9148</v>
      </c>
      <c r="D89" s="164" t="s">
        <v>9314</v>
      </c>
      <c r="E89" s="163" t="s">
        <v>9088</v>
      </c>
    </row>
    <row r="90" spans="1:5" ht="14">
      <c r="A90" s="163" t="s">
        <v>9805</v>
      </c>
      <c r="B90" s="163" t="s">
        <v>9319</v>
      </c>
      <c r="C90" s="163" t="s">
        <v>9320</v>
      </c>
      <c r="D90" s="164" t="s">
        <v>9321</v>
      </c>
      <c r="E90" s="163" t="s">
        <v>9088</v>
      </c>
    </row>
    <row r="91" spans="1:5" ht="14">
      <c r="A91" s="163" t="s">
        <v>9807</v>
      </c>
      <c r="B91" s="163" t="s">
        <v>9319</v>
      </c>
      <c r="C91" s="163" t="s">
        <v>9320</v>
      </c>
      <c r="D91" s="164" t="s">
        <v>9321</v>
      </c>
      <c r="E91" s="163" t="s">
        <v>9088</v>
      </c>
    </row>
    <row r="92" spans="1:5" ht="14">
      <c r="A92" s="163" t="s">
        <v>9805</v>
      </c>
      <c r="B92" s="163" t="s">
        <v>9326</v>
      </c>
      <c r="C92" s="163" t="s">
        <v>9320</v>
      </c>
      <c r="D92" s="164" t="s">
        <v>9327</v>
      </c>
      <c r="E92" s="163" t="s">
        <v>9088</v>
      </c>
    </row>
    <row r="93" spans="1:5" ht="14">
      <c r="A93" s="163" t="s">
        <v>9807</v>
      </c>
      <c r="B93" s="163" t="s">
        <v>9326</v>
      </c>
      <c r="C93" s="163" t="s">
        <v>9320</v>
      </c>
      <c r="D93" s="164" t="s">
        <v>9327</v>
      </c>
      <c r="E93" s="163" t="s">
        <v>9088</v>
      </c>
    </row>
    <row r="94" spans="1:5" ht="14">
      <c r="A94" s="163" t="s">
        <v>9805</v>
      </c>
      <c r="B94" s="163" t="s">
        <v>9330</v>
      </c>
      <c r="C94" s="163" t="s">
        <v>9320</v>
      </c>
      <c r="D94" s="164" t="s">
        <v>6811</v>
      </c>
      <c r="E94" s="163" t="s">
        <v>9088</v>
      </c>
    </row>
    <row r="95" spans="1:5" ht="14">
      <c r="A95" s="163" t="s">
        <v>9807</v>
      </c>
      <c r="B95" s="163" t="s">
        <v>9330</v>
      </c>
      <c r="C95" s="163" t="s">
        <v>9320</v>
      </c>
      <c r="D95" s="164" t="s">
        <v>6811</v>
      </c>
      <c r="E95" s="163" t="s">
        <v>9088</v>
      </c>
    </row>
    <row r="96" spans="1:5" ht="14">
      <c r="A96" s="163" t="s">
        <v>9339</v>
      </c>
      <c r="B96" s="163" t="s">
        <v>9333</v>
      </c>
      <c r="C96" s="163" t="s">
        <v>9334</v>
      </c>
      <c r="D96" s="164" t="s">
        <v>9335</v>
      </c>
      <c r="E96" s="163" t="s">
        <v>9074</v>
      </c>
    </row>
    <row r="97" spans="1:5" ht="14">
      <c r="A97" s="163" t="s">
        <v>9339</v>
      </c>
      <c r="B97" s="163" t="s">
        <v>9342</v>
      </c>
      <c r="C97" s="163" t="s">
        <v>9334</v>
      </c>
      <c r="D97" s="164" t="s">
        <v>9343</v>
      </c>
      <c r="E97" s="163" t="s">
        <v>9074</v>
      </c>
    </row>
    <row r="98" spans="1:5" ht="14">
      <c r="A98" s="163" t="s">
        <v>9339</v>
      </c>
      <c r="B98" s="163" t="s">
        <v>9348</v>
      </c>
      <c r="C98" s="163" t="s">
        <v>9334</v>
      </c>
      <c r="D98" s="164" t="s">
        <v>9349</v>
      </c>
      <c r="E98" s="163" t="s">
        <v>9074</v>
      </c>
    </row>
    <row r="99" spans="1:5" ht="14">
      <c r="A99" s="163" t="s">
        <v>9339</v>
      </c>
      <c r="B99" s="163" t="s">
        <v>9354</v>
      </c>
      <c r="C99" s="163" t="s">
        <v>9334</v>
      </c>
      <c r="D99" s="164" t="s">
        <v>9355</v>
      </c>
      <c r="E99" s="163" t="s">
        <v>9074</v>
      </c>
    </row>
    <row r="100" spans="1:5" ht="14">
      <c r="A100" s="163" t="s">
        <v>9339</v>
      </c>
      <c r="B100" s="163" t="s">
        <v>9360</v>
      </c>
      <c r="C100" s="163" t="s">
        <v>9334</v>
      </c>
      <c r="D100" s="164" t="s">
        <v>9361</v>
      </c>
      <c r="E100" s="163" t="s">
        <v>9074</v>
      </c>
    </row>
    <row r="101" spans="1:5" ht="14">
      <c r="A101" s="163" t="s">
        <v>9339</v>
      </c>
      <c r="B101" s="163" t="s">
        <v>9366</v>
      </c>
      <c r="C101" s="163" t="s">
        <v>9334</v>
      </c>
      <c r="D101" s="164" t="s">
        <v>9367</v>
      </c>
      <c r="E101" s="163" t="s">
        <v>9074</v>
      </c>
    </row>
    <row r="102" spans="1:5" ht="14">
      <c r="A102" s="163" t="s">
        <v>9339</v>
      </c>
      <c r="B102" s="163" t="s">
        <v>9372</v>
      </c>
      <c r="C102" s="163" t="s">
        <v>9334</v>
      </c>
      <c r="D102" s="164" t="s">
        <v>9373</v>
      </c>
      <c r="E102" s="163" t="s">
        <v>9074</v>
      </c>
    </row>
    <row r="103" spans="1:5" ht="14">
      <c r="A103" s="163" t="s">
        <v>9808</v>
      </c>
      <c r="B103" s="163" t="s">
        <v>9372</v>
      </c>
      <c r="C103" s="163" t="s">
        <v>9334</v>
      </c>
      <c r="D103" s="164" t="s">
        <v>9373</v>
      </c>
      <c r="E103" s="163" t="s">
        <v>9074</v>
      </c>
    </row>
    <row r="104" spans="1:5" ht="14">
      <c r="A104" s="163" t="s">
        <v>9339</v>
      </c>
      <c r="B104" s="163" t="s">
        <v>9379</v>
      </c>
      <c r="C104" s="163" t="s">
        <v>9334</v>
      </c>
      <c r="D104" s="164" t="s">
        <v>9380</v>
      </c>
      <c r="E104" s="163" t="s">
        <v>9074</v>
      </c>
    </row>
    <row r="105" spans="1:5" ht="14">
      <c r="A105" s="163" t="s">
        <v>9339</v>
      </c>
      <c r="B105" s="163" t="s">
        <v>9385</v>
      </c>
      <c r="C105" s="163" t="s">
        <v>9334</v>
      </c>
      <c r="D105" s="164" t="s">
        <v>9386</v>
      </c>
      <c r="E105" s="163" t="s">
        <v>9074</v>
      </c>
    </row>
    <row r="106" spans="1:5" ht="14">
      <c r="A106" s="163" t="s">
        <v>9809</v>
      </c>
      <c r="B106" s="163" t="s">
        <v>9385</v>
      </c>
      <c r="C106" s="163" t="s">
        <v>9334</v>
      </c>
      <c r="D106" s="164" t="s">
        <v>9386</v>
      </c>
      <c r="E106" s="163" t="s">
        <v>9074</v>
      </c>
    </row>
    <row r="107" spans="1:5" ht="14">
      <c r="A107" s="163" t="s">
        <v>9339</v>
      </c>
      <c r="B107" s="163" t="s">
        <v>9392</v>
      </c>
      <c r="C107" s="163" t="s">
        <v>9334</v>
      </c>
      <c r="D107" s="164" t="s">
        <v>9393</v>
      </c>
      <c r="E107" s="163" t="s">
        <v>9074</v>
      </c>
    </row>
    <row r="108" spans="1:5" ht="14">
      <c r="A108" s="163" t="s">
        <v>9403</v>
      </c>
      <c r="B108" s="163" t="s">
        <v>9398</v>
      </c>
      <c r="C108" s="163" t="s">
        <v>9399</v>
      </c>
      <c r="D108" s="164" t="s">
        <v>9400</v>
      </c>
      <c r="E108" s="163" t="s">
        <v>9088</v>
      </c>
    </row>
    <row r="109" spans="1:5" ht="14">
      <c r="A109" s="163" t="s">
        <v>9403</v>
      </c>
      <c r="B109" s="163" t="s">
        <v>9405</v>
      </c>
      <c r="C109" s="163" t="s">
        <v>9399</v>
      </c>
      <c r="D109" s="164" t="s">
        <v>9406</v>
      </c>
      <c r="E109" s="163" t="s">
        <v>9074</v>
      </c>
    </row>
    <row r="110" spans="1:5" ht="14">
      <c r="A110" s="163" t="s">
        <v>9810</v>
      </c>
      <c r="B110" s="163" t="s">
        <v>9405</v>
      </c>
      <c r="C110" s="163" t="s">
        <v>9399</v>
      </c>
      <c r="D110" s="164" t="s">
        <v>9406</v>
      </c>
      <c r="E110" s="163" t="s">
        <v>9074</v>
      </c>
    </row>
    <row r="111" spans="1:5" ht="14">
      <c r="A111" s="163" t="s">
        <v>9811</v>
      </c>
      <c r="B111" s="163" t="s">
        <v>9405</v>
      </c>
      <c r="C111" s="163" t="s">
        <v>9399</v>
      </c>
      <c r="D111" s="164" t="s">
        <v>9406</v>
      </c>
      <c r="E111" s="163" t="s">
        <v>9074</v>
      </c>
    </row>
    <row r="112" spans="1:5" ht="14">
      <c r="A112" s="163" t="s">
        <v>9403</v>
      </c>
      <c r="B112" s="163" t="s">
        <v>9412</v>
      </c>
      <c r="C112" s="163" t="s">
        <v>9399</v>
      </c>
      <c r="D112" s="164" t="s">
        <v>9413</v>
      </c>
      <c r="E112" s="163" t="s">
        <v>9074</v>
      </c>
    </row>
    <row r="113" spans="1:5" ht="14">
      <c r="A113" s="163" t="s">
        <v>9804</v>
      </c>
      <c r="B113" s="163" t="s">
        <v>9412</v>
      </c>
      <c r="C113" s="163" t="s">
        <v>9399</v>
      </c>
      <c r="D113" s="164" t="s">
        <v>9413</v>
      </c>
      <c r="E113" s="163" t="s">
        <v>9074</v>
      </c>
    </row>
    <row r="114" spans="1:5" ht="14">
      <c r="A114" s="163" t="s">
        <v>9259</v>
      </c>
      <c r="B114" s="163" t="s">
        <v>9412</v>
      </c>
      <c r="C114" s="163" t="s">
        <v>9399</v>
      </c>
      <c r="D114" s="164" t="s">
        <v>9413</v>
      </c>
      <c r="E114" s="163" t="s">
        <v>9074</v>
      </c>
    </row>
    <row r="115" spans="1:5" ht="14">
      <c r="A115" s="163" t="s">
        <v>9403</v>
      </c>
      <c r="B115" s="163" t="s">
        <v>9419</v>
      </c>
      <c r="C115" s="163" t="s">
        <v>9399</v>
      </c>
      <c r="D115" s="164" t="s">
        <v>9420</v>
      </c>
      <c r="E115" s="163" t="s">
        <v>9176</v>
      </c>
    </row>
    <row r="116" spans="1:5" ht="14">
      <c r="A116" s="163" t="s">
        <v>9804</v>
      </c>
      <c r="B116" s="163" t="s">
        <v>9419</v>
      </c>
      <c r="C116" s="163" t="s">
        <v>9399</v>
      </c>
      <c r="D116" s="164" t="s">
        <v>9420</v>
      </c>
      <c r="E116" s="163" t="s">
        <v>9176</v>
      </c>
    </row>
    <row r="117" spans="1:5" ht="14">
      <c r="A117" s="163" t="s">
        <v>9259</v>
      </c>
      <c r="B117" s="163" t="s">
        <v>9419</v>
      </c>
      <c r="C117" s="163" t="s">
        <v>9399</v>
      </c>
      <c r="D117" s="164" t="s">
        <v>9420</v>
      </c>
      <c r="E117" s="163" t="s">
        <v>9176</v>
      </c>
    </row>
    <row r="118" spans="1:5" ht="14">
      <c r="A118" s="163" t="s">
        <v>9403</v>
      </c>
      <c r="B118" s="163" t="s">
        <v>9423</v>
      </c>
      <c r="C118" s="163" t="s">
        <v>9399</v>
      </c>
      <c r="D118" s="164" t="s">
        <v>9424</v>
      </c>
      <c r="E118" s="163" t="s">
        <v>9074</v>
      </c>
    </row>
    <row r="119" spans="1:5" ht="14">
      <c r="A119" s="163" t="s">
        <v>9804</v>
      </c>
      <c r="B119" s="163" t="s">
        <v>9423</v>
      </c>
      <c r="C119" s="163" t="s">
        <v>9399</v>
      </c>
      <c r="D119" s="164" t="s">
        <v>9424</v>
      </c>
      <c r="E119" s="163" t="s">
        <v>9074</v>
      </c>
    </row>
    <row r="120" spans="1:5" ht="14">
      <c r="A120" s="163" t="s">
        <v>9259</v>
      </c>
      <c r="B120" s="163" t="s">
        <v>9423</v>
      </c>
      <c r="C120" s="163" t="s">
        <v>9399</v>
      </c>
      <c r="D120" s="164" t="s">
        <v>9424</v>
      </c>
      <c r="E120" s="163" t="s">
        <v>9074</v>
      </c>
    </row>
    <row r="121" spans="1:5" ht="14">
      <c r="A121" s="163" t="s">
        <v>9403</v>
      </c>
      <c r="B121" s="163" t="s">
        <v>9429</v>
      </c>
      <c r="C121" s="163" t="s">
        <v>9399</v>
      </c>
      <c r="D121" s="164" t="s">
        <v>9430</v>
      </c>
      <c r="E121" s="163" t="s">
        <v>9074</v>
      </c>
    </row>
    <row r="122" spans="1:5" ht="14">
      <c r="A122" s="163" t="s">
        <v>9804</v>
      </c>
      <c r="B122" s="163" t="s">
        <v>9429</v>
      </c>
      <c r="C122" s="163" t="s">
        <v>9399</v>
      </c>
      <c r="D122" s="164" t="s">
        <v>9430</v>
      </c>
      <c r="E122" s="163" t="s">
        <v>9074</v>
      </c>
    </row>
    <row r="123" spans="1:5" ht="14">
      <c r="A123" s="163" t="s">
        <v>9259</v>
      </c>
      <c r="B123" s="163" t="s">
        <v>9429</v>
      </c>
      <c r="C123" s="163" t="s">
        <v>9399</v>
      </c>
      <c r="D123" s="164" t="s">
        <v>9430</v>
      </c>
      <c r="E123" s="163" t="s">
        <v>9074</v>
      </c>
    </row>
    <row r="124" spans="1:5" ht="14">
      <c r="A124" s="163" t="s">
        <v>9403</v>
      </c>
      <c r="B124" s="163" t="s">
        <v>9435</v>
      </c>
      <c r="C124" s="163" t="s">
        <v>9399</v>
      </c>
      <c r="D124" s="164" t="s">
        <v>9436</v>
      </c>
      <c r="E124" s="163" t="s">
        <v>9074</v>
      </c>
    </row>
    <row r="125" spans="1:5" ht="14">
      <c r="A125" s="163" t="s">
        <v>9403</v>
      </c>
      <c r="B125" s="163" t="s">
        <v>9440</v>
      </c>
      <c r="C125" s="163" t="s">
        <v>6064</v>
      </c>
      <c r="D125" s="164" t="s">
        <v>9441</v>
      </c>
      <c r="E125" s="163" t="s">
        <v>9088</v>
      </c>
    </row>
    <row r="126" spans="1:5" ht="14">
      <c r="A126" s="163" t="s">
        <v>9801</v>
      </c>
      <c r="B126" s="163" t="s">
        <v>9440</v>
      </c>
      <c r="C126" s="163" t="s">
        <v>6064</v>
      </c>
      <c r="D126" s="164" t="s">
        <v>9441</v>
      </c>
      <c r="E126" s="163" t="s">
        <v>9088</v>
      </c>
    </row>
    <row r="127" spans="1:5" ht="14">
      <c r="A127" s="163" t="s">
        <v>9403</v>
      </c>
      <c r="B127" s="163" t="s">
        <v>9447</v>
      </c>
      <c r="C127" s="163" t="s">
        <v>6064</v>
      </c>
      <c r="D127" s="164" t="s">
        <v>9448</v>
      </c>
      <c r="E127" s="163" t="s">
        <v>9088</v>
      </c>
    </row>
    <row r="128" spans="1:5" ht="14">
      <c r="A128" s="163" t="s">
        <v>9403</v>
      </c>
      <c r="B128" s="163" t="s">
        <v>9451</v>
      </c>
      <c r="C128" s="163" t="s">
        <v>6064</v>
      </c>
      <c r="D128" s="164" t="s">
        <v>9452</v>
      </c>
      <c r="E128" s="163" t="s">
        <v>9088</v>
      </c>
    </row>
    <row r="129" spans="1:5" ht="14">
      <c r="A129" s="163" t="s">
        <v>9403</v>
      </c>
      <c r="B129" s="163" t="s">
        <v>9455</v>
      </c>
      <c r="C129" s="163" t="s">
        <v>6064</v>
      </c>
      <c r="D129" s="164" t="s">
        <v>9456</v>
      </c>
      <c r="E129" s="163" t="s">
        <v>9088</v>
      </c>
    </row>
    <row r="130" spans="1:5" ht="14">
      <c r="A130" s="163" t="s">
        <v>9403</v>
      </c>
      <c r="B130" s="163" t="s">
        <v>9459</v>
      </c>
      <c r="C130" s="163" t="s">
        <v>6064</v>
      </c>
      <c r="D130" s="164" t="s">
        <v>9460</v>
      </c>
      <c r="E130" s="163" t="s">
        <v>9088</v>
      </c>
    </row>
    <row r="131" spans="1:5" ht="14">
      <c r="A131" s="163" t="s">
        <v>9236</v>
      </c>
      <c r="B131" s="163" t="s">
        <v>9459</v>
      </c>
      <c r="C131" s="163" t="s">
        <v>6064</v>
      </c>
      <c r="D131" s="164" t="s">
        <v>9460</v>
      </c>
      <c r="E131" s="163" t="s">
        <v>9088</v>
      </c>
    </row>
    <row r="132" spans="1:5" ht="14">
      <c r="A132" s="163" t="s">
        <v>9403</v>
      </c>
      <c r="B132" s="163" t="s">
        <v>9465</v>
      </c>
      <c r="C132" s="163" t="s">
        <v>6064</v>
      </c>
      <c r="D132" s="164" t="s">
        <v>9466</v>
      </c>
      <c r="E132" s="163" t="s">
        <v>9088</v>
      </c>
    </row>
    <row r="133" spans="1:5" ht="14">
      <c r="A133" s="163" t="s">
        <v>9236</v>
      </c>
      <c r="B133" s="163" t="s">
        <v>9465</v>
      </c>
      <c r="C133" s="163" t="s">
        <v>6064</v>
      </c>
      <c r="D133" s="164" t="s">
        <v>9466</v>
      </c>
      <c r="E133" s="163" t="s">
        <v>9088</v>
      </c>
    </row>
    <row r="134" spans="1:5" ht="14">
      <c r="A134" s="163" t="s">
        <v>9403</v>
      </c>
      <c r="B134" s="163" t="s">
        <v>9469</v>
      </c>
      <c r="C134" s="163" t="s">
        <v>6064</v>
      </c>
      <c r="D134" s="164" t="s">
        <v>9470</v>
      </c>
      <c r="E134" s="163" t="s">
        <v>9088</v>
      </c>
    </row>
    <row r="135" spans="1:5" ht="14">
      <c r="A135" s="163" t="s">
        <v>9812</v>
      </c>
      <c r="B135" s="163" t="s">
        <v>9469</v>
      </c>
      <c r="C135" s="163" t="s">
        <v>6064</v>
      </c>
      <c r="D135" s="164" t="s">
        <v>9470</v>
      </c>
      <c r="E135" s="163" t="s">
        <v>9088</v>
      </c>
    </row>
    <row r="136" spans="1:5" ht="14">
      <c r="A136" s="163" t="s">
        <v>9801</v>
      </c>
      <c r="B136" s="163" t="s">
        <v>9469</v>
      </c>
      <c r="C136" s="163" t="s">
        <v>6064</v>
      </c>
      <c r="D136" s="164" t="s">
        <v>9470</v>
      </c>
      <c r="E136" s="163" t="s">
        <v>9088</v>
      </c>
    </row>
    <row r="137" spans="1:5" ht="14">
      <c r="A137" s="163" t="s">
        <v>9813</v>
      </c>
      <c r="B137" s="163" t="s">
        <v>9469</v>
      </c>
      <c r="C137" s="163" t="s">
        <v>6064</v>
      </c>
      <c r="D137" s="164" t="s">
        <v>9470</v>
      </c>
      <c r="E137" s="163" t="s">
        <v>9088</v>
      </c>
    </row>
    <row r="138" spans="1:5" ht="14">
      <c r="A138" s="163" t="s">
        <v>9403</v>
      </c>
      <c r="B138" s="163" t="s">
        <v>9475</v>
      </c>
      <c r="C138" s="163" t="s">
        <v>6064</v>
      </c>
      <c r="D138" s="164" t="s">
        <v>9476</v>
      </c>
      <c r="E138" s="163" t="s">
        <v>9088</v>
      </c>
    </row>
    <row r="139" spans="1:5" ht="14">
      <c r="A139" s="163" t="s">
        <v>9236</v>
      </c>
      <c r="B139" s="163" t="s">
        <v>9475</v>
      </c>
      <c r="C139" s="163" t="s">
        <v>6064</v>
      </c>
      <c r="D139" s="164" t="s">
        <v>9476</v>
      </c>
      <c r="E139" s="163" t="s">
        <v>9088</v>
      </c>
    </row>
    <row r="140" spans="1:5" ht="14">
      <c r="A140" s="163" t="s">
        <v>9812</v>
      </c>
      <c r="B140" s="163" t="s">
        <v>9475</v>
      </c>
      <c r="C140" s="163" t="s">
        <v>6064</v>
      </c>
      <c r="D140" s="164" t="s">
        <v>9476</v>
      </c>
      <c r="E140" s="163" t="s">
        <v>9088</v>
      </c>
    </row>
    <row r="141" spans="1:5" ht="14">
      <c r="A141" s="163" t="s">
        <v>9801</v>
      </c>
      <c r="B141" s="163" t="s">
        <v>9475</v>
      </c>
      <c r="C141" s="163" t="s">
        <v>6064</v>
      </c>
      <c r="D141" s="164" t="s">
        <v>9476</v>
      </c>
      <c r="E141" s="163" t="s">
        <v>9088</v>
      </c>
    </row>
    <row r="142" spans="1:5" ht="14">
      <c r="A142" s="163" t="s">
        <v>9813</v>
      </c>
      <c r="B142" s="163" t="s">
        <v>9475</v>
      </c>
      <c r="C142" s="163" t="s">
        <v>6064</v>
      </c>
      <c r="D142" s="164" t="s">
        <v>9476</v>
      </c>
      <c r="E142" s="163" t="s">
        <v>9088</v>
      </c>
    </row>
    <row r="143" spans="1:5" ht="14">
      <c r="A143" s="163" t="s">
        <v>9403</v>
      </c>
      <c r="B143" s="163" t="s">
        <v>9481</v>
      </c>
      <c r="C143" s="163" t="s">
        <v>6064</v>
      </c>
      <c r="D143" s="164" t="s">
        <v>9482</v>
      </c>
      <c r="E143" s="163" t="s">
        <v>9088</v>
      </c>
    </row>
    <row r="144" spans="1:5" ht="14">
      <c r="A144" s="163" t="s">
        <v>9812</v>
      </c>
      <c r="B144" s="163" t="s">
        <v>9481</v>
      </c>
      <c r="C144" s="163" t="s">
        <v>6064</v>
      </c>
      <c r="D144" s="164" t="s">
        <v>9482</v>
      </c>
      <c r="E144" s="163" t="s">
        <v>9088</v>
      </c>
    </row>
    <row r="145" spans="1:5" ht="14">
      <c r="A145" s="163" t="s">
        <v>9801</v>
      </c>
      <c r="B145" s="163" t="s">
        <v>9481</v>
      </c>
      <c r="C145" s="163" t="s">
        <v>6064</v>
      </c>
      <c r="D145" s="164" t="s">
        <v>9482</v>
      </c>
      <c r="E145" s="163" t="s">
        <v>9088</v>
      </c>
    </row>
    <row r="146" spans="1:5" ht="14">
      <c r="A146" s="163" t="s">
        <v>9813</v>
      </c>
      <c r="B146" s="163" t="s">
        <v>9481</v>
      </c>
      <c r="C146" s="163" t="s">
        <v>6064</v>
      </c>
      <c r="D146" s="164" t="s">
        <v>9482</v>
      </c>
      <c r="E146" s="163" t="s">
        <v>9088</v>
      </c>
    </row>
    <row r="147" spans="1:5" ht="14">
      <c r="A147" s="163" t="s">
        <v>9403</v>
      </c>
      <c r="B147" s="163" t="s">
        <v>9485</v>
      </c>
      <c r="C147" s="163" t="s">
        <v>6064</v>
      </c>
      <c r="D147" s="164" t="s">
        <v>9486</v>
      </c>
      <c r="E147" s="163" t="s">
        <v>9074</v>
      </c>
    </row>
    <row r="148" spans="1:5" ht="14">
      <c r="A148" s="163" t="s">
        <v>9812</v>
      </c>
      <c r="B148" s="163" t="s">
        <v>9485</v>
      </c>
      <c r="C148" s="163" t="s">
        <v>6064</v>
      </c>
      <c r="D148" s="164" t="s">
        <v>9486</v>
      </c>
      <c r="E148" s="163" t="s">
        <v>9074</v>
      </c>
    </row>
    <row r="149" spans="1:5" ht="14">
      <c r="A149" s="163" t="s">
        <v>9801</v>
      </c>
      <c r="B149" s="163" t="s">
        <v>9485</v>
      </c>
      <c r="C149" s="163" t="s">
        <v>6064</v>
      </c>
      <c r="D149" s="164" t="s">
        <v>9486</v>
      </c>
      <c r="E149" s="163" t="s">
        <v>9074</v>
      </c>
    </row>
    <row r="150" spans="1:5" ht="14">
      <c r="A150" s="163" t="s">
        <v>9813</v>
      </c>
      <c r="B150" s="163" t="s">
        <v>9485</v>
      </c>
      <c r="C150" s="163" t="s">
        <v>6064</v>
      </c>
      <c r="D150" s="164" t="s">
        <v>9486</v>
      </c>
      <c r="E150" s="163" t="s">
        <v>9074</v>
      </c>
    </row>
    <row r="151" spans="1:5" ht="14">
      <c r="A151" s="163" t="s">
        <v>9403</v>
      </c>
      <c r="B151" s="163" t="s">
        <v>9491</v>
      </c>
      <c r="C151" s="163" t="s">
        <v>6064</v>
      </c>
      <c r="D151" s="164" t="s">
        <v>9492</v>
      </c>
      <c r="E151" s="163" t="s">
        <v>9088</v>
      </c>
    </row>
    <row r="152" spans="1:5" ht="14">
      <c r="A152" s="163" t="s">
        <v>9236</v>
      </c>
      <c r="B152" s="163" t="s">
        <v>9491</v>
      </c>
      <c r="C152" s="163" t="s">
        <v>6064</v>
      </c>
      <c r="D152" s="164" t="s">
        <v>9492</v>
      </c>
      <c r="E152" s="163" t="s">
        <v>9088</v>
      </c>
    </row>
    <row r="153" spans="1:5" ht="14">
      <c r="A153" s="163" t="s">
        <v>9812</v>
      </c>
      <c r="B153" s="163" t="s">
        <v>9491</v>
      </c>
      <c r="C153" s="163" t="s">
        <v>6064</v>
      </c>
      <c r="D153" s="164" t="s">
        <v>9492</v>
      </c>
      <c r="E153" s="163" t="s">
        <v>9088</v>
      </c>
    </row>
    <row r="154" spans="1:5" ht="14">
      <c r="A154" s="163" t="s">
        <v>9801</v>
      </c>
      <c r="B154" s="163" t="s">
        <v>9491</v>
      </c>
      <c r="C154" s="163" t="s">
        <v>6064</v>
      </c>
      <c r="D154" s="164" t="s">
        <v>9492</v>
      </c>
      <c r="E154" s="163" t="s">
        <v>9088</v>
      </c>
    </row>
    <row r="155" spans="1:5" ht="14">
      <c r="A155" s="163" t="s">
        <v>9813</v>
      </c>
      <c r="B155" s="163" t="s">
        <v>9491</v>
      </c>
      <c r="C155" s="163" t="s">
        <v>6064</v>
      </c>
      <c r="D155" s="164" t="s">
        <v>9492</v>
      </c>
      <c r="E155" s="163" t="s">
        <v>9088</v>
      </c>
    </row>
    <row r="156" spans="1:5" ht="14">
      <c r="A156" s="163" t="s">
        <v>9403</v>
      </c>
      <c r="B156" s="163" t="s">
        <v>9495</v>
      </c>
      <c r="C156" s="163" t="s">
        <v>6064</v>
      </c>
      <c r="D156" s="164" t="s">
        <v>9496</v>
      </c>
      <c r="E156" s="163" t="s">
        <v>9088</v>
      </c>
    </row>
    <row r="157" spans="1:5" ht="14">
      <c r="A157" s="163" t="s">
        <v>9812</v>
      </c>
      <c r="B157" s="163" t="s">
        <v>9495</v>
      </c>
      <c r="C157" s="163" t="s">
        <v>6064</v>
      </c>
      <c r="D157" s="164" t="s">
        <v>9496</v>
      </c>
      <c r="E157" s="163" t="s">
        <v>9088</v>
      </c>
    </row>
    <row r="158" spans="1:5" ht="14">
      <c r="A158" s="163" t="s">
        <v>9801</v>
      </c>
      <c r="B158" s="163" t="s">
        <v>9495</v>
      </c>
      <c r="C158" s="163" t="s">
        <v>6064</v>
      </c>
      <c r="D158" s="164" t="s">
        <v>9496</v>
      </c>
      <c r="E158" s="163" t="s">
        <v>9088</v>
      </c>
    </row>
    <row r="159" spans="1:5" ht="14">
      <c r="A159" s="163" t="s">
        <v>9813</v>
      </c>
      <c r="B159" s="163" t="s">
        <v>9495</v>
      </c>
      <c r="C159" s="163" t="s">
        <v>6064</v>
      </c>
      <c r="D159" s="164" t="s">
        <v>9496</v>
      </c>
      <c r="E159" s="163" t="s">
        <v>9088</v>
      </c>
    </row>
    <row r="160" spans="1:5" ht="14">
      <c r="A160" s="163" t="s">
        <v>9403</v>
      </c>
      <c r="B160" s="163" t="s">
        <v>9499</v>
      </c>
      <c r="C160" s="163" t="s">
        <v>6064</v>
      </c>
      <c r="D160" s="164" t="s">
        <v>9500</v>
      </c>
      <c r="E160" s="163" t="s">
        <v>9074</v>
      </c>
    </row>
    <row r="161" spans="1:5" ht="14">
      <c r="A161" s="163" t="s">
        <v>9807</v>
      </c>
      <c r="B161" s="163" t="s">
        <v>9499</v>
      </c>
      <c r="C161" s="163" t="s">
        <v>6064</v>
      </c>
      <c r="D161" s="164" t="s">
        <v>9500</v>
      </c>
      <c r="E161" s="163" t="s">
        <v>9074</v>
      </c>
    </row>
    <row r="162" spans="1:5" ht="14">
      <c r="A162" s="163" t="s">
        <v>9814</v>
      </c>
      <c r="B162" s="163" t="s">
        <v>9499</v>
      </c>
      <c r="C162" s="163" t="s">
        <v>6064</v>
      </c>
      <c r="D162" s="164" t="s">
        <v>9500</v>
      </c>
      <c r="E162" s="163" t="s">
        <v>9074</v>
      </c>
    </row>
    <row r="163" spans="1:5" ht="14">
      <c r="A163" s="163" t="s">
        <v>9403</v>
      </c>
      <c r="B163" s="163" t="s">
        <v>9506</v>
      </c>
      <c r="C163" s="163" t="s">
        <v>6064</v>
      </c>
      <c r="D163" s="164" t="s">
        <v>9507</v>
      </c>
      <c r="E163" s="163" t="s">
        <v>9074</v>
      </c>
    </row>
    <row r="164" spans="1:5" ht="14">
      <c r="A164" s="163" t="s">
        <v>9807</v>
      </c>
      <c r="B164" s="163" t="s">
        <v>9506</v>
      </c>
      <c r="C164" s="163" t="s">
        <v>6064</v>
      </c>
      <c r="D164" s="164" t="s">
        <v>9507</v>
      </c>
      <c r="E164" s="163" t="s">
        <v>9074</v>
      </c>
    </row>
    <row r="165" spans="1:5" ht="14">
      <c r="A165" s="163" t="s">
        <v>9814</v>
      </c>
      <c r="B165" s="163" t="s">
        <v>9506</v>
      </c>
      <c r="C165" s="163" t="s">
        <v>6064</v>
      </c>
      <c r="D165" s="164" t="s">
        <v>9507</v>
      </c>
      <c r="E165" s="163" t="s">
        <v>9074</v>
      </c>
    </row>
    <row r="166" spans="1:5" ht="14">
      <c r="A166" s="163" t="s">
        <v>9403</v>
      </c>
      <c r="B166" s="163" t="s">
        <v>9510</v>
      </c>
      <c r="C166" s="163" t="s">
        <v>6064</v>
      </c>
      <c r="D166" s="164" t="s">
        <v>9511</v>
      </c>
      <c r="E166" s="163" t="s">
        <v>9074</v>
      </c>
    </row>
    <row r="167" spans="1:5" ht="14">
      <c r="A167" s="163" t="s">
        <v>9236</v>
      </c>
      <c r="B167" s="163" t="s">
        <v>9510</v>
      </c>
      <c r="C167" s="163" t="s">
        <v>6064</v>
      </c>
      <c r="D167" s="164" t="s">
        <v>9511</v>
      </c>
      <c r="E167" s="163" t="s">
        <v>9074</v>
      </c>
    </row>
    <row r="168" spans="1:5" ht="14">
      <c r="A168" s="163" t="s">
        <v>9804</v>
      </c>
      <c r="B168" s="163" t="s">
        <v>9510</v>
      </c>
      <c r="C168" s="163" t="s">
        <v>6064</v>
      </c>
      <c r="D168" s="164" t="s">
        <v>9511</v>
      </c>
      <c r="E168" s="163" t="s">
        <v>9074</v>
      </c>
    </row>
    <row r="169" spans="1:5" ht="14">
      <c r="A169" s="163" t="s">
        <v>9259</v>
      </c>
      <c r="B169" s="163" t="s">
        <v>9510</v>
      </c>
      <c r="C169" s="163" t="s">
        <v>6064</v>
      </c>
      <c r="D169" s="164" t="s">
        <v>9511</v>
      </c>
      <c r="E169" s="163" t="s">
        <v>9074</v>
      </c>
    </row>
    <row r="170" spans="1:5" ht="14">
      <c r="A170" s="163" t="s">
        <v>9807</v>
      </c>
      <c r="B170" s="163" t="s">
        <v>9510</v>
      </c>
      <c r="C170" s="163" t="s">
        <v>6064</v>
      </c>
      <c r="D170" s="164" t="s">
        <v>9511</v>
      </c>
      <c r="E170" s="163" t="s">
        <v>9074</v>
      </c>
    </row>
    <row r="171" spans="1:5" ht="14">
      <c r="A171" s="163" t="s">
        <v>9814</v>
      </c>
      <c r="B171" s="163" t="s">
        <v>9510</v>
      </c>
      <c r="C171" s="163" t="s">
        <v>6064</v>
      </c>
      <c r="D171" s="164" t="s">
        <v>9511</v>
      </c>
      <c r="E171" s="163" t="s">
        <v>9074</v>
      </c>
    </row>
    <row r="172" spans="1:5" ht="14">
      <c r="A172" s="163" t="s">
        <v>9521</v>
      </c>
      <c r="B172" s="163" t="s">
        <v>9516</v>
      </c>
      <c r="C172" s="163" t="s">
        <v>9517</v>
      </c>
      <c r="D172" s="164" t="s">
        <v>9518</v>
      </c>
      <c r="E172" s="163" t="s">
        <v>9088</v>
      </c>
    </row>
    <row r="173" spans="1:5" ht="14">
      <c r="A173" s="163" t="s">
        <v>9521</v>
      </c>
      <c r="B173" s="163" t="s">
        <v>9524</v>
      </c>
      <c r="C173" s="163" t="s">
        <v>9517</v>
      </c>
      <c r="D173" s="164" t="s">
        <v>9525</v>
      </c>
      <c r="E173" s="163" t="s">
        <v>9088</v>
      </c>
    </row>
    <row r="174" spans="1:5" ht="14">
      <c r="A174" s="163" t="s">
        <v>9521</v>
      </c>
      <c r="B174" s="163" t="s">
        <v>9528</v>
      </c>
      <c r="C174" s="163" t="s">
        <v>9517</v>
      </c>
      <c r="D174" s="164" t="s">
        <v>9529</v>
      </c>
      <c r="E174" s="163" t="s">
        <v>9074</v>
      </c>
    </row>
    <row r="175" spans="1:5" ht="14">
      <c r="A175" s="163" t="s">
        <v>9809</v>
      </c>
      <c r="B175" s="163" t="s">
        <v>9528</v>
      </c>
      <c r="C175" s="163" t="s">
        <v>9517</v>
      </c>
      <c r="D175" s="164" t="s">
        <v>9529</v>
      </c>
      <c r="E175" s="163" t="s">
        <v>9074</v>
      </c>
    </row>
    <row r="176" spans="1:5" ht="14">
      <c r="A176" s="163" t="s">
        <v>9521</v>
      </c>
      <c r="B176" s="163" t="s">
        <v>9535</v>
      </c>
      <c r="C176" s="163" t="s">
        <v>9517</v>
      </c>
      <c r="D176" s="164" t="s">
        <v>9536</v>
      </c>
      <c r="E176" s="163" t="s">
        <v>9074</v>
      </c>
    </row>
    <row r="177" spans="1:5" ht="14">
      <c r="A177" s="163" t="s">
        <v>9801</v>
      </c>
      <c r="B177" s="163" t="s">
        <v>9535</v>
      </c>
      <c r="C177" s="163" t="s">
        <v>9517</v>
      </c>
      <c r="D177" s="164" t="s">
        <v>9536</v>
      </c>
      <c r="E177" s="163" t="s">
        <v>9074</v>
      </c>
    </row>
    <row r="178" spans="1:5" ht="14">
      <c r="A178" s="163" t="s">
        <v>9809</v>
      </c>
      <c r="B178" s="163" t="s">
        <v>9535</v>
      </c>
      <c r="C178" s="163" t="s">
        <v>9517</v>
      </c>
      <c r="D178" s="164" t="s">
        <v>9536</v>
      </c>
      <c r="E178" s="163" t="s">
        <v>9074</v>
      </c>
    </row>
    <row r="179" spans="1:5" ht="14">
      <c r="A179" s="163" t="s">
        <v>9521</v>
      </c>
      <c r="B179" s="163" t="s">
        <v>9541</v>
      </c>
      <c r="C179" s="163" t="s">
        <v>9517</v>
      </c>
      <c r="D179" s="164" t="s">
        <v>9542</v>
      </c>
      <c r="E179" s="163" t="s">
        <v>9088</v>
      </c>
    </row>
    <row r="180" spans="1:5" ht="14">
      <c r="A180" s="163" t="s">
        <v>9521</v>
      </c>
      <c r="B180" s="163" t="s">
        <v>9545</v>
      </c>
      <c r="C180" s="163" t="s">
        <v>9517</v>
      </c>
      <c r="D180" s="164" t="s">
        <v>9546</v>
      </c>
      <c r="E180" s="163" t="s">
        <v>9074</v>
      </c>
    </row>
    <row r="181" spans="1:5" ht="14">
      <c r="A181" s="163" t="s">
        <v>9809</v>
      </c>
      <c r="B181" s="163" t="s">
        <v>9545</v>
      </c>
      <c r="C181" s="163" t="s">
        <v>9517</v>
      </c>
      <c r="D181" s="164" t="s">
        <v>9546</v>
      </c>
      <c r="E181" s="163" t="s">
        <v>9074</v>
      </c>
    </row>
    <row r="182" spans="1:5" ht="14">
      <c r="A182" s="163" t="s">
        <v>9521</v>
      </c>
      <c r="B182" s="163" t="s">
        <v>9551</v>
      </c>
      <c r="C182" s="163" t="s">
        <v>9517</v>
      </c>
      <c r="D182" s="164" t="s">
        <v>9552</v>
      </c>
      <c r="E182" s="163" t="s">
        <v>9074</v>
      </c>
    </row>
    <row r="183" spans="1:5" ht="14">
      <c r="A183" s="163" t="s">
        <v>9809</v>
      </c>
      <c r="B183" s="163" t="s">
        <v>9551</v>
      </c>
      <c r="C183" s="163" t="s">
        <v>9517</v>
      </c>
      <c r="D183" s="164" t="s">
        <v>9552</v>
      </c>
      <c r="E183" s="163" t="s">
        <v>9074</v>
      </c>
    </row>
    <row r="184" spans="1:5" ht="14">
      <c r="A184" s="163" t="s">
        <v>9521</v>
      </c>
      <c r="B184" s="163" t="s">
        <v>9555</v>
      </c>
      <c r="C184" s="163" t="s">
        <v>9517</v>
      </c>
      <c r="D184" s="164" t="s">
        <v>9556</v>
      </c>
      <c r="E184" s="163" t="s">
        <v>9088</v>
      </c>
    </row>
    <row r="185" spans="1:5" ht="14">
      <c r="A185" s="163" t="s">
        <v>9236</v>
      </c>
      <c r="B185" s="163" t="s">
        <v>9555</v>
      </c>
      <c r="C185" s="163" t="s">
        <v>9517</v>
      </c>
      <c r="D185" s="164" t="s">
        <v>9556</v>
      </c>
      <c r="E185" s="163" t="s">
        <v>9088</v>
      </c>
    </row>
    <row r="186" spans="1:5" ht="14">
      <c r="A186" s="163" t="s">
        <v>9521</v>
      </c>
      <c r="B186" s="163" t="s">
        <v>9561</v>
      </c>
      <c r="C186" s="163" t="s">
        <v>9517</v>
      </c>
      <c r="D186" s="164" t="s">
        <v>9562</v>
      </c>
      <c r="E186" s="163" t="s">
        <v>9088</v>
      </c>
    </row>
    <row r="187" spans="1:5" ht="14">
      <c r="A187" s="163" t="s">
        <v>9809</v>
      </c>
      <c r="B187" s="163" t="s">
        <v>9561</v>
      </c>
      <c r="C187" s="163" t="s">
        <v>9517</v>
      </c>
      <c r="D187" s="164" t="s">
        <v>9562</v>
      </c>
      <c r="E187" s="163" t="s">
        <v>9088</v>
      </c>
    </row>
    <row r="188" spans="1:5" ht="14">
      <c r="A188" s="163" t="s">
        <v>9521</v>
      </c>
      <c r="B188" s="163" t="s">
        <v>9566</v>
      </c>
      <c r="C188" s="163" t="s">
        <v>9517</v>
      </c>
      <c r="D188" s="164" t="s">
        <v>9567</v>
      </c>
      <c r="E188" s="163" t="s">
        <v>9074</v>
      </c>
    </row>
    <row r="189" spans="1:5" ht="14">
      <c r="A189" s="163" t="s">
        <v>9815</v>
      </c>
      <c r="B189" s="163" t="s">
        <v>9566</v>
      </c>
      <c r="C189" s="163" t="s">
        <v>9517</v>
      </c>
      <c r="D189" s="164" t="s">
        <v>9567</v>
      </c>
      <c r="E189" s="163" t="s">
        <v>9074</v>
      </c>
    </row>
    <row r="190" spans="1:5" ht="14">
      <c r="A190" s="163" t="s">
        <v>9236</v>
      </c>
      <c r="B190" s="163" t="s">
        <v>9566</v>
      </c>
      <c r="C190" s="163" t="s">
        <v>9517</v>
      </c>
      <c r="D190" s="164" t="s">
        <v>9567</v>
      </c>
      <c r="E190" s="163" t="s">
        <v>9074</v>
      </c>
    </row>
    <row r="191" spans="1:5" ht="14">
      <c r="A191" s="163" t="s">
        <v>9521</v>
      </c>
      <c r="B191" s="163" t="s">
        <v>9573</v>
      </c>
      <c r="C191" s="163" t="s">
        <v>9517</v>
      </c>
      <c r="D191" s="164" t="s">
        <v>9574</v>
      </c>
      <c r="E191" s="163" t="s">
        <v>9074</v>
      </c>
    </row>
    <row r="192" spans="1:5" ht="14">
      <c r="A192" s="163" t="s">
        <v>9521</v>
      </c>
      <c r="B192" s="163" t="s">
        <v>9578</v>
      </c>
      <c r="C192" s="163" t="s">
        <v>9517</v>
      </c>
      <c r="D192" s="164" t="s">
        <v>9579</v>
      </c>
      <c r="E192" s="163" t="s">
        <v>9074</v>
      </c>
    </row>
    <row r="193" spans="1:5" ht="14">
      <c r="A193" s="163" t="s">
        <v>9236</v>
      </c>
      <c r="B193" s="163" t="s">
        <v>9578</v>
      </c>
      <c r="C193" s="163" t="s">
        <v>9517</v>
      </c>
      <c r="D193" s="164" t="s">
        <v>9579</v>
      </c>
      <c r="E193" s="163" t="s">
        <v>9074</v>
      </c>
    </row>
    <row r="194" spans="1:5" ht="14">
      <c r="A194" s="163" t="s">
        <v>9521</v>
      </c>
      <c r="B194" s="163" t="s">
        <v>9583</v>
      </c>
      <c r="C194" s="163" t="s">
        <v>9517</v>
      </c>
      <c r="D194" s="164" t="s">
        <v>9584</v>
      </c>
      <c r="E194" s="163" t="s">
        <v>9088</v>
      </c>
    </row>
    <row r="195" spans="1:5" ht="14">
      <c r="A195" s="163" t="s">
        <v>9809</v>
      </c>
      <c r="B195" s="163" t="s">
        <v>9583</v>
      </c>
      <c r="C195" s="163" t="s">
        <v>9517</v>
      </c>
      <c r="D195" s="164" t="s">
        <v>9584</v>
      </c>
      <c r="E195" s="163" t="s">
        <v>9088</v>
      </c>
    </row>
    <row r="196" spans="1:5" ht="14">
      <c r="A196" s="163" t="s">
        <v>9816</v>
      </c>
      <c r="B196" s="163" t="s">
        <v>9587</v>
      </c>
      <c r="C196" s="163" t="s">
        <v>9588</v>
      </c>
      <c r="D196" s="164" t="s">
        <v>9589</v>
      </c>
      <c r="E196" s="163" t="s">
        <v>9088</v>
      </c>
    </row>
    <row r="197" spans="1:5" ht="14">
      <c r="A197" s="163" t="s">
        <v>9801</v>
      </c>
      <c r="B197" s="163" t="s">
        <v>9587</v>
      </c>
      <c r="C197" s="163" t="s">
        <v>9588</v>
      </c>
      <c r="D197" s="164" t="s">
        <v>9589</v>
      </c>
      <c r="E197" s="163" t="s">
        <v>9088</v>
      </c>
    </row>
    <row r="198" spans="1:5" ht="14">
      <c r="A198" s="163" t="s">
        <v>9816</v>
      </c>
      <c r="B198" s="163" t="s">
        <v>9594</v>
      </c>
      <c r="C198" s="163" t="s">
        <v>9588</v>
      </c>
      <c r="D198" s="164" t="s">
        <v>9595</v>
      </c>
      <c r="E198" s="163" t="s">
        <v>9074</v>
      </c>
    </row>
    <row r="199" spans="1:5" ht="14">
      <c r="A199" s="163" t="s">
        <v>9805</v>
      </c>
      <c r="B199" s="163" t="s">
        <v>9594</v>
      </c>
      <c r="C199" s="163" t="s">
        <v>9588</v>
      </c>
      <c r="D199" s="164" t="s">
        <v>9595</v>
      </c>
      <c r="E199" s="163" t="s">
        <v>9074</v>
      </c>
    </row>
    <row r="200" spans="1:5" ht="14">
      <c r="A200" s="163" t="s">
        <v>9806</v>
      </c>
      <c r="B200" s="163" t="s">
        <v>9594</v>
      </c>
      <c r="C200" s="163" t="s">
        <v>9588</v>
      </c>
      <c r="D200" s="164" t="s">
        <v>9595</v>
      </c>
      <c r="E200" s="163" t="s">
        <v>9074</v>
      </c>
    </row>
    <row r="201" spans="1:5" ht="14">
      <c r="A201" s="163" t="s">
        <v>9816</v>
      </c>
      <c r="B201" s="163" t="s">
        <v>9601</v>
      </c>
      <c r="C201" s="163" t="s">
        <v>9588</v>
      </c>
      <c r="D201" s="164" t="s">
        <v>9602</v>
      </c>
      <c r="E201" s="163" t="s">
        <v>9074</v>
      </c>
    </row>
    <row r="202" spans="1:5" ht="14">
      <c r="A202" s="163" t="s">
        <v>9805</v>
      </c>
      <c r="B202" s="163" t="s">
        <v>9601</v>
      </c>
      <c r="C202" s="163" t="s">
        <v>9588</v>
      </c>
      <c r="D202" s="164" t="s">
        <v>9602</v>
      </c>
      <c r="E202" s="163" t="s">
        <v>9074</v>
      </c>
    </row>
    <row r="203" spans="1:5" ht="14">
      <c r="A203" s="163" t="s">
        <v>9806</v>
      </c>
      <c r="B203" s="163" t="s">
        <v>9601</v>
      </c>
      <c r="C203" s="163" t="s">
        <v>9588</v>
      </c>
      <c r="D203" s="164" t="s">
        <v>9602</v>
      </c>
      <c r="E203" s="163" t="s">
        <v>9074</v>
      </c>
    </row>
    <row r="204" spans="1:5" ht="14">
      <c r="A204" s="163" t="s">
        <v>9816</v>
      </c>
      <c r="B204" s="163" t="s">
        <v>9605</v>
      </c>
      <c r="C204" s="163" t="s">
        <v>9588</v>
      </c>
      <c r="D204" s="164" t="s">
        <v>9606</v>
      </c>
      <c r="E204" s="163" t="s">
        <v>9074</v>
      </c>
    </row>
    <row r="205" spans="1:5" ht="14">
      <c r="A205" s="163" t="s">
        <v>9805</v>
      </c>
      <c r="B205" s="163" t="s">
        <v>9605</v>
      </c>
      <c r="C205" s="163" t="s">
        <v>9588</v>
      </c>
      <c r="D205" s="164" t="s">
        <v>9606</v>
      </c>
      <c r="E205" s="163" t="s">
        <v>9074</v>
      </c>
    </row>
    <row r="206" spans="1:5" ht="14">
      <c r="A206" s="163" t="s">
        <v>9806</v>
      </c>
      <c r="B206" s="163" t="s">
        <v>9605</v>
      </c>
      <c r="C206" s="163" t="s">
        <v>9588</v>
      </c>
      <c r="D206" s="164" t="s">
        <v>9606</v>
      </c>
      <c r="E206" s="163" t="s">
        <v>9074</v>
      </c>
    </row>
    <row r="207" spans="1:5" ht="14">
      <c r="A207" s="163" t="s">
        <v>9816</v>
      </c>
      <c r="B207" s="163" t="s">
        <v>9609</v>
      </c>
      <c r="C207" s="163" t="s">
        <v>9588</v>
      </c>
      <c r="D207" s="164" t="s">
        <v>9610</v>
      </c>
      <c r="E207" s="163" t="s">
        <v>9088</v>
      </c>
    </row>
    <row r="208" spans="1:5" ht="14">
      <c r="A208" s="163" t="s">
        <v>9801</v>
      </c>
      <c r="B208" s="163" t="s">
        <v>9609</v>
      </c>
      <c r="C208" s="163" t="s">
        <v>9588</v>
      </c>
      <c r="D208" s="164" t="s">
        <v>9610</v>
      </c>
      <c r="E208" s="163" t="s">
        <v>9088</v>
      </c>
    </row>
    <row r="209" spans="1:5" ht="14">
      <c r="A209" s="163" t="s">
        <v>9816</v>
      </c>
      <c r="B209" s="163" t="s">
        <v>9613</v>
      </c>
      <c r="C209" s="163" t="s">
        <v>9588</v>
      </c>
      <c r="D209" s="164" t="s">
        <v>9614</v>
      </c>
      <c r="E209" s="163" t="s">
        <v>9088</v>
      </c>
    </row>
    <row r="210" spans="1:5" ht="14">
      <c r="A210" s="163" t="s">
        <v>9801</v>
      </c>
      <c r="B210" s="163" t="s">
        <v>9613</v>
      </c>
      <c r="C210" s="163" t="s">
        <v>9588</v>
      </c>
      <c r="D210" s="164" t="s">
        <v>9614</v>
      </c>
      <c r="E210" s="163" t="s">
        <v>9088</v>
      </c>
    </row>
    <row r="211" spans="1:5" ht="14">
      <c r="A211" s="163" t="s">
        <v>9816</v>
      </c>
      <c r="B211" s="163" t="s">
        <v>9617</v>
      </c>
      <c r="C211" s="163" t="s">
        <v>9588</v>
      </c>
      <c r="D211" s="164" t="s">
        <v>9618</v>
      </c>
      <c r="E211" s="163" t="s">
        <v>9088</v>
      </c>
    </row>
    <row r="212" spans="1:5" ht="14">
      <c r="A212" s="163" t="s">
        <v>9801</v>
      </c>
      <c r="B212" s="163" t="s">
        <v>9617</v>
      </c>
      <c r="C212" s="163" t="s">
        <v>9588</v>
      </c>
      <c r="D212" s="164" t="s">
        <v>9618</v>
      </c>
      <c r="E212" s="163" t="s">
        <v>9088</v>
      </c>
    </row>
    <row r="213" spans="1:5" ht="14">
      <c r="A213" s="163" t="s">
        <v>9817</v>
      </c>
      <c r="B213" s="163" t="s">
        <v>9621</v>
      </c>
      <c r="C213" s="163" t="s">
        <v>9622</v>
      </c>
      <c r="D213" s="164" t="s">
        <v>9623</v>
      </c>
      <c r="E213" s="163" t="s">
        <v>9088</v>
      </c>
    </row>
    <row r="214" spans="1:5" ht="14">
      <c r="A214" s="163" t="s">
        <v>9808</v>
      </c>
      <c r="B214" s="163" t="s">
        <v>9621</v>
      </c>
      <c r="C214" s="163" t="s">
        <v>9622</v>
      </c>
      <c r="D214" s="164" t="s">
        <v>9623</v>
      </c>
      <c r="E214" s="163" t="s">
        <v>9088</v>
      </c>
    </row>
    <row r="215" spans="1:5" ht="14">
      <c r="A215" s="163" t="s">
        <v>9818</v>
      </c>
      <c r="B215" s="163" t="s">
        <v>9621</v>
      </c>
      <c r="C215" s="163" t="s">
        <v>9622</v>
      </c>
      <c r="D215" s="164" t="s">
        <v>9623</v>
      </c>
      <c r="E215" s="163" t="s">
        <v>9088</v>
      </c>
    </row>
    <row r="216" spans="1:5" ht="14">
      <c r="A216" s="163" t="s">
        <v>9817</v>
      </c>
      <c r="B216" s="163" t="s">
        <v>9628</v>
      </c>
      <c r="C216" s="163" t="s">
        <v>9622</v>
      </c>
      <c r="D216" s="164" t="s">
        <v>9629</v>
      </c>
      <c r="E216" s="163" t="s">
        <v>9088</v>
      </c>
    </row>
    <row r="217" spans="1:5" ht="14">
      <c r="A217" s="163" t="s">
        <v>9801</v>
      </c>
      <c r="B217" s="163" t="s">
        <v>9628</v>
      </c>
      <c r="C217" s="163" t="s">
        <v>9622</v>
      </c>
      <c r="D217" s="164" t="s">
        <v>9629</v>
      </c>
      <c r="E217" s="163" t="s">
        <v>9088</v>
      </c>
    </row>
    <row r="218" spans="1:5" ht="14">
      <c r="A218" s="163" t="s">
        <v>9808</v>
      </c>
      <c r="B218" s="163" t="s">
        <v>9628</v>
      </c>
      <c r="C218" s="163" t="s">
        <v>9622</v>
      </c>
      <c r="D218" s="164" t="s">
        <v>9629</v>
      </c>
      <c r="E218" s="163" t="s">
        <v>9088</v>
      </c>
    </row>
    <row r="219" spans="1:5" ht="14">
      <c r="A219" s="163" t="s">
        <v>9818</v>
      </c>
      <c r="B219" s="163" t="s">
        <v>9628</v>
      </c>
      <c r="C219" s="163" t="s">
        <v>9622</v>
      </c>
      <c r="D219" s="164" t="s">
        <v>9629</v>
      </c>
      <c r="E219" s="163" t="s">
        <v>9088</v>
      </c>
    </row>
    <row r="220" spans="1:5" ht="14">
      <c r="A220" s="163" t="s">
        <v>9817</v>
      </c>
      <c r="B220" s="163" t="s">
        <v>9634</v>
      </c>
      <c r="C220" s="163" t="s">
        <v>9622</v>
      </c>
      <c r="D220" s="164" t="s">
        <v>9635</v>
      </c>
      <c r="E220" s="163" t="s">
        <v>9088</v>
      </c>
    </row>
    <row r="221" spans="1:5" ht="14">
      <c r="A221" s="163" t="s">
        <v>9808</v>
      </c>
      <c r="B221" s="163" t="s">
        <v>9634</v>
      </c>
      <c r="C221" s="163" t="s">
        <v>9622</v>
      </c>
      <c r="D221" s="164" t="s">
        <v>9635</v>
      </c>
      <c r="E221" s="163" t="s">
        <v>9088</v>
      </c>
    </row>
    <row r="222" spans="1:5" ht="14">
      <c r="A222" s="163" t="s">
        <v>9818</v>
      </c>
      <c r="B222" s="163" t="s">
        <v>9634</v>
      </c>
      <c r="C222" s="163" t="s">
        <v>9622</v>
      </c>
      <c r="D222" s="164" t="s">
        <v>9635</v>
      </c>
      <c r="E222" s="163" t="s">
        <v>9088</v>
      </c>
    </row>
    <row r="223" spans="1:5" ht="14">
      <c r="A223" s="163" t="s">
        <v>9817</v>
      </c>
      <c r="B223" s="163" t="s">
        <v>9638</v>
      </c>
      <c r="C223" s="163" t="s">
        <v>9622</v>
      </c>
      <c r="D223" s="164" t="s">
        <v>9639</v>
      </c>
      <c r="E223" s="163" t="s">
        <v>9088</v>
      </c>
    </row>
    <row r="224" spans="1:5" ht="14">
      <c r="A224" s="163" t="s">
        <v>9808</v>
      </c>
      <c r="B224" s="163" t="s">
        <v>9638</v>
      </c>
      <c r="C224" s="163" t="s">
        <v>9622</v>
      </c>
      <c r="D224" s="164" t="s">
        <v>9639</v>
      </c>
      <c r="E224" s="163" t="s">
        <v>9088</v>
      </c>
    </row>
    <row r="225" spans="1:5" ht="14">
      <c r="A225" s="163" t="s">
        <v>9818</v>
      </c>
      <c r="B225" s="163" t="s">
        <v>9638</v>
      </c>
      <c r="C225" s="163" t="s">
        <v>9622</v>
      </c>
      <c r="D225" s="164" t="s">
        <v>9639</v>
      </c>
      <c r="E225" s="163" t="s">
        <v>9088</v>
      </c>
    </row>
    <row r="226" spans="1:5" ht="14">
      <c r="A226" s="163" t="s">
        <v>9817</v>
      </c>
      <c r="B226" s="163" t="s">
        <v>9642</v>
      </c>
      <c r="C226" s="163" t="s">
        <v>9622</v>
      </c>
      <c r="D226" s="164" t="s">
        <v>9643</v>
      </c>
      <c r="E226" s="163" t="s">
        <v>9088</v>
      </c>
    </row>
    <row r="227" spans="1:5" ht="14">
      <c r="A227" s="163" t="s">
        <v>9808</v>
      </c>
      <c r="B227" s="163" t="s">
        <v>9642</v>
      </c>
      <c r="C227" s="163" t="s">
        <v>9622</v>
      </c>
      <c r="D227" s="164" t="s">
        <v>9643</v>
      </c>
      <c r="E227" s="163" t="s">
        <v>9088</v>
      </c>
    </row>
    <row r="228" spans="1:5" ht="14">
      <c r="A228" s="163" t="s">
        <v>9818</v>
      </c>
      <c r="B228" s="163" t="s">
        <v>9642</v>
      </c>
      <c r="C228" s="163" t="s">
        <v>9622</v>
      </c>
      <c r="D228" s="164" t="s">
        <v>9643</v>
      </c>
      <c r="E228" s="163" t="s">
        <v>9088</v>
      </c>
    </row>
    <row r="229" spans="1:5" ht="14">
      <c r="A229" s="163" t="s">
        <v>9819</v>
      </c>
      <c r="B229" s="163" t="s">
        <v>9642</v>
      </c>
      <c r="C229" s="163" t="s">
        <v>9622</v>
      </c>
      <c r="D229" s="164" t="s">
        <v>9643</v>
      </c>
      <c r="E229" s="163" t="s">
        <v>9088</v>
      </c>
    </row>
    <row r="230" spans="1:5" ht="14">
      <c r="A230" s="163" t="s">
        <v>9806</v>
      </c>
      <c r="B230" s="163" t="s">
        <v>9642</v>
      </c>
      <c r="C230" s="163" t="s">
        <v>9622</v>
      </c>
      <c r="D230" s="164" t="s">
        <v>9643</v>
      </c>
      <c r="E230" s="163" t="s">
        <v>9088</v>
      </c>
    </row>
    <row r="231" spans="1:5" ht="14">
      <c r="A231" s="163" t="s">
        <v>9817</v>
      </c>
      <c r="B231" s="163" t="s">
        <v>9648</v>
      </c>
      <c r="C231" s="163" t="s">
        <v>9622</v>
      </c>
      <c r="D231" s="164" t="s">
        <v>9649</v>
      </c>
      <c r="E231" s="163" t="s">
        <v>9088</v>
      </c>
    </row>
    <row r="232" spans="1:5" ht="14">
      <c r="A232" s="163" t="s">
        <v>9808</v>
      </c>
      <c r="B232" s="163" t="s">
        <v>9648</v>
      </c>
      <c r="C232" s="163" t="s">
        <v>9622</v>
      </c>
      <c r="D232" s="164" t="s">
        <v>9649</v>
      </c>
      <c r="E232" s="163" t="s">
        <v>9088</v>
      </c>
    </row>
    <row r="233" spans="1:5" ht="14">
      <c r="A233" s="163" t="s">
        <v>9818</v>
      </c>
      <c r="B233" s="163" t="s">
        <v>9648</v>
      </c>
      <c r="C233" s="163" t="s">
        <v>9622</v>
      </c>
      <c r="D233" s="164" t="s">
        <v>9649</v>
      </c>
      <c r="E233" s="163" t="s">
        <v>9088</v>
      </c>
    </row>
    <row r="234" spans="1:5" ht="14">
      <c r="A234" s="163" t="s">
        <v>9817</v>
      </c>
      <c r="B234" s="163" t="s">
        <v>9652</v>
      </c>
      <c r="C234" s="163" t="s">
        <v>9622</v>
      </c>
      <c r="D234" s="164" t="s">
        <v>9653</v>
      </c>
      <c r="E234" s="163" t="s">
        <v>9088</v>
      </c>
    </row>
    <row r="235" spans="1:5" ht="14">
      <c r="A235" s="163" t="s">
        <v>9808</v>
      </c>
      <c r="B235" s="163" t="s">
        <v>9652</v>
      </c>
      <c r="C235" s="163" t="s">
        <v>9622</v>
      </c>
      <c r="D235" s="164" t="s">
        <v>9653</v>
      </c>
      <c r="E235" s="163" t="s">
        <v>9088</v>
      </c>
    </row>
    <row r="236" spans="1:5" ht="14">
      <c r="A236" s="163" t="s">
        <v>9818</v>
      </c>
      <c r="B236" s="163" t="s">
        <v>9652</v>
      </c>
      <c r="C236" s="163" t="s">
        <v>9622</v>
      </c>
      <c r="D236" s="164" t="s">
        <v>9653</v>
      </c>
      <c r="E236" s="163" t="s">
        <v>9088</v>
      </c>
    </row>
    <row r="237" spans="1:5" ht="14">
      <c r="A237" s="163" t="s">
        <v>9817</v>
      </c>
      <c r="B237" s="163" t="s">
        <v>9656</v>
      </c>
      <c r="C237" s="163" t="s">
        <v>9622</v>
      </c>
      <c r="D237" s="164" t="s">
        <v>9657</v>
      </c>
      <c r="E237" s="163" t="s">
        <v>9088</v>
      </c>
    </row>
    <row r="238" spans="1:5" ht="14">
      <c r="A238" s="163" t="s">
        <v>9808</v>
      </c>
      <c r="B238" s="163" t="s">
        <v>9656</v>
      </c>
      <c r="C238" s="163" t="s">
        <v>9622</v>
      </c>
      <c r="D238" s="164" t="s">
        <v>9657</v>
      </c>
      <c r="E238" s="163" t="s">
        <v>9088</v>
      </c>
    </row>
    <row r="239" spans="1:5" ht="14">
      <c r="A239" s="163" t="s">
        <v>9818</v>
      </c>
      <c r="B239" s="163" t="s">
        <v>9656</v>
      </c>
      <c r="C239" s="163" t="s">
        <v>9622</v>
      </c>
      <c r="D239" s="164" t="s">
        <v>9657</v>
      </c>
      <c r="E239" s="163" t="s">
        <v>9088</v>
      </c>
    </row>
    <row r="240" spans="1:5" ht="14">
      <c r="A240" s="163" t="s">
        <v>9817</v>
      </c>
      <c r="B240" s="163" t="s">
        <v>9660</v>
      </c>
      <c r="C240" s="163" t="s">
        <v>9622</v>
      </c>
      <c r="D240" s="164" t="s">
        <v>9661</v>
      </c>
      <c r="E240" s="163" t="s">
        <v>9088</v>
      </c>
    </row>
    <row r="241" spans="1:5" ht="14">
      <c r="A241" s="163" t="s">
        <v>9808</v>
      </c>
      <c r="B241" s="163" t="s">
        <v>9660</v>
      </c>
      <c r="C241" s="163" t="s">
        <v>9622</v>
      </c>
      <c r="D241" s="164" t="s">
        <v>9661</v>
      </c>
      <c r="E241" s="163" t="s">
        <v>9088</v>
      </c>
    </row>
    <row r="242" spans="1:5" ht="14">
      <c r="A242" s="163" t="s">
        <v>9818</v>
      </c>
      <c r="B242" s="163" t="s">
        <v>9660</v>
      </c>
      <c r="C242" s="163" t="s">
        <v>9622</v>
      </c>
      <c r="D242" s="164" t="s">
        <v>9661</v>
      </c>
      <c r="E242" s="163" t="s">
        <v>9088</v>
      </c>
    </row>
    <row r="243" spans="1:5" ht="14">
      <c r="A243" s="163" t="s">
        <v>9817</v>
      </c>
      <c r="B243" s="163" t="s">
        <v>9664</v>
      </c>
      <c r="C243" s="163" t="s">
        <v>9622</v>
      </c>
      <c r="D243" s="164" t="s">
        <v>9665</v>
      </c>
      <c r="E243" s="163" t="s">
        <v>9074</v>
      </c>
    </row>
    <row r="244" spans="1:5" ht="14">
      <c r="A244" s="163" t="s">
        <v>9808</v>
      </c>
      <c r="B244" s="163" t="s">
        <v>9664</v>
      </c>
      <c r="C244" s="163" t="s">
        <v>9622</v>
      </c>
      <c r="D244" s="164" t="s">
        <v>9665</v>
      </c>
      <c r="E244" s="163" t="s">
        <v>9074</v>
      </c>
    </row>
    <row r="245" spans="1:5" ht="14">
      <c r="A245" s="163" t="s">
        <v>9818</v>
      </c>
      <c r="B245" s="163" t="s">
        <v>9664</v>
      </c>
      <c r="C245" s="163" t="s">
        <v>9622</v>
      </c>
      <c r="D245" s="164" t="s">
        <v>9665</v>
      </c>
      <c r="E245" s="163" t="s">
        <v>9074</v>
      </c>
    </row>
    <row r="246" spans="1:5" ht="14">
      <c r="A246" s="163" t="s">
        <v>9819</v>
      </c>
      <c r="B246" s="163" t="s">
        <v>9670</v>
      </c>
      <c r="C246" s="163" t="s">
        <v>9671</v>
      </c>
      <c r="D246" s="164" t="s">
        <v>9672</v>
      </c>
      <c r="E246" s="163" t="s">
        <v>9088</v>
      </c>
    </row>
    <row r="247" spans="1:5" ht="14">
      <c r="A247" s="163" t="s">
        <v>9236</v>
      </c>
      <c r="B247" s="163" t="s">
        <v>9670</v>
      </c>
      <c r="C247" s="163" t="s">
        <v>9671</v>
      </c>
      <c r="D247" s="164" t="s">
        <v>9672</v>
      </c>
      <c r="E247" s="163" t="s">
        <v>9088</v>
      </c>
    </row>
    <row r="248" spans="1:5" ht="14">
      <c r="A248" s="163" t="s">
        <v>9820</v>
      </c>
      <c r="B248" s="163" t="s">
        <v>9670</v>
      </c>
      <c r="C248" s="163" t="s">
        <v>9671</v>
      </c>
      <c r="D248" s="164" t="s">
        <v>9672</v>
      </c>
      <c r="E248" s="163" t="s">
        <v>9088</v>
      </c>
    </row>
    <row r="249" spans="1:5" ht="14">
      <c r="A249" s="163" t="s">
        <v>9806</v>
      </c>
      <c r="B249" s="163" t="s">
        <v>9670</v>
      </c>
      <c r="C249" s="163" t="s">
        <v>9671</v>
      </c>
      <c r="D249" s="164" t="s">
        <v>9672</v>
      </c>
      <c r="E249" s="163" t="s">
        <v>9088</v>
      </c>
    </row>
    <row r="250" spans="1:5" ht="14">
      <c r="A250" s="163" t="s">
        <v>9819</v>
      </c>
      <c r="B250" s="163" t="s">
        <v>9678</v>
      </c>
      <c r="C250" s="163" t="s">
        <v>9671</v>
      </c>
      <c r="D250" s="164" t="s">
        <v>9679</v>
      </c>
      <c r="E250" s="163" t="s">
        <v>9088</v>
      </c>
    </row>
    <row r="251" spans="1:5" ht="14">
      <c r="A251" s="163" t="s">
        <v>9820</v>
      </c>
      <c r="B251" s="163" t="s">
        <v>9678</v>
      </c>
      <c r="C251" s="163" t="s">
        <v>9671</v>
      </c>
      <c r="D251" s="164" t="s">
        <v>9679</v>
      </c>
      <c r="E251" s="163" t="s">
        <v>9088</v>
      </c>
    </row>
    <row r="252" spans="1:5" ht="14">
      <c r="A252" s="163" t="s">
        <v>9819</v>
      </c>
      <c r="B252" s="163" t="s">
        <v>9684</v>
      </c>
      <c r="C252" s="163" t="s">
        <v>9671</v>
      </c>
      <c r="D252" s="164" t="s">
        <v>9685</v>
      </c>
      <c r="E252" s="163" t="s">
        <v>9074</v>
      </c>
    </row>
    <row r="253" spans="1:5" ht="14">
      <c r="A253" s="163" t="s">
        <v>9820</v>
      </c>
      <c r="B253" s="163" t="s">
        <v>9684</v>
      </c>
      <c r="C253" s="163" t="s">
        <v>9671</v>
      </c>
      <c r="D253" s="164" t="s">
        <v>9685</v>
      </c>
      <c r="E253" s="163" t="s">
        <v>9074</v>
      </c>
    </row>
    <row r="254" spans="1:5" ht="14">
      <c r="A254" s="163" t="s">
        <v>9819</v>
      </c>
      <c r="B254" s="163" t="s">
        <v>9690</v>
      </c>
      <c r="C254" s="163" t="s">
        <v>9671</v>
      </c>
      <c r="D254" s="164" t="s">
        <v>9691</v>
      </c>
      <c r="E254" s="163" t="s">
        <v>9088</v>
      </c>
    </row>
    <row r="255" spans="1:5" ht="14">
      <c r="A255" s="163" t="s">
        <v>9820</v>
      </c>
      <c r="B255" s="163" t="s">
        <v>9690</v>
      </c>
      <c r="C255" s="163" t="s">
        <v>9671</v>
      </c>
      <c r="D255" s="164" t="s">
        <v>9691</v>
      </c>
      <c r="E255" s="163" t="s">
        <v>9088</v>
      </c>
    </row>
    <row r="256" spans="1:5" ht="14">
      <c r="A256" s="163" t="s">
        <v>9806</v>
      </c>
      <c r="B256" s="163" t="s">
        <v>9690</v>
      </c>
      <c r="C256" s="163" t="s">
        <v>9671</v>
      </c>
      <c r="D256" s="164" t="s">
        <v>9691</v>
      </c>
      <c r="E256" s="163" t="s">
        <v>9088</v>
      </c>
    </row>
    <row r="257" spans="1:5" ht="14">
      <c r="A257" s="163" t="s">
        <v>9819</v>
      </c>
      <c r="B257" s="163" t="s">
        <v>9696</v>
      </c>
      <c r="C257" s="163" t="s">
        <v>9671</v>
      </c>
      <c r="D257" s="164" t="s">
        <v>9697</v>
      </c>
      <c r="E257" s="163" t="s">
        <v>9074</v>
      </c>
    </row>
    <row r="258" spans="1:5" ht="14">
      <c r="A258" s="163" t="s">
        <v>9820</v>
      </c>
      <c r="B258" s="163" t="s">
        <v>9696</v>
      </c>
      <c r="C258" s="163" t="s">
        <v>9671</v>
      </c>
      <c r="D258" s="164" t="s">
        <v>9697</v>
      </c>
      <c r="E258" s="163" t="s">
        <v>9074</v>
      </c>
    </row>
    <row r="259" spans="1:5" ht="14">
      <c r="A259" s="163" t="s">
        <v>9821</v>
      </c>
      <c r="B259" s="163" t="s">
        <v>9696</v>
      </c>
      <c r="C259" s="163" t="s">
        <v>9671</v>
      </c>
      <c r="D259" s="164" t="s">
        <v>9697</v>
      </c>
      <c r="E259" s="163" t="s">
        <v>9074</v>
      </c>
    </row>
    <row r="260" spans="1:5" ht="14">
      <c r="A260" s="163" t="s">
        <v>9819</v>
      </c>
      <c r="B260" s="163" t="s">
        <v>9703</v>
      </c>
      <c r="C260" s="163" t="s">
        <v>9671</v>
      </c>
      <c r="D260" s="164" t="s">
        <v>9704</v>
      </c>
      <c r="E260" s="163" t="s">
        <v>9074</v>
      </c>
    </row>
    <row r="261" spans="1:5" ht="14">
      <c r="A261" s="163" t="s">
        <v>9820</v>
      </c>
      <c r="B261" s="163" t="s">
        <v>9703</v>
      </c>
      <c r="C261" s="163" t="s">
        <v>9671</v>
      </c>
      <c r="D261" s="164" t="s">
        <v>9704</v>
      </c>
      <c r="E261" s="163" t="s">
        <v>9074</v>
      </c>
    </row>
    <row r="262" spans="1:5" ht="14">
      <c r="A262" s="163" t="s">
        <v>9807</v>
      </c>
      <c r="B262" s="163" t="s">
        <v>9703</v>
      </c>
      <c r="C262" s="163" t="s">
        <v>9671</v>
      </c>
      <c r="D262" s="164" t="s">
        <v>9704</v>
      </c>
      <c r="E262" s="163" t="s">
        <v>9074</v>
      </c>
    </row>
    <row r="263" spans="1:5" ht="14">
      <c r="A263" s="163" t="s">
        <v>9806</v>
      </c>
      <c r="B263" s="163" t="s">
        <v>9703</v>
      </c>
      <c r="C263" s="163" t="s">
        <v>9671</v>
      </c>
      <c r="D263" s="164" t="s">
        <v>9704</v>
      </c>
      <c r="E263" s="163" t="s">
        <v>9074</v>
      </c>
    </row>
    <row r="264" spans="1:5" ht="14">
      <c r="A264" s="163" t="s">
        <v>9819</v>
      </c>
      <c r="B264" s="163" t="s">
        <v>9710</v>
      </c>
      <c r="C264" s="163" t="s">
        <v>9671</v>
      </c>
      <c r="D264" s="164" t="s">
        <v>9711</v>
      </c>
      <c r="E264" s="163" t="s">
        <v>9074</v>
      </c>
    </row>
    <row r="265" spans="1:5" ht="14">
      <c r="A265" s="163" t="s">
        <v>9820</v>
      </c>
      <c r="B265" s="163" t="s">
        <v>9710</v>
      </c>
      <c r="C265" s="163" t="s">
        <v>9671</v>
      </c>
      <c r="D265" s="164" t="s">
        <v>9711</v>
      </c>
      <c r="E265" s="163" t="s">
        <v>9074</v>
      </c>
    </row>
    <row r="266" spans="1:5" ht="14">
      <c r="A266" s="163" t="s">
        <v>9807</v>
      </c>
      <c r="B266" s="163" t="s">
        <v>9710</v>
      </c>
      <c r="C266" s="163" t="s">
        <v>9671</v>
      </c>
      <c r="D266" s="164" t="s">
        <v>9711</v>
      </c>
      <c r="E266" s="163" t="s">
        <v>9074</v>
      </c>
    </row>
    <row r="267" spans="1:5" ht="14">
      <c r="A267" s="163" t="s">
        <v>9806</v>
      </c>
      <c r="B267" s="163" t="s">
        <v>9710</v>
      </c>
      <c r="C267" s="163" t="s">
        <v>9671</v>
      </c>
      <c r="D267" s="164" t="s">
        <v>9711</v>
      </c>
      <c r="E267" s="163" t="s">
        <v>9074</v>
      </c>
    </row>
    <row r="268" spans="1:5" ht="14">
      <c r="A268" s="163" t="s">
        <v>9819</v>
      </c>
      <c r="B268" s="163" t="s">
        <v>9714</v>
      </c>
      <c r="C268" s="163" t="s">
        <v>9671</v>
      </c>
      <c r="D268" s="164" t="s">
        <v>9715</v>
      </c>
      <c r="E268" s="163" t="s">
        <v>9074</v>
      </c>
    </row>
    <row r="269" spans="1:5" ht="14">
      <c r="A269" s="163" t="s">
        <v>9820</v>
      </c>
      <c r="B269" s="163" t="s">
        <v>9714</v>
      </c>
      <c r="C269" s="163" t="s">
        <v>9671</v>
      </c>
      <c r="D269" s="164" t="s">
        <v>9715</v>
      </c>
      <c r="E269" s="163" t="s">
        <v>9074</v>
      </c>
    </row>
    <row r="270" spans="1:5" ht="14">
      <c r="A270" s="163" t="s">
        <v>9807</v>
      </c>
      <c r="B270" s="163" t="s">
        <v>9714</v>
      </c>
      <c r="C270" s="163" t="s">
        <v>9671</v>
      </c>
      <c r="D270" s="164" t="s">
        <v>9715</v>
      </c>
      <c r="E270" s="163" t="s">
        <v>9074</v>
      </c>
    </row>
    <row r="271" spans="1:5" ht="14">
      <c r="A271" s="163" t="s">
        <v>9806</v>
      </c>
      <c r="B271" s="163" t="s">
        <v>9714</v>
      </c>
      <c r="C271" s="163" t="s">
        <v>9671</v>
      </c>
      <c r="D271" s="164" t="s">
        <v>9715</v>
      </c>
      <c r="E271" s="163" t="s">
        <v>9074</v>
      </c>
    </row>
    <row r="272" spans="1:5" ht="14">
      <c r="A272" s="163" t="s">
        <v>9819</v>
      </c>
      <c r="B272" s="163" t="s">
        <v>9718</v>
      </c>
      <c r="C272" s="163" t="s">
        <v>9671</v>
      </c>
      <c r="D272" s="164" t="s">
        <v>9719</v>
      </c>
      <c r="E272" s="163" t="s">
        <v>9088</v>
      </c>
    </row>
    <row r="273" spans="1:5" ht="14">
      <c r="A273" s="163" t="s">
        <v>9820</v>
      </c>
      <c r="B273" s="163" t="s">
        <v>9718</v>
      </c>
      <c r="C273" s="163" t="s">
        <v>9671</v>
      </c>
      <c r="D273" s="164" t="s">
        <v>9719</v>
      </c>
      <c r="E273" s="163" t="s">
        <v>9088</v>
      </c>
    </row>
    <row r="274" spans="1:5" ht="14">
      <c r="A274" s="163" t="s">
        <v>9806</v>
      </c>
      <c r="B274" s="163" t="s">
        <v>9718</v>
      </c>
      <c r="C274" s="163" t="s">
        <v>9671</v>
      </c>
      <c r="D274" s="164" t="s">
        <v>9719</v>
      </c>
      <c r="E274" s="163" t="s">
        <v>9088</v>
      </c>
    </row>
    <row r="275" spans="1:5" ht="14">
      <c r="A275" s="163" t="s">
        <v>9819</v>
      </c>
      <c r="B275" s="163" t="s">
        <v>9722</v>
      </c>
      <c r="C275" s="163" t="s">
        <v>9671</v>
      </c>
      <c r="D275" s="164" t="s">
        <v>9723</v>
      </c>
      <c r="E275" s="163" t="s">
        <v>9088</v>
      </c>
    </row>
    <row r="276" spans="1:5" ht="14">
      <c r="A276" s="163" t="s">
        <v>9820</v>
      </c>
      <c r="B276" s="163" t="s">
        <v>9722</v>
      </c>
      <c r="C276" s="163" t="s">
        <v>9671</v>
      </c>
      <c r="D276" s="164" t="s">
        <v>9723</v>
      </c>
      <c r="E276" s="163" t="s">
        <v>9088</v>
      </c>
    </row>
    <row r="277" spans="1:5" ht="14">
      <c r="A277" s="163" t="s">
        <v>9259</v>
      </c>
      <c r="B277" s="163" t="s">
        <v>9722</v>
      </c>
      <c r="C277" s="163" t="s">
        <v>9671</v>
      </c>
      <c r="D277" s="164" t="s">
        <v>9723</v>
      </c>
      <c r="E277" s="163" t="s">
        <v>9088</v>
      </c>
    </row>
    <row r="278" spans="1:5" ht="14">
      <c r="A278" s="163" t="s">
        <v>9819</v>
      </c>
      <c r="B278" s="163" t="s">
        <v>9728</v>
      </c>
      <c r="C278" s="163" t="s">
        <v>9671</v>
      </c>
      <c r="D278" s="164" t="s">
        <v>9729</v>
      </c>
      <c r="E278" s="163" t="s">
        <v>9088</v>
      </c>
    </row>
    <row r="279" spans="1:5" ht="14">
      <c r="A279" s="163" t="s">
        <v>9820</v>
      </c>
      <c r="B279" s="163" t="s">
        <v>9728</v>
      </c>
      <c r="C279" s="163" t="s">
        <v>9671</v>
      </c>
      <c r="D279" s="164" t="s">
        <v>9729</v>
      </c>
      <c r="E279" s="163" t="s">
        <v>9088</v>
      </c>
    </row>
    <row r="280" spans="1:5" ht="14">
      <c r="A280" s="163" t="s">
        <v>9819</v>
      </c>
      <c r="B280" s="163" t="s">
        <v>9732</v>
      </c>
      <c r="C280" s="163" t="s">
        <v>9671</v>
      </c>
      <c r="D280" s="164" t="s">
        <v>9733</v>
      </c>
      <c r="E280" s="163" t="s">
        <v>9088</v>
      </c>
    </row>
    <row r="281" spans="1:5" ht="14">
      <c r="A281" s="163" t="s">
        <v>9236</v>
      </c>
      <c r="B281" s="163" t="s">
        <v>9732</v>
      </c>
      <c r="C281" s="163" t="s">
        <v>9671</v>
      </c>
      <c r="D281" s="164" t="s">
        <v>9733</v>
      </c>
      <c r="E281" s="163" t="s">
        <v>9088</v>
      </c>
    </row>
    <row r="282" spans="1:5" ht="14">
      <c r="A282" s="163" t="s">
        <v>9820</v>
      </c>
      <c r="B282" s="163" t="s">
        <v>9732</v>
      </c>
      <c r="C282" s="163" t="s">
        <v>9671</v>
      </c>
      <c r="D282" s="164" t="s">
        <v>9733</v>
      </c>
      <c r="E282" s="163" t="s">
        <v>9088</v>
      </c>
    </row>
    <row r="283" spans="1:5" ht="14">
      <c r="A283" s="163" t="s">
        <v>9806</v>
      </c>
      <c r="B283" s="163" t="s">
        <v>9732</v>
      </c>
      <c r="C283" s="163" t="s">
        <v>9671</v>
      </c>
      <c r="D283" s="164" t="s">
        <v>9733</v>
      </c>
      <c r="E283" s="163" t="s">
        <v>9088</v>
      </c>
    </row>
    <row r="284" spans="1:5" ht="14">
      <c r="A284" s="163" t="s">
        <v>9819</v>
      </c>
      <c r="B284" s="163" t="s">
        <v>9736</v>
      </c>
      <c r="C284" s="163" t="s">
        <v>9671</v>
      </c>
      <c r="D284" s="164" t="s">
        <v>9737</v>
      </c>
      <c r="E284" s="163" t="s">
        <v>9088</v>
      </c>
    </row>
    <row r="285" spans="1:5" ht="14">
      <c r="A285" s="163" t="s">
        <v>9253</v>
      </c>
      <c r="B285" s="163" t="s">
        <v>9736</v>
      </c>
      <c r="C285" s="163" t="s">
        <v>9671</v>
      </c>
      <c r="D285" s="164" t="s">
        <v>9737</v>
      </c>
      <c r="E285" s="163" t="s">
        <v>9088</v>
      </c>
    </row>
    <row r="286" spans="1:5" ht="14">
      <c r="A286" s="163" t="s">
        <v>9820</v>
      </c>
      <c r="B286" s="163" t="s">
        <v>9736</v>
      </c>
      <c r="C286" s="163" t="s">
        <v>9671</v>
      </c>
      <c r="D286" s="164" t="s">
        <v>9737</v>
      </c>
      <c r="E286" s="163" t="s">
        <v>9088</v>
      </c>
    </row>
    <row r="287" spans="1:5" ht="14">
      <c r="A287" s="163" t="s">
        <v>9819</v>
      </c>
      <c r="B287" s="163" t="s">
        <v>9742</v>
      </c>
      <c r="C287" s="163" t="s">
        <v>9671</v>
      </c>
      <c r="D287" s="164" t="s">
        <v>9743</v>
      </c>
      <c r="E287" s="163" t="s">
        <v>9176</v>
      </c>
    </row>
    <row r="288" spans="1:5" ht="14">
      <c r="A288" s="163" t="s">
        <v>9820</v>
      </c>
      <c r="B288" s="163" t="s">
        <v>9742</v>
      </c>
      <c r="C288" s="163" t="s">
        <v>9671</v>
      </c>
      <c r="D288" s="164" t="s">
        <v>9743</v>
      </c>
      <c r="E288" s="163" t="s">
        <v>9176</v>
      </c>
    </row>
    <row r="289" spans="1:5" ht="14">
      <c r="A289" s="163" t="s">
        <v>9253</v>
      </c>
      <c r="B289" s="163" t="s">
        <v>9742</v>
      </c>
      <c r="C289" s="163" t="s">
        <v>9671</v>
      </c>
      <c r="D289" s="164" t="s">
        <v>9743</v>
      </c>
      <c r="E289" s="163" t="s">
        <v>9176</v>
      </c>
    </row>
    <row r="290" spans="1:5" ht="14">
      <c r="A290" s="163" t="s">
        <v>9753</v>
      </c>
      <c r="B290" s="163" t="s">
        <v>9748</v>
      </c>
      <c r="C290" s="163" t="s">
        <v>9749</v>
      </c>
      <c r="D290" s="164" t="s">
        <v>9750</v>
      </c>
      <c r="E290" s="163" t="s">
        <v>9088</v>
      </c>
    </row>
    <row r="291" spans="1:5" ht="14">
      <c r="A291" s="163" t="s">
        <v>9753</v>
      </c>
      <c r="B291" s="163" t="s">
        <v>9756</v>
      </c>
      <c r="C291" s="163" t="s">
        <v>9749</v>
      </c>
      <c r="D291" s="164" t="s">
        <v>9757</v>
      </c>
      <c r="E291" s="163" t="s">
        <v>9176</v>
      </c>
    </row>
    <row r="292" spans="1:5" ht="14">
      <c r="A292" s="163" t="s">
        <v>9822</v>
      </c>
      <c r="B292" s="163" t="s">
        <v>9761</v>
      </c>
      <c r="C292" s="163" t="s">
        <v>9762</v>
      </c>
      <c r="D292" s="164" t="s">
        <v>9763</v>
      </c>
      <c r="E292" s="163" t="s">
        <v>9088</v>
      </c>
    </row>
    <row r="293" spans="1:5" ht="14">
      <c r="A293" s="163" t="s">
        <v>9814</v>
      </c>
      <c r="B293" s="163" t="s">
        <v>9761</v>
      </c>
      <c r="C293" s="163" t="s">
        <v>9762</v>
      </c>
      <c r="D293" s="164" t="s">
        <v>9763</v>
      </c>
      <c r="E293" s="163" t="s">
        <v>9088</v>
      </c>
    </row>
    <row r="294" spans="1:5" ht="14">
      <c r="A294" s="163" t="s">
        <v>9822</v>
      </c>
      <c r="B294" s="163" t="s">
        <v>9768</v>
      </c>
      <c r="C294" s="163" t="s">
        <v>9762</v>
      </c>
      <c r="D294" s="164" t="s">
        <v>9769</v>
      </c>
      <c r="E294" s="163" t="s">
        <v>9088</v>
      </c>
    </row>
    <row r="295" spans="1:5" ht="14">
      <c r="A295" s="163" t="s">
        <v>9814</v>
      </c>
      <c r="B295" s="163" t="s">
        <v>9768</v>
      </c>
      <c r="C295" s="163" t="s">
        <v>9762</v>
      </c>
      <c r="D295" s="164" t="s">
        <v>9769</v>
      </c>
      <c r="E295" s="163" t="s">
        <v>9088</v>
      </c>
    </row>
    <row r="296" spans="1:5" ht="14">
      <c r="A296" s="163" t="s">
        <v>9822</v>
      </c>
      <c r="B296" s="163" t="s">
        <v>9772</v>
      </c>
      <c r="C296" s="163" t="s">
        <v>9762</v>
      </c>
      <c r="D296" s="164" t="s">
        <v>9773</v>
      </c>
      <c r="E296" s="163" t="s">
        <v>9088</v>
      </c>
    </row>
    <row r="297" spans="1:5" ht="14">
      <c r="A297" s="163" t="s">
        <v>9814</v>
      </c>
      <c r="B297" s="163" t="s">
        <v>9772</v>
      </c>
      <c r="C297" s="163" t="s">
        <v>9762</v>
      </c>
      <c r="D297" s="164" t="s">
        <v>9773</v>
      </c>
      <c r="E297" s="163" t="s">
        <v>9088</v>
      </c>
    </row>
    <row r="298" spans="1:5" ht="14">
      <c r="A298" s="163" t="s">
        <v>9753</v>
      </c>
      <c r="B298" s="163" t="s">
        <v>9776</v>
      </c>
      <c r="C298" s="163" t="s">
        <v>9777</v>
      </c>
      <c r="D298" s="164" t="s">
        <v>9778</v>
      </c>
      <c r="E298" s="163" t="s">
        <v>9176</v>
      </c>
    </row>
    <row r="299" spans="1:5" ht="14">
      <c r="A299" s="163" t="s">
        <v>9236</v>
      </c>
      <c r="B299" s="163" t="s">
        <v>9776</v>
      </c>
      <c r="C299" s="163" t="s">
        <v>9777</v>
      </c>
      <c r="D299" s="164" t="s">
        <v>9778</v>
      </c>
      <c r="E299" s="163" t="s">
        <v>9176</v>
      </c>
    </row>
    <row r="300" spans="1:5" ht="14">
      <c r="A300" s="163" t="s">
        <v>9753</v>
      </c>
      <c r="B300" s="163" t="s">
        <v>9782</v>
      </c>
      <c r="C300" s="163" t="s">
        <v>9777</v>
      </c>
      <c r="D300" s="164" t="s">
        <v>9783</v>
      </c>
      <c r="E300" s="163" t="s">
        <v>9088</v>
      </c>
    </row>
    <row r="301" spans="1:5" ht="14">
      <c r="A301" s="163" t="s">
        <v>9403</v>
      </c>
      <c r="B301" s="163" t="s">
        <v>9786</v>
      </c>
      <c r="C301" s="163" t="s">
        <v>9399</v>
      </c>
      <c r="D301" s="164" t="s">
        <v>9787</v>
      </c>
      <c r="E301" s="163" t="s">
        <v>9176</v>
      </c>
    </row>
    <row r="302" spans="1:5" ht="14">
      <c r="A302" s="163" t="s">
        <v>9804</v>
      </c>
      <c r="B302" s="163" t="s">
        <v>9786</v>
      </c>
      <c r="C302" s="163" t="s">
        <v>9399</v>
      </c>
      <c r="D302" s="164" t="s">
        <v>9787</v>
      </c>
      <c r="E302" s="163" t="s">
        <v>9176</v>
      </c>
    </row>
    <row r="303" spans="1:5" ht="14">
      <c r="A303" s="163" t="s">
        <v>9403</v>
      </c>
      <c r="B303" s="163" t="s">
        <v>9791</v>
      </c>
      <c r="C303" s="163" t="s">
        <v>9399</v>
      </c>
      <c r="D303" s="164" t="s">
        <v>9792</v>
      </c>
      <c r="E303" s="163" t="s">
        <v>9176</v>
      </c>
    </row>
    <row r="304" spans="1:5" ht="14">
      <c r="A304" s="163" t="s">
        <v>9804</v>
      </c>
      <c r="B304" s="163" t="s">
        <v>9791</v>
      </c>
      <c r="C304" s="163" t="s">
        <v>9399</v>
      </c>
      <c r="D304" s="164" t="s">
        <v>9792</v>
      </c>
      <c r="E304" s="163" t="s">
        <v>9176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1"/>
  <sheetViews>
    <sheetView showGridLines="0" workbookViewId="0"/>
  </sheetViews>
  <sheetFormatPr baseColWidth="10" defaultColWidth="8.83203125" defaultRowHeight="13"/>
  <cols>
    <col min="1" max="1" width="20" customWidth="1"/>
    <col min="2" max="2" width="16" customWidth="1"/>
    <col min="3" max="3" width="28" customWidth="1"/>
    <col min="4" max="4" width="58" customWidth="1"/>
    <col min="5" max="5" width="42" customWidth="1"/>
    <col min="6" max="6" width="26" customWidth="1"/>
    <col min="7" max="7" width="22" customWidth="1"/>
    <col min="8" max="8" width="10" customWidth="1"/>
    <col min="9" max="10" width="58" customWidth="1"/>
    <col min="11" max="11" width="12" customWidth="1"/>
    <col min="12" max="12" width="18" customWidth="1"/>
  </cols>
  <sheetData>
    <row r="1" spans="1:12" ht="34" customHeight="1">
      <c r="A1" s="166" t="s">
        <v>9795</v>
      </c>
      <c r="B1" s="166" t="s">
        <v>8176</v>
      </c>
      <c r="C1" s="166" t="s">
        <v>9823</v>
      </c>
      <c r="D1" s="166" t="s">
        <v>9824</v>
      </c>
      <c r="E1" s="166" t="s">
        <v>9825</v>
      </c>
      <c r="F1" s="166" t="s">
        <v>9826</v>
      </c>
      <c r="G1" s="166" t="s">
        <v>6308</v>
      </c>
      <c r="H1" s="166" t="s">
        <v>9827</v>
      </c>
      <c r="I1" s="166" t="s">
        <v>9828</v>
      </c>
      <c r="J1" s="166" t="s">
        <v>9829</v>
      </c>
      <c r="K1" s="166" t="s">
        <v>6028</v>
      </c>
      <c r="L1" s="166" t="s">
        <v>9830</v>
      </c>
    </row>
    <row r="2" spans="1:12" ht="28">
      <c r="A2" s="163" t="s">
        <v>9152</v>
      </c>
      <c r="B2" s="163" t="s">
        <v>9831</v>
      </c>
      <c r="C2" s="164" t="s">
        <v>9832</v>
      </c>
      <c r="D2" s="164" t="s">
        <v>9833</v>
      </c>
      <c r="E2" s="164" t="s">
        <v>9834</v>
      </c>
      <c r="F2" s="164" t="s">
        <v>9835</v>
      </c>
      <c r="G2" s="164" t="s">
        <v>9836</v>
      </c>
      <c r="H2" s="164" t="s">
        <v>9837</v>
      </c>
      <c r="I2" s="164" t="s">
        <v>9838</v>
      </c>
      <c r="J2" s="164" t="s">
        <v>9839</v>
      </c>
      <c r="K2" s="164" t="s">
        <v>9840</v>
      </c>
      <c r="L2" s="163">
        <f>COUNTIF('Decision Requirement Map'!$A$2:$A$304,A2)</f>
        <v>6</v>
      </c>
    </row>
    <row r="3" spans="1:12" ht="28">
      <c r="A3" s="163" t="s">
        <v>9159</v>
      </c>
      <c r="B3" s="163" t="s">
        <v>9831</v>
      </c>
      <c r="C3" s="164" t="s">
        <v>9841</v>
      </c>
      <c r="D3" s="164" t="s">
        <v>9842</v>
      </c>
      <c r="E3" s="164" t="s">
        <v>9843</v>
      </c>
      <c r="F3" s="164" t="s">
        <v>9844</v>
      </c>
      <c r="G3" s="164" t="s">
        <v>9845</v>
      </c>
      <c r="H3" s="164" t="s">
        <v>9837</v>
      </c>
      <c r="I3" s="164" t="s">
        <v>9846</v>
      </c>
      <c r="J3" s="164" t="s">
        <v>9839</v>
      </c>
      <c r="K3" s="164" t="s">
        <v>9840</v>
      </c>
      <c r="L3" s="163">
        <f>COUNTIF('Decision Requirement Map'!$A$2:$A$304,A3)</f>
        <v>16</v>
      </c>
    </row>
    <row r="4" spans="1:12" ht="28">
      <c r="A4" s="163" t="s">
        <v>9822</v>
      </c>
      <c r="B4" s="163" t="s">
        <v>9762</v>
      </c>
      <c r="C4" s="164" t="s">
        <v>9847</v>
      </c>
      <c r="D4" s="164" t="s">
        <v>9848</v>
      </c>
      <c r="E4" s="164" t="s">
        <v>9849</v>
      </c>
      <c r="F4" s="164" t="s">
        <v>9850</v>
      </c>
      <c r="G4" s="164" t="s">
        <v>9851</v>
      </c>
      <c r="H4" s="164" t="s">
        <v>9837</v>
      </c>
      <c r="I4" s="164" t="s">
        <v>9852</v>
      </c>
      <c r="J4" s="164" t="s">
        <v>9853</v>
      </c>
      <c r="K4" s="164" t="s">
        <v>9840</v>
      </c>
      <c r="L4" s="163">
        <f>COUNTIF('Decision Requirement Map'!$A$2:$A$304,A4)</f>
        <v>3</v>
      </c>
    </row>
    <row r="5" spans="1:12" ht="28">
      <c r="A5" s="163" t="s">
        <v>9814</v>
      </c>
      <c r="B5" s="163" t="s">
        <v>9762</v>
      </c>
      <c r="C5" s="164" t="s">
        <v>9854</v>
      </c>
      <c r="D5" s="164" t="s">
        <v>9855</v>
      </c>
      <c r="E5" s="164" t="s">
        <v>9856</v>
      </c>
      <c r="F5" s="164" t="s">
        <v>9857</v>
      </c>
      <c r="G5" s="164" t="s">
        <v>9858</v>
      </c>
      <c r="H5" s="164" t="s">
        <v>9837</v>
      </c>
      <c r="I5" s="164" t="s">
        <v>9859</v>
      </c>
      <c r="J5" s="164" t="s">
        <v>9839</v>
      </c>
      <c r="K5" s="164" t="s">
        <v>9840</v>
      </c>
      <c r="L5" s="163">
        <f>COUNTIF('Decision Requirement Map'!$A$2:$A$304,A5)</f>
        <v>6</v>
      </c>
    </row>
    <row r="6" spans="1:12" ht="28">
      <c r="A6" s="163" t="s">
        <v>9175</v>
      </c>
      <c r="B6" s="163" t="s">
        <v>9860</v>
      </c>
      <c r="C6" s="164" t="s">
        <v>9861</v>
      </c>
      <c r="D6" s="164" t="s">
        <v>9862</v>
      </c>
      <c r="E6" s="164" t="s">
        <v>9863</v>
      </c>
      <c r="F6" s="164" t="s">
        <v>9864</v>
      </c>
      <c r="G6" s="164" t="s">
        <v>9865</v>
      </c>
      <c r="H6" s="164" t="s">
        <v>9837</v>
      </c>
      <c r="I6" s="164" t="s">
        <v>9866</v>
      </c>
      <c r="J6" s="164" t="s">
        <v>9839</v>
      </c>
      <c r="K6" s="164" t="s">
        <v>9840</v>
      </c>
      <c r="L6" s="163">
        <f>COUNTIF('Decision Requirement Map'!$A$2:$A$304,A6)</f>
        <v>6</v>
      </c>
    </row>
    <row r="7" spans="1:12" ht="28">
      <c r="A7" s="163" t="s">
        <v>9807</v>
      </c>
      <c r="B7" s="163" t="s">
        <v>9867</v>
      </c>
      <c r="C7" s="164" t="s">
        <v>9868</v>
      </c>
      <c r="D7" s="164" t="s">
        <v>9869</v>
      </c>
      <c r="E7" s="164" t="s">
        <v>9870</v>
      </c>
      <c r="F7" s="164" t="s">
        <v>9871</v>
      </c>
      <c r="G7" s="164" t="s">
        <v>9872</v>
      </c>
      <c r="H7" s="164" t="s">
        <v>9837</v>
      </c>
      <c r="I7" s="164" t="s">
        <v>9873</v>
      </c>
      <c r="J7" s="164" t="s">
        <v>9839</v>
      </c>
      <c r="K7" s="164" t="s">
        <v>9840</v>
      </c>
      <c r="L7" s="163">
        <f>COUNTIF('Decision Requirement Map'!$A$2:$A$304,A7)</f>
        <v>9</v>
      </c>
    </row>
    <row r="8" spans="1:12" ht="28">
      <c r="A8" s="163" t="s">
        <v>9236</v>
      </c>
      <c r="B8" s="163" t="s">
        <v>9867</v>
      </c>
      <c r="C8" s="164" t="s">
        <v>9874</v>
      </c>
      <c r="D8" s="164" t="s">
        <v>9875</v>
      </c>
      <c r="E8" s="164" t="s">
        <v>9876</v>
      </c>
      <c r="F8" s="164" t="s">
        <v>9877</v>
      </c>
      <c r="G8" s="164" t="s">
        <v>9878</v>
      </c>
      <c r="H8" s="164" t="s">
        <v>9837</v>
      </c>
      <c r="I8" s="164" t="s">
        <v>9879</v>
      </c>
      <c r="J8" s="164" t="s">
        <v>9880</v>
      </c>
      <c r="K8" s="164" t="s">
        <v>9840</v>
      </c>
      <c r="L8" s="163">
        <f>COUNTIF('Decision Requirement Map'!$A$2:$A$304,A8)</f>
        <v>17</v>
      </c>
    </row>
    <row r="9" spans="1:12" ht="28">
      <c r="A9" s="163" t="s">
        <v>9403</v>
      </c>
      <c r="B9" s="163" t="s">
        <v>9881</v>
      </c>
      <c r="C9" s="164" t="s">
        <v>9882</v>
      </c>
      <c r="D9" s="164" t="s">
        <v>9883</v>
      </c>
      <c r="E9" s="164" t="s">
        <v>9884</v>
      </c>
      <c r="F9" s="164" t="s">
        <v>9885</v>
      </c>
      <c r="G9" s="164" t="s">
        <v>7697</v>
      </c>
      <c r="H9" s="164" t="s">
        <v>9837</v>
      </c>
      <c r="I9" s="164" t="s">
        <v>9886</v>
      </c>
      <c r="J9" s="164" t="s">
        <v>9887</v>
      </c>
      <c r="K9" s="164" t="s">
        <v>9840</v>
      </c>
      <c r="L9" s="163">
        <f>COUNTIF('Decision Requirement Map'!$A$2:$A$304,A9)</f>
        <v>24</v>
      </c>
    </row>
    <row r="10" spans="1:12" ht="28">
      <c r="A10" s="163" t="s">
        <v>9812</v>
      </c>
      <c r="B10" s="163" t="s">
        <v>9881</v>
      </c>
      <c r="C10" s="164" t="s">
        <v>9888</v>
      </c>
      <c r="D10" s="164" t="s">
        <v>9889</v>
      </c>
      <c r="E10" s="164" t="s">
        <v>9890</v>
      </c>
      <c r="F10" s="164" t="s">
        <v>9891</v>
      </c>
      <c r="G10" s="164" t="s">
        <v>9892</v>
      </c>
      <c r="H10" s="164" t="s">
        <v>9837</v>
      </c>
      <c r="I10" s="164" t="s">
        <v>9893</v>
      </c>
      <c r="J10" s="164" t="s">
        <v>9887</v>
      </c>
      <c r="K10" s="164" t="s">
        <v>9840</v>
      </c>
      <c r="L10" s="163">
        <f>COUNTIF('Decision Requirement Map'!$A$2:$A$304,A10)</f>
        <v>6</v>
      </c>
    </row>
    <row r="11" spans="1:12" ht="28">
      <c r="A11" s="163" t="s">
        <v>9804</v>
      </c>
      <c r="B11" s="163" t="s">
        <v>9881</v>
      </c>
      <c r="C11" s="164" t="s">
        <v>9894</v>
      </c>
      <c r="D11" s="164" t="s">
        <v>9895</v>
      </c>
      <c r="E11" s="164" t="s">
        <v>9896</v>
      </c>
      <c r="F11" s="164" t="s">
        <v>9897</v>
      </c>
      <c r="G11" s="164" t="s">
        <v>9898</v>
      </c>
      <c r="H11" s="164" t="s">
        <v>9837</v>
      </c>
      <c r="I11" s="164" t="s">
        <v>9899</v>
      </c>
      <c r="J11" s="164" t="s">
        <v>9887</v>
      </c>
      <c r="K11" s="164" t="s">
        <v>9840</v>
      </c>
      <c r="L11" s="163">
        <f>COUNTIF('Decision Requirement Map'!$A$2:$A$304,A11)</f>
        <v>11</v>
      </c>
    </row>
    <row r="12" spans="1:12" ht="28">
      <c r="A12" s="163" t="s">
        <v>9801</v>
      </c>
      <c r="B12" s="163" t="s">
        <v>9881</v>
      </c>
      <c r="C12" s="164" t="s">
        <v>9900</v>
      </c>
      <c r="D12" s="164" t="s">
        <v>9901</v>
      </c>
      <c r="E12" s="164" t="s">
        <v>9902</v>
      </c>
      <c r="F12" s="164" t="s">
        <v>9903</v>
      </c>
      <c r="G12" s="164" t="s">
        <v>9904</v>
      </c>
      <c r="H12" s="164" t="s">
        <v>9837</v>
      </c>
      <c r="I12" s="164" t="s">
        <v>9905</v>
      </c>
      <c r="J12" s="164" t="s">
        <v>9887</v>
      </c>
      <c r="K12" s="164" t="s">
        <v>9840</v>
      </c>
      <c r="L12" s="163">
        <f>COUNTIF('Decision Requirement Map'!$A$2:$A$304,A12)</f>
        <v>16</v>
      </c>
    </row>
    <row r="13" spans="1:12" ht="28">
      <c r="A13" s="163" t="s">
        <v>9813</v>
      </c>
      <c r="B13" s="163" t="s">
        <v>9881</v>
      </c>
      <c r="C13" s="164" t="s">
        <v>9906</v>
      </c>
      <c r="D13" s="164" t="s">
        <v>9907</v>
      </c>
      <c r="E13" s="164" t="s">
        <v>9908</v>
      </c>
      <c r="F13" s="164" t="s">
        <v>9909</v>
      </c>
      <c r="G13" s="164" t="s">
        <v>9910</v>
      </c>
      <c r="H13" s="164" t="s">
        <v>9837</v>
      </c>
      <c r="I13" s="164" t="s">
        <v>9911</v>
      </c>
      <c r="J13" s="164" t="s">
        <v>9887</v>
      </c>
      <c r="K13" s="164" t="s">
        <v>9840</v>
      </c>
      <c r="L13" s="163">
        <f>COUNTIF('Decision Requirement Map'!$A$2:$A$304,A13)</f>
        <v>6</v>
      </c>
    </row>
    <row r="14" spans="1:12" ht="28">
      <c r="A14" s="163" t="s">
        <v>9259</v>
      </c>
      <c r="B14" s="163" t="s">
        <v>9881</v>
      </c>
      <c r="C14" s="164" t="s">
        <v>9912</v>
      </c>
      <c r="D14" s="164" t="s">
        <v>9913</v>
      </c>
      <c r="E14" s="164" t="s">
        <v>9914</v>
      </c>
      <c r="F14" s="164" t="s">
        <v>9915</v>
      </c>
      <c r="G14" s="164" t="s">
        <v>9916</v>
      </c>
      <c r="H14" s="164" t="s">
        <v>9917</v>
      </c>
      <c r="I14" s="164" t="s">
        <v>9918</v>
      </c>
      <c r="J14" s="164" t="s">
        <v>9839</v>
      </c>
      <c r="K14" s="164" t="s">
        <v>9840</v>
      </c>
      <c r="L14" s="163">
        <f>COUNTIF('Decision Requirement Map'!$A$2:$A$304,A14)</f>
        <v>9</v>
      </c>
    </row>
    <row r="15" spans="1:12" ht="28">
      <c r="A15" s="163" t="s">
        <v>9810</v>
      </c>
      <c r="B15" s="163" t="s">
        <v>9881</v>
      </c>
      <c r="C15" s="164" t="s">
        <v>9919</v>
      </c>
      <c r="D15" s="164" t="s">
        <v>9920</v>
      </c>
      <c r="E15" s="164" t="s">
        <v>9921</v>
      </c>
      <c r="F15" s="164" t="s">
        <v>9922</v>
      </c>
      <c r="G15" s="164" t="s">
        <v>9923</v>
      </c>
      <c r="H15" s="164" t="s">
        <v>9917</v>
      </c>
      <c r="I15" s="164" t="s">
        <v>9924</v>
      </c>
      <c r="J15" s="164" t="s">
        <v>9925</v>
      </c>
      <c r="K15" s="164" t="s">
        <v>9840</v>
      </c>
      <c r="L15" s="163">
        <f>COUNTIF('Decision Requirement Map'!$A$2:$A$304,A15)</f>
        <v>1</v>
      </c>
    </row>
    <row r="16" spans="1:12" ht="28">
      <c r="A16" s="163" t="s">
        <v>9811</v>
      </c>
      <c r="B16" s="163" t="s">
        <v>9881</v>
      </c>
      <c r="C16" s="164" t="s">
        <v>9926</v>
      </c>
      <c r="D16" s="164" t="s">
        <v>9927</v>
      </c>
      <c r="E16" s="164" t="s">
        <v>9928</v>
      </c>
      <c r="F16" s="164" t="s">
        <v>9929</v>
      </c>
      <c r="G16" s="164" t="s">
        <v>9930</v>
      </c>
      <c r="H16" s="164" t="s">
        <v>9917</v>
      </c>
      <c r="I16" s="164" t="s">
        <v>9931</v>
      </c>
      <c r="J16" s="164" t="s">
        <v>9932</v>
      </c>
      <c r="K16" s="164" t="s">
        <v>9840</v>
      </c>
      <c r="L16" s="163">
        <f>COUNTIF('Decision Requirement Map'!$A$2:$A$304,A16)</f>
        <v>1</v>
      </c>
    </row>
    <row r="17" spans="1:12" ht="28">
      <c r="A17" s="163" t="s">
        <v>9819</v>
      </c>
      <c r="B17" s="163" t="s">
        <v>9933</v>
      </c>
      <c r="C17" s="164" t="s">
        <v>9934</v>
      </c>
      <c r="D17" s="164" t="s">
        <v>9935</v>
      </c>
      <c r="E17" s="164" t="s">
        <v>9936</v>
      </c>
      <c r="F17" s="164" t="s">
        <v>9937</v>
      </c>
      <c r="G17" s="164" t="s">
        <v>9938</v>
      </c>
      <c r="H17" s="164" t="s">
        <v>9837</v>
      </c>
      <c r="I17" s="164" t="s">
        <v>9939</v>
      </c>
      <c r="J17" s="164" t="s">
        <v>9940</v>
      </c>
      <c r="K17" s="164" t="s">
        <v>9840</v>
      </c>
      <c r="L17" s="163">
        <f>COUNTIF('Decision Requirement Map'!$A$2:$A$304,A17)</f>
        <v>15</v>
      </c>
    </row>
    <row r="18" spans="1:12" ht="28">
      <c r="A18" s="163" t="s">
        <v>9820</v>
      </c>
      <c r="B18" s="163" t="s">
        <v>9933</v>
      </c>
      <c r="C18" s="164" t="s">
        <v>9941</v>
      </c>
      <c r="D18" s="164" t="s">
        <v>9942</v>
      </c>
      <c r="E18" s="164" t="s">
        <v>9943</v>
      </c>
      <c r="F18" s="164" t="s">
        <v>9944</v>
      </c>
      <c r="G18" s="164" t="s">
        <v>9945</v>
      </c>
      <c r="H18" s="164" t="s">
        <v>9837</v>
      </c>
      <c r="I18" s="164" t="s">
        <v>9946</v>
      </c>
      <c r="J18" s="164" t="s">
        <v>9940</v>
      </c>
      <c r="K18" s="164" t="s">
        <v>9840</v>
      </c>
      <c r="L18" s="163">
        <f>COUNTIF('Decision Requirement Map'!$A$2:$A$304,A18)</f>
        <v>14</v>
      </c>
    </row>
    <row r="19" spans="1:12" ht="28">
      <c r="A19" s="163" t="s">
        <v>9947</v>
      </c>
      <c r="B19" s="163" t="s">
        <v>9933</v>
      </c>
      <c r="C19" s="164" t="s">
        <v>9948</v>
      </c>
      <c r="D19" s="164" t="s">
        <v>9949</v>
      </c>
      <c r="E19" s="164" t="s">
        <v>9950</v>
      </c>
      <c r="F19" s="164" t="s">
        <v>9951</v>
      </c>
      <c r="G19" s="164" t="s">
        <v>9952</v>
      </c>
      <c r="H19" s="164" t="s">
        <v>9917</v>
      </c>
      <c r="I19" s="164" t="s">
        <v>9953</v>
      </c>
      <c r="J19" s="164" t="s">
        <v>9940</v>
      </c>
      <c r="K19" s="164" t="s">
        <v>9840</v>
      </c>
      <c r="L19" s="163">
        <f>COUNTIF('Decision Requirement Map'!$A$2:$A$304,A19)</f>
        <v>0</v>
      </c>
    </row>
    <row r="20" spans="1:12" ht="28">
      <c r="A20" s="163" t="s">
        <v>9954</v>
      </c>
      <c r="B20" s="163" t="s">
        <v>9933</v>
      </c>
      <c r="C20" s="164" t="s">
        <v>9955</v>
      </c>
      <c r="D20" s="164" t="s">
        <v>9956</v>
      </c>
      <c r="E20" s="164" t="s">
        <v>9957</v>
      </c>
      <c r="F20" s="164" t="s">
        <v>9958</v>
      </c>
      <c r="G20" s="164" t="s">
        <v>9959</v>
      </c>
      <c r="H20" s="164" t="s">
        <v>9917</v>
      </c>
      <c r="I20" s="164" t="s">
        <v>9960</v>
      </c>
      <c r="J20" s="164" t="s">
        <v>9961</v>
      </c>
      <c r="K20" s="164" t="s">
        <v>9840</v>
      </c>
      <c r="L20" s="163">
        <f>COUNTIF('Decision Requirement Map'!$A$2:$A$304,A20)</f>
        <v>0</v>
      </c>
    </row>
    <row r="21" spans="1:12" ht="28">
      <c r="A21" s="163" t="s">
        <v>9821</v>
      </c>
      <c r="B21" s="163" t="s">
        <v>9933</v>
      </c>
      <c r="C21" s="164" t="s">
        <v>9962</v>
      </c>
      <c r="D21" s="164" t="s">
        <v>9963</v>
      </c>
      <c r="E21" s="164" t="s">
        <v>9964</v>
      </c>
      <c r="F21" s="164" t="s">
        <v>9965</v>
      </c>
      <c r="G21" s="164" t="s">
        <v>9966</v>
      </c>
      <c r="H21" s="164" t="s">
        <v>9837</v>
      </c>
      <c r="I21" s="164" t="s">
        <v>9967</v>
      </c>
      <c r="J21" s="164" t="s">
        <v>9968</v>
      </c>
      <c r="K21" s="164" t="s">
        <v>9840</v>
      </c>
      <c r="L21" s="163">
        <f>COUNTIF('Decision Requirement Map'!$A$2:$A$304,A21)</f>
        <v>1</v>
      </c>
    </row>
    <row r="22" spans="1:12" ht="28">
      <c r="A22" s="163" t="s">
        <v>9805</v>
      </c>
      <c r="B22" s="163" t="s">
        <v>9867</v>
      </c>
      <c r="C22" s="164" t="s">
        <v>9969</v>
      </c>
      <c r="D22" s="164" t="s">
        <v>9970</v>
      </c>
      <c r="E22" s="164" t="s">
        <v>9971</v>
      </c>
      <c r="F22" s="164" t="s">
        <v>9972</v>
      </c>
      <c r="G22" s="164" t="s">
        <v>9973</v>
      </c>
      <c r="H22" s="164" t="s">
        <v>9837</v>
      </c>
      <c r="I22" s="164" t="s">
        <v>9974</v>
      </c>
      <c r="J22" s="164" t="s">
        <v>9975</v>
      </c>
      <c r="K22" s="164" t="s">
        <v>9840</v>
      </c>
      <c r="L22" s="163">
        <f>COUNTIF('Decision Requirement Map'!$A$2:$A$304,A22)</f>
        <v>9</v>
      </c>
    </row>
    <row r="23" spans="1:12" ht="28">
      <c r="A23" s="163" t="s">
        <v>9806</v>
      </c>
      <c r="B23" s="163" t="s">
        <v>9867</v>
      </c>
      <c r="C23" s="164" t="s">
        <v>9976</v>
      </c>
      <c r="D23" s="164" t="s">
        <v>9977</v>
      </c>
      <c r="E23" s="164" t="s">
        <v>9978</v>
      </c>
      <c r="F23" s="164" t="s">
        <v>9979</v>
      </c>
      <c r="G23" s="164" t="s">
        <v>9980</v>
      </c>
      <c r="H23" s="164" t="s">
        <v>9837</v>
      </c>
      <c r="I23" s="164" t="s">
        <v>9981</v>
      </c>
      <c r="J23" s="164" t="s">
        <v>9975</v>
      </c>
      <c r="K23" s="164" t="s">
        <v>9840</v>
      </c>
      <c r="L23" s="163">
        <f>COUNTIF('Decision Requirement Map'!$A$2:$A$304,A23)</f>
        <v>14</v>
      </c>
    </row>
    <row r="24" spans="1:12" ht="28">
      <c r="A24" s="163" t="s">
        <v>9169</v>
      </c>
      <c r="B24" s="163" t="s">
        <v>9982</v>
      </c>
      <c r="C24" s="164" t="s">
        <v>9983</v>
      </c>
      <c r="D24" s="164" t="s">
        <v>9984</v>
      </c>
      <c r="E24" s="164" t="s">
        <v>9985</v>
      </c>
      <c r="F24" s="164" t="s">
        <v>9986</v>
      </c>
      <c r="G24" s="164" t="s">
        <v>9987</v>
      </c>
      <c r="H24" s="164" t="s">
        <v>9837</v>
      </c>
      <c r="I24" s="164" t="s">
        <v>9988</v>
      </c>
      <c r="J24" s="164" t="s">
        <v>9968</v>
      </c>
      <c r="K24" s="164" t="s">
        <v>9840</v>
      </c>
      <c r="L24" s="163">
        <f>COUNTIF('Decision Requirement Map'!$A$2:$A$304,A24)</f>
        <v>2</v>
      </c>
    </row>
    <row r="25" spans="1:12" ht="28">
      <c r="A25" s="163" t="s">
        <v>9301</v>
      </c>
      <c r="B25" s="163" t="s">
        <v>9982</v>
      </c>
      <c r="C25" s="164" t="s">
        <v>9989</v>
      </c>
      <c r="D25" s="164" t="s">
        <v>9990</v>
      </c>
      <c r="E25" s="164" t="s">
        <v>9991</v>
      </c>
      <c r="F25" s="164" t="s">
        <v>9992</v>
      </c>
      <c r="G25" s="164" t="s">
        <v>9993</v>
      </c>
      <c r="H25" s="164" t="s">
        <v>9837</v>
      </c>
      <c r="I25" s="164" t="s">
        <v>9994</v>
      </c>
      <c r="J25" s="164" t="s">
        <v>9968</v>
      </c>
      <c r="K25" s="164" t="s">
        <v>9840</v>
      </c>
      <c r="L25" s="163">
        <f>COUNTIF('Decision Requirement Map'!$A$2:$A$304,A25)</f>
        <v>3</v>
      </c>
    </row>
    <row r="26" spans="1:12" ht="28">
      <c r="A26" s="163" t="s">
        <v>9995</v>
      </c>
      <c r="B26" s="163" t="s">
        <v>9982</v>
      </c>
      <c r="C26" s="164" t="s">
        <v>9996</v>
      </c>
      <c r="D26" s="164" t="s">
        <v>9997</v>
      </c>
      <c r="E26" s="164" t="s">
        <v>9998</v>
      </c>
      <c r="F26" s="164" t="s">
        <v>9999</v>
      </c>
      <c r="G26" s="164" t="s">
        <v>10000</v>
      </c>
      <c r="H26" s="164" t="s">
        <v>9917</v>
      </c>
      <c r="I26" s="164" t="s">
        <v>10001</v>
      </c>
      <c r="J26" s="164" t="s">
        <v>9968</v>
      </c>
      <c r="K26" s="164" t="s">
        <v>9840</v>
      </c>
      <c r="L26" s="163">
        <f>COUNTIF('Decision Requirement Map'!$A$2:$A$304,A26)</f>
        <v>0</v>
      </c>
    </row>
    <row r="27" spans="1:12" ht="28">
      <c r="A27" s="163" t="s">
        <v>9253</v>
      </c>
      <c r="B27" s="163" t="s">
        <v>10002</v>
      </c>
      <c r="C27" s="164" t="s">
        <v>10003</v>
      </c>
      <c r="D27" s="164" t="s">
        <v>10004</v>
      </c>
      <c r="E27" s="164" t="s">
        <v>10005</v>
      </c>
      <c r="F27" s="164" t="s">
        <v>10006</v>
      </c>
      <c r="G27" s="164" t="s">
        <v>10007</v>
      </c>
      <c r="H27" s="164" t="s">
        <v>9837</v>
      </c>
      <c r="I27" s="164" t="s">
        <v>10008</v>
      </c>
      <c r="J27" s="164" t="s">
        <v>9880</v>
      </c>
      <c r="K27" s="164" t="s">
        <v>9840</v>
      </c>
      <c r="L27" s="163">
        <f>COUNTIF('Decision Requirement Map'!$A$2:$A$304,A27)</f>
        <v>3</v>
      </c>
    </row>
    <row r="28" spans="1:12" ht="28">
      <c r="A28" s="163" t="s">
        <v>9521</v>
      </c>
      <c r="B28" s="163" t="s">
        <v>10009</v>
      </c>
      <c r="C28" s="164" t="s">
        <v>10010</v>
      </c>
      <c r="D28" s="164" t="s">
        <v>10011</v>
      </c>
      <c r="E28" s="164" t="s">
        <v>10012</v>
      </c>
      <c r="F28" s="164" t="s">
        <v>10013</v>
      </c>
      <c r="G28" s="164" t="s">
        <v>10014</v>
      </c>
      <c r="H28" s="164" t="s">
        <v>9917</v>
      </c>
      <c r="I28" s="164" t="s">
        <v>10015</v>
      </c>
      <c r="J28" s="164" t="s">
        <v>9853</v>
      </c>
      <c r="K28" s="164" t="s">
        <v>9840</v>
      </c>
      <c r="L28" s="163">
        <f>COUNTIF('Decision Requirement Map'!$A$2:$A$304,A28)</f>
        <v>13</v>
      </c>
    </row>
    <row r="29" spans="1:12" ht="28">
      <c r="A29" s="163" t="s">
        <v>9809</v>
      </c>
      <c r="B29" s="163" t="s">
        <v>10009</v>
      </c>
      <c r="C29" s="164" t="s">
        <v>10016</v>
      </c>
      <c r="D29" s="164" t="s">
        <v>10017</v>
      </c>
      <c r="E29" s="164" t="s">
        <v>10018</v>
      </c>
      <c r="F29" s="164" t="s">
        <v>10019</v>
      </c>
      <c r="G29" s="164" t="s">
        <v>10020</v>
      </c>
      <c r="H29" s="164" t="s">
        <v>9917</v>
      </c>
      <c r="I29" s="164" t="s">
        <v>10021</v>
      </c>
      <c r="J29" s="164" t="s">
        <v>9853</v>
      </c>
      <c r="K29" s="164" t="s">
        <v>9840</v>
      </c>
      <c r="L29" s="163">
        <f>COUNTIF('Decision Requirement Map'!$A$2:$A$304,A29)</f>
        <v>7</v>
      </c>
    </row>
    <row r="30" spans="1:12" ht="28">
      <c r="A30" s="163" t="s">
        <v>9815</v>
      </c>
      <c r="B30" s="163" t="s">
        <v>10009</v>
      </c>
      <c r="C30" s="164" t="s">
        <v>10022</v>
      </c>
      <c r="D30" s="164" t="s">
        <v>10023</v>
      </c>
      <c r="E30" s="164" t="s">
        <v>10024</v>
      </c>
      <c r="F30" s="164" t="s">
        <v>10025</v>
      </c>
      <c r="G30" s="164" t="s">
        <v>10020</v>
      </c>
      <c r="H30" s="164" t="s">
        <v>9917</v>
      </c>
      <c r="I30" s="164" t="s">
        <v>10026</v>
      </c>
      <c r="J30" s="164" t="s">
        <v>9853</v>
      </c>
      <c r="K30" s="164" t="s">
        <v>9840</v>
      </c>
      <c r="L30" s="163">
        <f>COUNTIF('Decision Requirement Map'!$A$2:$A$304,A30)</f>
        <v>1</v>
      </c>
    </row>
    <row r="31" spans="1:12" ht="28">
      <c r="A31" s="163" t="s">
        <v>9802</v>
      </c>
      <c r="B31" s="163" t="s">
        <v>10027</v>
      </c>
      <c r="C31" s="164" t="s">
        <v>10028</v>
      </c>
      <c r="D31" s="164" t="s">
        <v>10029</v>
      </c>
      <c r="E31" s="164" t="s">
        <v>10030</v>
      </c>
      <c r="F31" s="164" t="s">
        <v>10031</v>
      </c>
      <c r="G31" s="164" t="s">
        <v>10032</v>
      </c>
      <c r="H31" s="164" t="s">
        <v>9917</v>
      </c>
      <c r="I31" s="164" t="s">
        <v>10033</v>
      </c>
      <c r="J31" s="164" t="s">
        <v>10034</v>
      </c>
      <c r="K31" s="164" t="s">
        <v>9840</v>
      </c>
      <c r="L31" s="163">
        <f>COUNTIF('Decision Requirement Map'!$A$2:$A$304,A31)</f>
        <v>10</v>
      </c>
    </row>
    <row r="32" spans="1:12" ht="28">
      <c r="A32" s="163" t="s">
        <v>9803</v>
      </c>
      <c r="B32" s="163" t="s">
        <v>10027</v>
      </c>
      <c r="C32" s="164" t="s">
        <v>10035</v>
      </c>
      <c r="D32" s="164" t="s">
        <v>10036</v>
      </c>
      <c r="E32" s="164" t="s">
        <v>9978</v>
      </c>
      <c r="F32" s="164" t="s">
        <v>10037</v>
      </c>
      <c r="G32" s="164" t="s">
        <v>9980</v>
      </c>
      <c r="H32" s="164" t="s">
        <v>9917</v>
      </c>
      <c r="I32" s="164" t="s">
        <v>10038</v>
      </c>
      <c r="J32" s="164" t="s">
        <v>10034</v>
      </c>
      <c r="K32" s="164" t="s">
        <v>9840</v>
      </c>
      <c r="L32" s="163">
        <f>COUNTIF('Decision Requirement Map'!$A$2:$A$304,A32)</f>
        <v>10</v>
      </c>
    </row>
    <row r="33" spans="1:12" ht="28">
      <c r="A33" s="163" t="s">
        <v>9817</v>
      </c>
      <c r="B33" s="163" t="s">
        <v>10039</v>
      </c>
      <c r="C33" s="164" t="s">
        <v>10040</v>
      </c>
      <c r="D33" s="164" t="s">
        <v>10041</v>
      </c>
      <c r="E33" s="164" t="s">
        <v>10030</v>
      </c>
      <c r="F33" s="164" t="s">
        <v>10042</v>
      </c>
      <c r="G33" s="164" t="s">
        <v>10032</v>
      </c>
      <c r="H33" s="164" t="s">
        <v>9917</v>
      </c>
      <c r="I33" s="164" t="s">
        <v>10043</v>
      </c>
      <c r="J33" s="164" t="s">
        <v>10044</v>
      </c>
      <c r="K33" s="164" t="s">
        <v>9840</v>
      </c>
      <c r="L33" s="163">
        <f>COUNTIF('Decision Requirement Map'!$A$2:$A$304,A33)</f>
        <v>10</v>
      </c>
    </row>
    <row r="34" spans="1:12" ht="28">
      <c r="A34" s="163" t="s">
        <v>9808</v>
      </c>
      <c r="B34" s="163" t="s">
        <v>10039</v>
      </c>
      <c r="C34" s="164" t="s">
        <v>10045</v>
      </c>
      <c r="D34" s="164" t="s">
        <v>10046</v>
      </c>
      <c r="E34" s="164" t="s">
        <v>10047</v>
      </c>
      <c r="F34" s="164" t="s">
        <v>10048</v>
      </c>
      <c r="G34" s="164" t="s">
        <v>10049</v>
      </c>
      <c r="H34" s="164" t="s">
        <v>9917</v>
      </c>
      <c r="I34" s="164" t="s">
        <v>10050</v>
      </c>
      <c r="J34" s="164" t="s">
        <v>10044</v>
      </c>
      <c r="K34" s="164" t="s">
        <v>9840</v>
      </c>
      <c r="L34" s="163">
        <f>COUNTIF('Decision Requirement Map'!$A$2:$A$304,A34)</f>
        <v>11</v>
      </c>
    </row>
    <row r="35" spans="1:12" ht="28">
      <c r="A35" s="163" t="s">
        <v>9818</v>
      </c>
      <c r="B35" s="163" t="s">
        <v>10039</v>
      </c>
      <c r="C35" s="164" t="s">
        <v>10051</v>
      </c>
      <c r="D35" s="164" t="s">
        <v>10052</v>
      </c>
      <c r="E35" s="164" t="s">
        <v>10053</v>
      </c>
      <c r="F35" s="164" t="s">
        <v>10054</v>
      </c>
      <c r="G35" s="164" t="s">
        <v>10055</v>
      </c>
      <c r="H35" s="164" t="s">
        <v>9917</v>
      </c>
      <c r="I35" s="164" t="s">
        <v>10056</v>
      </c>
      <c r="J35" s="164" t="s">
        <v>10044</v>
      </c>
      <c r="K35" s="164" t="s">
        <v>9840</v>
      </c>
      <c r="L35" s="163">
        <f>COUNTIF('Decision Requirement Map'!$A$2:$A$304,A35)</f>
        <v>10</v>
      </c>
    </row>
    <row r="36" spans="1:12" ht="28">
      <c r="A36" s="163" t="s">
        <v>9799</v>
      </c>
      <c r="B36" s="163" t="s">
        <v>9067</v>
      </c>
      <c r="C36" s="164" t="s">
        <v>10057</v>
      </c>
      <c r="D36" s="164" t="s">
        <v>10058</v>
      </c>
      <c r="E36" s="164" t="s">
        <v>10030</v>
      </c>
      <c r="F36" s="164" t="s">
        <v>10059</v>
      </c>
      <c r="G36" s="164" t="s">
        <v>10032</v>
      </c>
      <c r="H36" s="164" t="s">
        <v>9917</v>
      </c>
      <c r="I36" s="164" t="s">
        <v>10060</v>
      </c>
      <c r="J36" s="164" t="s">
        <v>9839</v>
      </c>
      <c r="K36" s="164" t="s">
        <v>9840</v>
      </c>
      <c r="L36" s="163">
        <f>COUNTIF('Decision Requirement Map'!$A$2:$A$304,A36)</f>
        <v>4</v>
      </c>
    </row>
    <row r="37" spans="1:12" ht="28">
      <c r="A37" s="163" t="s">
        <v>9800</v>
      </c>
      <c r="B37" s="163" t="s">
        <v>9067</v>
      </c>
      <c r="C37" s="164" t="s">
        <v>10061</v>
      </c>
      <c r="D37" s="164" t="s">
        <v>10062</v>
      </c>
      <c r="E37" s="164" t="s">
        <v>9978</v>
      </c>
      <c r="F37" s="164" t="s">
        <v>10063</v>
      </c>
      <c r="G37" s="164" t="s">
        <v>9980</v>
      </c>
      <c r="H37" s="164" t="s">
        <v>9837</v>
      </c>
      <c r="I37" s="164" t="s">
        <v>10064</v>
      </c>
      <c r="J37" s="164" t="s">
        <v>9839</v>
      </c>
      <c r="K37" s="164" t="s">
        <v>9840</v>
      </c>
      <c r="L37" s="163">
        <f>COUNTIF('Decision Requirement Map'!$A$2:$A$304,A37)</f>
        <v>4</v>
      </c>
    </row>
    <row r="38" spans="1:12" ht="28">
      <c r="A38" s="163" t="s">
        <v>9816</v>
      </c>
      <c r="B38" s="163" t="s">
        <v>9982</v>
      </c>
      <c r="C38" s="164" t="s">
        <v>10065</v>
      </c>
      <c r="D38" s="164" t="s">
        <v>10066</v>
      </c>
      <c r="E38" s="164" t="s">
        <v>10067</v>
      </c>
      <c r="F38" s="164" t="s">
        <v>10068</v>
      </c>
      <c r="G38" s="164" t="s">
        <v>9176</v>
      </c>
      <c r="H38" s="164" t="s">
        <v>9837</v>
      </c>
      <c r="I38" s="164" t="s">
        <v>10069</v>
      </c>
      <c r="J38" s="164" t="s">
        <v>9968</v>
      </c>
      <c r="K38" s="164" t="s">
        <v>9840</v>
      </c>
      <c r="L38" s="163">
        <f>COUNTIF('Decision Requirement Map'!$A$2:$A$304,A38)</f>
        <v>7</v>
      </c>
    </row>
    <row r="39" spans="1:12" ht="28">
      <c r="A39" s="163" t="s">
        <v>9285</v>
      </c>
      <c r="B39" s="163" t="s">
        <v>10070</v>
      </c>
      <c r="C39" s="164" t="s">
        <v>10071</v>
      </c>
      <c r="D39" s="164" t="s">
        <v>10072</v>
      </c>
      <c r="E39" s="164" t="s">
        <v>10073</v>
      </c>
      <c r="F39" s="164" t="s">
        <v>10074</v>
      </c>
      <c r="G39" s="164" t="s">
        <v>10075</v>
      </c>
      <c r="H39" s="164" t="s">
        <v>9917</v>
      </c>
      <c r="I39" s="164" t="s">
        <v>10076</v>
      </c>
      <c r="J39" s="164" t="s">
        <v>9839</v>
      </c>
      <c r="K39" s="164" t="s">
        <v>9840</v>
      </c>
      <c r="L39" s="163">
        <f>COUNTIF('Decision Requirement Map'!$A$2:$A$304,A39)</f>
        <v>4</v>
      </c>
    </row>
    <row r="40" spans="1:12" ht="28">
      <c r="A40" s="163" t="s">
        <v>9753</v>
      </c>
      <c r="B40" s="163" t="s">
        <v>10077</v>
      </c>
      <c r="C40" s="164" t="s">
        <v>10078</v>
      </c>
      <c r="D40" s="164" t="s">
        <v>10079</v>
      </c>
      <c r="E40" s="164" t="s">
        <v>10080</v>
      </c>
      <c r="F40" s="164" t="s">
        <v>10081</v>
      </c>
      <c r="G40" s="164" t="s">
        <v>10082</v>
      </c>
      <c r="H40" s="164" t="s">
        <v>9917</v>
      </c>
      <c r="I40" s="164" t="s">
        <v>10083</v>
      </c>
      <c r="J40" s="164" t="s">
        <v>9853</v>
      </c>
      <c r="K40" s="164" t="s">
        <v>9840</v>
      </c>
      <c r="L40" s="163">
        <f>COUNTIF('Decision Requirement Map'!$A$2:$A$304,A40)</f>
        <v>4</v>
      </c>
    </row>
    <row r="41" spans="1:12" ht="28">
      <c r="A41" s="163" t="s">
        <v>9339</v>
      </c>
      <c r="B41" s="163" t="s">
        <v>9334</v>
      </c>
      <c r="C41" s="164" t="s">
        <v>10084</v>
      </c>
      <c r="D41" s="164" t="s">
        <v>10085</v>
      </c>
      <c r="E41" s="164" t="s">
        <v>10086</v>
      </c>
      <c r="F41" s="164" t="s">
        <v>10087</v>
      </c>
      <c r="G41" s="164" t="s">
        <v>9980</v>
      </c>
      <c r="H41" s="164" t="s">
        <v>9917</v>
      </c>
      <c r="I41" s="164" t="s">
        <v>10088</v>
      </c>
      <c r="J41" s="164" t="s">
        <v>9839</v>
      </c>
      <c r="K41" s="164" t="s">
        <v>9840</v>
      </c>
      <c r="L41" s="163">
        <f>COUNTIF('Decision Requirement Map'!$A$2:$A$304,A41)</f>
        <v>10</v>
      </c>
    </row>
  </sheetData>
  <conditionalFormatting sqref="H2:H41">
    <cfRule type="containsText" dxfId="2" priority="1" operator="containsText" text="P0"/>
  </conditionalFormatting>
  <dataValidations count="2">
    <dataValidation type="list" sqref="H2:H41" xr:uid="{00000000-0002-0000-1400-000000000000}">
      <formula1>"P0,P1,P2"</formula1>
    </dataValidation>
    <dataValidation type="list" sqref="K2:K41" xr:uid="{00000000-0002-0000-1400-000001000000}">
      <formula1>"ACTIVE,PLANNED,RETIRED"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4"/>
  <sheetViews>
    <sheetView showGridLines="0" workbookViewId="0"/>
  </sheetViews>
  <sheetFormatPr baseColWidth="10" defaultColWidth="8.83203125" defaultRowHeight="13"/>
  <cols>
    <col min="1" max="1" width="20" customWidth="1"/>
    <col min="2" max="2" width="16" customWidth="1"/>
    <col min="3" max="3" width="30" customWidth="1"/>
    <col min="4" max="4" width="32" customWidth="1"/>
    <col min="5" max="5" width="72" customWidth="1"/>
    <col min="6" max="6" width="20" customWidth="1"/>
  </cols>
  <sheetData>
    <row r="1" spans="1:6" ht="34" customHeight="1">
      <c r="A1" s="167" t="s">
        <v>10089</v>
      </c>
      <c r="B1" s="167" t="s">
        <v>8176</v>
      </c>
      <c r="C1" s="167" t="s">
        <v>10090</v>
      </c>
      <c r="D1" s="167" t="s">
        <v>10091</v>
      </c>
      <c r="E1" s="167" t="s">
        <v>6647</v>
      </c>
      <c r="F1" s="167" t="s">
        <v>9830</v>
      </c>
    </row>
    <row r="2" spans="1:6" ht="14">
      <c r="A2" s="163" t="s">
        <v>9153</v>
      </c>
      <c r="B2" s="163" t="s">
        <v>9831</v>
      </c>
      <c r="C2" s="164" t="s">
        <v>10092</v>
      </c>
      <c r="D2" s="164" t="s">
        <v>10093</v>
      </c>
      <c r="E2" s="164" t="s">
        <v>10094</v>
      </c>
      <c r="F2" s="163" t="e">
        <f>COUNTIF(#REF!,A2)</f>
        <v>#REF!</v>
      </c>
    </row>
    <row r="3" spans="1:6" ht="28">
      <c r="A3" s="163" t="s">
        <v>9183</v>
      </c>
      <c r="B3" s="163" t="s">
        <v>10095</v>
      </c>
      <c r="C3" s="164" t="s">
        <v>10096</v>
      </c>
      <c r="D3" s="164" t="s">
        <v>10097</v>
      </c>
      <c r="E3" s="164" t="s">
        <v>10098</v>
      </c>
      <c r="F3" s="163" t="e">
        <f>COUNTIF(#REF!,A3)</f>
        <v>#REF!</v>
      </c>
    </row>
    <row r="4" spans="1:6" ht="28">
      <c r="A4" s="163" t="s">
        <v>9211</v>
      </c>
      <c r="B4" s="163" t="s">
        <v>10099</v>
      </c>
      <c r="C4" s="164" t="s">
        <v>10100</v>
      </c>
      <c r="D4" s="164" t="s">
        <v>10101</v>
      </c>
      <c r="E4" s="164" t="s">
        <v>10102</v>
      </c>
      <c r="F4" s="163" t="e">
        <f>COUNTIF(#REF!,A4)</f>
        <v>#REF!</v>
      </c>
    </row>
    <row r="5" spans="1:6" ht="14">
      <c r="A5" s="163" t="s">
        <v>9237</v>
      </c>
      <c r="B5" s="163" t="s">
        <v>9860</v>
      </c>
      <c r="C5" s="164" t="s">
        <v>10103</v>
      </c>
      <c r="D5" s="164" t="s">
        <v>10104</v>
      </c>
      <c r="E5" s="164" t="s">
        <v>10105</v>
      </c>
      <c r="F5" s="163" t="e">
        <f>COUNTIF(#REF!,A5)</f>
        <v>#REF!</v>
      </c>
    </row>
    <row r="6" spans="1:6" ht="14">
      <c r="A6" s="163" t="s">
        <v>9260</v>
      </c>
      <c r="B6" s="163" t="s">
        <v>9881</v>
      </c>
      <c r="C6" s="164" t="s">
        <v>10106</v>
      </c>
      <c r="D6" s="164" t="s">
        <v>10097</v>
      </c>
      <c r="E6" s="164" t="s">
        <v>10107</v>
      </c>
      <c r="F6" s="163" t="e">
        <f>COUNTIF(#REF!,A6)</f>
        <v>#REF!</v>
      </c>
    </row>
    <row r="7" spans="1:6" ht="14">
      <c r="A7" s="163" t="s">
        <v>9445</v>
      </c>
      <c r="B7" s="163" t="s">
        <v>6064</v>
      </c>
      <c r="C7" s="164" t="s">
        <v>10108</v>
      </c>
      <c r="D7" s="164" t="s">
        <v>10109</v>
      </c>
      <c r="E7" s="164" t="s">
        <v>10110</v>
      </c>
      <c r="F7" s="163" t="e">
        <f>COUNTIF(#REF!,A7)</f>
        <v>#REF!</v>
      </c>
    </row>
    <row r="8" spans="1:6" ht="14">
      <c r="A8" s="163" t="s">
        <v>9676</v>
      </c>
      <c r="B8" s="163" t="s">
        <v>9933</v>
      </c>
      <c r="C8" s="164" t="s">
        <v>10111</v>
      </c>
      <c r="D8" s="164" t="s">
        <v>10112</v>
      </c>
      <c r="E8" s="164" t="s">
        <v>10113</v>
      </c>
      <c r="F8" s="163" t="e">
        <f>COUNTIF(#REF!,A8)</f>
        <v>#REF!</v>
      </c>
    </row>
    <row r="9" spans="1:6" ht="14">
      <c r="A9" s="163" t="s">
        <v>9522</v>
      </c>
      <c r="B9" s="163" t="s">
        <v>10009</v>
      </c>
      <c r="C9" s="164" t="s">
        <v>10114</v>
      </c>
      <c r="D9" s="164" t="s">
        <v>10115</v>
      </c>
      <c r="E9" s="164" t="s">
        <v>10116</v>
      </c>
      <c r="F9" s="163" t="e">
        <f>COUNTIF(#REF!,A9)</f>
        <v>#REF!</v>
      </c>
    </row>
    <row r="10" spans="1:6" ht="14">
      <c r="A10" s="163" t="s">
        <v>9302</v>
      </c>
      <c r="B10" s="163" t="s">
        <v>9982</v>
      </c>
      <c r="C10" s="164" t="s">
        <v>10117</v>
      </c>
      <c r="D10" s="164" t="s">
        <v>10118</v>
      </c>
      <c r="E10" s="164" t="s">
        <v>10119</v>
      </c>
      <c r="F10" s="163" t="e">
        <f>COUNTIF(#REF!,A10)</f>
        <v>#REF!</v>
      </c>
    </row>
    <row r="11" spans="1:6" ht="28">
      <c r="A11" s="163" t="s">
        <v>9312</v>
      </c>
      <c r="B11" s="163" t="s">
        <v>9867</v>
      </c>
      <c r="C11" s="164" t="s">
        <v>10120</v>
      </c>
      <c r="D11" s="164" t="s">
        <v>10121</v>
      </c>
      <c r="E11" s="164" t="s">
        <v>10122</v>
      </c>
      <c r="F11" s="163" t="e">
        <f>COUNTIF(#REF!,A11)</f>
        <v>#REF!</v>
      </c>
    </row>
    <row r="12" spans="1:6" ht="14">
      <c r="A12" s="163" t="s">
        <v>9754</v>
      </c>
      <c r="B12" s="163" t="s">
        <v>10077</v>
      </c>
      <c r="C12" s="164" t="s">
        <v>10123</v>
      </c>
      <c r="D12" s="164" t="s">
        <v>10118</v>
      </c>
      <c r="E12" s="164" t="s">
        <v>10124</v>
      </c>
      <c r="F12" s="163" t="e">
        <f>COUNTIF(#REF!,A12)</f>
        <v>#REF!</v>
      </c>
    </row>
    <row r="13" spans="1:6" ht="14">
      <c r="A13" s="163" t="s">
        <v>9073</v>
      </c>
      <c r="B13" s="163" t="s">
        <v>10125</v>
      </c>
      <c r="C13" s="164" t="s">
        <v>10126</v>
      </c>
      <c r="D13" s="164" t="s">
        <v>10127</v>
      </c>
      <c r="E13" s="164" t="s">
        <v>10128</v>
      </c>
      <c r="F13" s="163" t="e">
        <f>COUNTIF(#REF!,A13)</f>
        <v>#REF!</v>
      </c>
    </row>
    <row r="14" spans="1:6" ht="14">
      <c r="A14" s="163" t="s">
        <v>9340</v>
      </c>
      <c r="B14" s="163" t="s">
        <v>9334</v>
      </c>
      <c r="C14" s="164" t="s">
        <v>10129</v>
      </c>
      <c r="D14" s="164" t="s">
        <v>10130</v>
      </c>
      <c r="E14" s="164" t="s">
        <v>10131</v>
      </c>
      <c r="F14" s="163" t="e">
        <f>COUNTIF(#REF!,A14)</f>
        <v>#REF!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9"/>
  <sheetViews>
    <sheetView showGridLines="0" workbookViewId="0"/>
  </sheetViews>
  <sheetFormatPr baseColWidth="10" defaultColWidth="8.83203125" defaultRowHeight="13"/>
  <cols>
    <col min="1" max="1" width="30" customWidth="1"/>
    <col min="2" max="2" width="15" customWidth="1"/>
    <col min="3" max="3" width="72" customWidth="1"/>
  </cols>
  <sheetData>
    <row r="1" spans="1:3" ht="32" customHeight="1">
      <c r="A1" s="168" t="s">
        <v>10132</v>
      </c>
      <c r="B1" s="168" t="s">
        <v>6291</v>
      </c>
      <c r="C1" s="168" t="s">
        <v>10133</v>
      </c>
    </row>
    <row r="2" spans="1:3" ht="14">
      <c r="A2" t="s">
        <v>10134</v>
      </c>
      <c r="B2" s="169">
        <v>134</v>
      </c>
      <c r="C2" s="170" t="s">
        <v>10135</v>
      </c>
    </row>
    <row r="3" spans="1:3" ht="14">
      <c r="A3" t="s">
        <v>10136</v>
      </c>
      <c r="B3" s="169">
        <v>40</v>
      </c>
      <c r="C3" s="170" t="s">
        <v>10137</v>
      </c>
    </row>
    <row r="4" spans="1:3" ht="14">
      <c r="A4" t="s">
        <v>10138</v>
      </c>
      <c r="B4" s="169">
        <v>13</v>
      </c>
      <c r="C4" s="170" t="s">
        <v>10139</v>
      </c>
    </row>
    <row r="5" spans="1:3" ht="14">
      <c r="A5" t="s">
        <v>10140</v>
      </c>
      <c r="B5" s="169" t="e">
        <f>COUNTIF(#REF!,"MAPPED")</f>
        <v>#REF!</v>
      </c>
      <c r="C5" s="170" t="s">
        <v>10141</v>
      </c>
    </row>
    <row r="6" spans="1:3" ht="14">
      <c r="A6" t="s">
        <v>10142</v>
      </c>
      <c r="B6" s="169" t="e">
        <f>COUNTIF(#REF!,"DECISION_LED")</f>
        <v>#REF!</v>
      </c>
      <c r="C6" s="170" t="s">
        <v>10143</v>
      </c>
    </row>
    <row r="7" spans="1:3" ht="14">
      <c r="A7" t="s">
        <v>10144</v>
      </c>
      <c r="B7" s="169" t="e">
        <f>COUNTIF(#REF!,"INHERIT_PARENT_SCOPE")</f>
        <v>#REF!</v>
      </c>
      <c r="C7" s="170" t="s">
        <v>10145</v>
      </c>
    </row>
    <row r="8" spans="1:3" ht="14">
      <c r="A8" t="s">
        <v>10146</v>
      </c>
      <c r="B8" s="169" t="e">
        <f>COUNTIF(#REF!,"BASELINE")</f>
        <v>#REF!</v>
      </c>
      <c r="C8" s="170" t="s">
        <v>10147</v>
      </c>
    </row>
    <row r="9" spans="1:3" ht="14">
      <c r="A9" t="s">
        <v>10148</v>
      </c>
      <c r="B9" s="169" t="e">
        <f>COUNTIF(#REF!,"REVIEW_REQUIRED")</f>
        <v>#REF!</v>
      </c>
      <c r="C9" s="170" t="s">
        <v>10149</v>
      </c>
    </row>
  </sheetData>
  <conditionalFormatting sqref="B9">
    <cfRule type="cellIs" dxfId="1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73"/>
  <sheetViews>
    <sheetView showGridLines="0" workbookViewId="0"/>
  </sheetViews>
  <sheetFormatPr baseColWidth="10" defaultColWidth="8.83203125" defaultRowHeight="13"/>
  <cols>
    <col min="1" max="1" width="16" customWidth="1"/>
    <col min="2" max="2" width="28" customWidth="1"/>
    <col min="3" max="3" width="34" customWidth="1"/>
    <col min="4" max="4" width="18" customWidth="1"/>
    <col min="5" max="5" width="16" customWidth="1"/>
    <col min="6" max="6" width="14" customWidth="1"/>
    <col min="7" max="7" width="22" customWidth="1"/>
    <col min="8" max="8" width="16" customWidth="1"/>
    <col min="9" max="9" width="58" customWidth="1"/>
    <col min="10" max="10" width="14" customWidth="1"/>
    <col min="11" max="11" width="10" customWidth="1"/>
  </cols>
  <sheetData>
    <row r="1" spans="1:11" ht="34" customHeight="1">
      <c r="A1" s="171" t="s">
        <v>10150</v>
      </c>
      <c r="B1" s="171" t="s">
        <v>6025</v>
      </c>
      <c r="C1" s="171" t="s">
        <v>10151</v>
      </c>
      <c r="D1" s="171" t="s">
        <v>6827</v>
      </c>
      <c r="E1" s="171" t="s">
        <v>10152</v>
      </c>
      <c r="F1" s="171" t="s">
        <v>10153</v>
      </c>
      <c r="G1" s="171" t="s">
        <v>10154</v>
      </c>
      <c r="H1" s="171" t="s">
        <v>10155</v>
      </c>
      <c r="I1" s="171" t="s">
        <v>10156</v>
      </c>
      <c r="J1" s="171" t="s">
        <v>10157</v>
      </c>
      <c r="K1" s="171" t="s">
        <v>10158</v>
      </c>
    </row>
    <row r="2" spans="1:11" ht="28">
      <c r="A2" s="163" t="s">
        <v>6214</v>
      </c>
      <c r="B2" s="164" t="s">
        <v>10159</v>
      </c>
      <c r="C2" s="164" t="s">
        <v>6216</v>
      </c>
      <c r="D2" s="164" t="s">
        <v>10160</v>
      </c>
      <c r="E2" s="172" t="s">
        <v>10161</v>
      </c>
      <c r="F2" s="173" t="s">
        <v>10162</v>
      </c>
      <c r="G2" s="163" t="s">
        <v>10163</v>
      </c>
      <c r="H2" s="163" t="s">
        <v>10164</v>
      </c>
      <c r="I2" s="164" t="s">
        <v>10165</v>
      </c>
      <c r="J2" s="173" t="s">
        <v>10166</v>
      </c>
      <c r="K2" s="173" t="s">
        <v>10167</v>
      </c>
    </row>
    <row r="3" spans="1:11" ht="28">
      <c r="A3" s="163" t="s">
        <v>6214</v>
      </c>
      <c r="B3" s="164" t="s">
        <v>10159</v>
      </c>
      <c r="C3" s="164" t="s">
        <v>6215</v>
      </c>
      <c r="D3" s="164" t="s">
        <v>10168</v>
      </c>
      <c r="E3" s="172" t="s">
        <v>10169</v>
      </c>
      <c r="F3" s="173" t="s">
        <v>10170</v>
      </c>
      <c r="G3" s="163" t="s">
        <v>10163</v>
      </c>
      <c r="H3" s="163" t="s">
        <v>10164</v>
      </c>
      <c r="I3" s="164" t="s">
        <v>10165</v>
      </c>
      <c r="J3" s="173" t="s">
        <v>10166</v>
      </c>
      <c r="K3" s="173" t="s">
        <v>10167</v>
      </c>
    </row>
    <row r="4" spans="1:11" ht="28">
      <c r="A4" s="163" t="s">
        <v>6214</v>
      </c>
      <c r="B4" s="164" t="s">
        <v>10159</v>
      </c>
      <c r="C4" s="164" t="s">
        <v>10171</v>
      </c>
      <c r="D4" s="164" t="s">
        <v>10172</v>
      </c>
      <c r="E4" s="172" t="s">
        <v>10173</v>
      </c>
      <c r="F4" s="173" t="s">
        <v>10174</v>
      </c>
      <c r="G4" s="163" t="s">
        <v>10163</v>
      </c>
      <c r="H4" s="163" t="s">
        <v>10164</v>
      </c>
      <c r="I4" s="164" t="s">
        <v>10165</v>
      </c>
      <c r="J4" s="173" t="s">
        <v>10166</v>
      </c>
      <c r="K4" s="173" t="s">
        <v>10167</v>
      </c>
    </row>
    <row r="5" spans="1:11" ht="28">
      <c r="A5" s="163" t="s">
        <v>6214</v>
      </c>
      <c r="B5" s="164" t="s">
        <v>10159</v>
      </c>
      <c r="C5" s="164" t="s">
        <v>6219</v>
      </c>
      <c r="D5" s="164" t="s">
        <v>10175</v>
      </c>
      <c r="E5" s="172" t="s">
        <v>10176</v>
      </c>
      <c r="F5" s="173" t="s">
        <v>10177</v>
      </c>
      <c r="G5" s="163" t="s">
        <v>10163</v>
      </c>
      <c r="H5" s="163" t="s">
        <v>10164</v>
      </c>
      <c r="I5" s="164" t="s">
        <v>10165</v>
      </c>
      <c r="J5" s="173" t="s">
        <v>10166</v>
      </c>
      <c r="K5" s="173" t="s">
        <v>10167</v>
      </c>
    </row>
    <row r="6" spans="1:11" ht="28">
      <c r="A6" s="163" t="s">
        <v>6214</v>
      </c>
      <c r="B6" s="164" t="s">
        <v>10159</v>
      </c>
      <c r="C6" s="164" t="s">
        <v>6220</v>
      </c>
      <c r="D6" s="164" t="s">
        <v>10178</v>
      </c>
      <c r="E6" s="172" t="s">
        <v>10179</v>
      </c>
      <c r="F6" s="173" t="s">
        <v>10180</v>
      </c>
      <c r="G6" s="163" t="s">
        <v>10163</v>
      </c>
      <c r="H6" s="163" t="s">
        <v>10164</v>
      </c>
      <c r="I6" s="164" t="s">
        <v>10165</v>
      </c>
      <c r="J6" s="173" t="s">
        <v>10166</v>
      </c>
      <c r="K6" s="173" t="s">
        <v>10167</v>
      </c>
    </row>
    <row r="7" spans="1:11" ht="28">
      <c r="A7" s="163" t="s">
        <v>6214</v>
      </c>
      <c r="B7" s="164" t="s">
        <v>10159</v>
      </c>
      <c r="C7" s="164" t="s">
        <v>6221</v>
      </c>
      <c r="D7" s="164" t="s">
        <v>10181</v>
      </c>
      <c r="E7" s="172" t="s">
        <v>10182</v>
      </c>
      <c r="F7" s="173" t="s">
        <v>10183</v>
      </c>
      <c r="G7" s="163" t="s">
        <v>10163</v>
      </c>
      <c r="H7" s="163" t="s">
        <v>10164</v>
      </c>
      <c r="I7" s="164" t="s">
        <v>10165</v>
      </c>
      <c r="J7" s="173" t="s">
        <v>10166</v>
      </c>
      <c r="K7" s="173" t="s">
        <v>10167</v>
      </c>
    </row>
    <row r="8" spans="1:11" ht="28">
      <c r="A8" s="163" t="s">
        <v>6214</v>
      </c>
      <c r="B8" s="164" t="s">
        <v>10159</v>
      </c>
      <c r="C8" s="164" t="s">
        <v>10184</v>
      </c>
      <c r="D8" s="164" t="s">
        <v>10185</v>
      </c>
      <c r="E8" s="172" t="s">
        <v>10186</v>
      </c>
      <c r="F8" s="173" t="s">
        <v>10187</v>
      </c>
      <c r="G8" s="163" t="s">
        <v>10163</v>
      </c>
      <c r="H8" s="163" t="s">
        <v>10164</v>
      </c>
      <c r="I8" s="164" t="s">
        <v>10165</v>
      </c>
      <c r="J8" s="173" t="s">
        <v>10166</v>
      </c>
      <c r="K8" s="173" t="s">
        <v>10167</v>
      </c>
    </row>
    <row r="9" spans="1:11" ht="28">
      <c r="A9" s="163" t="s">
        <v>6214</v>
      </c>
      <c r="B9" s="164" t="s">
        <v>10159</v>
      </c>
      <c r="C9" s="164" t="s">
        <v>10188</v>
      </c>
      <c r="D9" s="164" t="s">
        <v>10189</v>
      </c>
      <c r="E9" s="172" t="s">
        <v>10190</v>
      </c>
      <c r="F9" s="173" t="s">
        <v>10191</v>
      </c>
      <c r="G9" s="163" t="s">
        <v>10192</v>
      </c>
      <c r="H9" s="163" t="s">
        <v>10164</v>
      </c>
      <c r="I9" s="164" t="s">
        <v>10165</v>
      </c>
      <c r="J9" s="173" t="s">
        <v>10166</v>
      </c>
      <c r="K9" s="173" t="s">
        <v>10167</v>
      </c>
    </row>
    <row r="10" spans="1:11" ht="28">
      <c r="A10" s="163" t="s">
        <v>6214</v>
      </c>
      <c r="B10" s="164" t="s">
        <v>10159</v>
      </c>
      <c r="C10" s="164" t="s">
        <v>10193</v>
      </c>
      <c r="D10" s="164" t="s">
        <v>10194</v>
      </c>
      <c r="E10" s="172" t="s">
        <v>10195</v>
      </c>
      <c r="F10" s="173"/>
      <c r="G10" s="163" t="s">
        <v>10192</v>
      </c>
      <c r="H10" s="163" t="s">
        <v>10164</v>
      </c>
      <c r="I10" s="164" t="s">
        <v>10165</v>
      </c>
      <c r="J10" s="173" t="s">
        <v>10166</v>
      </c>
      <c r="K10" s="173" t="s">
        <v>10167</v>
      </c>
    </row>
    <row r="11" spans="1:11" ht="28">
      <c r="A11" s="163" t="s">
        <v>6214</v>
      </c>
      <c r="B11" s="164" t="s">
        <v>10159</v>
      </c>
      <c r="C11" s="164" t="s">
        <v>10196</v>
      </c>
      <c r="D11" s="164" t="s">
        <v>10197</v>
      </c>
      <c r="E11" s="172" t="s">
        <v>10198</v>
      </c>
      <c r="F11" s="173"/>
      <c r="G11" s="163" t="s">
        <v>10192</v>
      </c>
      <c r="H11" s="163" t="s">
        <v>10164</v>
      </c>
      <c r="I11" s="164" t="s">
        <v>10165</v>
      </c>
      <c r="J11" s="173" t="s">
        <v>10166</v>
      </c>
      <c r="K11" s="173" t="s">
        <v>10167</v>
      </c>
    </row>
    <row r="12" spans="1:11" ht="28">
      <c r="A12" s="163" t="s">
        <v>6214</v>
      </c>
      <c r="B12" s="164" t="s">
        <v>10159</v>
      </c>
      <c r="C12" s="164" t="s">
        <v>10199</v>
      </c>
      <c r="D12" s="164" t="s">
        <v>10200</v>
      </c>
      <c r="E12" s="172" t="s">
        <v>10201</v>
      </c>
      <c r="F12" s="173"/>
      <c r="G12" s="163" t="s">
        <v>10192</v>
      </c>
      <c r="H12" s="163" t="s">
        <v>10164</v>
      </c>
      <c r="I12" s="164" t="s">
        <v>10165</v>
      </c>
      <c r="J12" s="173" t="s">
        <v>10166</v>
      </c>
      <c r="K12" s="173" t="s">
        <v>10167</v>
      </c>
    </row>
    <row r="13" spans="1:11" ht="28">
      <c r="A13" s="163" t="s">
        <v>6214</v>
      </c>
      <c r="B13" s="164" t="s">
        <v>10159</v>
      </c>
      <c r="C13" s="164" t="s">
        <v>10202</v>
      </c>
      <c r="D13" s="164" t="s">
        <v>10203</v>
      </c>
      <c r="E13" s="172" t="s">
        <v>10204</v>
      </c>
      <c r="F13" s="173"/>
      <c r="G13" s="163" t="s">
        <v>10192</v>
      </c>
      <c r="H13" s="163" t="s">
        <v>10164</v>
      </c>
      <c r="I13" s="164" t="s">
        <v>10165</v>
      </c>
      <c r="J13" s="173" t="s">
        <v>10166</v>
      </c>
      <c r="K13" s="173" t="s">
        <v>10167</v>
      </c>
    </row>
    <row r="14" spans="1:11" ht="28">
      <c r="A14" s="163" t="s">
        <v>6214</v>
      </c>
      <c r="B14" s="164" t="s">
        <v>10159</v>
      </c>
      <c r="C14" s="164" t="s">
        <v>10205</v>
      </c>
      <c r="D14" s="164" t="s">
        <v>10206</v>
      </c>
      <c r="E14" s="172" t="s">
        <v>10207</v>
      </c>
      <c r="F14" s="173"/>
      <c r="G14" s="163" t="s">
        <v>10208</v>
      </c>
      <c r="H14" s="163" t="s">
        <v>10164</v>
      </c>
      <c r="I14" s="164" t="s">
        <v>10165</v>
      </c>
      <c r="J14" s="173" t="s">
        <v>10166</v>
      </c>
      <c r="K14" s="173" t="s">
        <v>10167</v>
      </c>
    </row>
    <row r="15" spans="1:11" ht="28">
      <c r="A15" s="163" t="s">
        <v>6214</v>
      </c>
      <c r="B15" s="164" t="s">
        <v>10159</v>
      </c>
      <c r="C15" s="164" t="s">
        <v>10209</v>
      </c>
      <c r="D15" s="164" t="s">
        <v>10210</v>
      </c>
      <c r="E15" s="172" t="s">
        <v>10211</v>
      </c>
      <c r="F15" s="173"/>
      <c r="G15" s="163" t="s">
        <v>10192</v>
      </c>
      <c r="H15" s="163" t="s">
        <v>10164</v>
      </c>
      <c r="I15" s="164" t="s">
        <v>10165</v>
      </c>
      <c r="J15" s="173" t="s">
        <v>10166</v>
      </c>
      <c r="K15" s="173" t="s">
        <v>10167</v>
      </c>
    </row>
    <row r="16" spans="1:11" ht="28">
      <c r="A16" s="163" t="s">
        <v>6214</v>
      </c>
      <c r="B16" s="164" t="s">
        <v>10159</v>
      </c>
      <c r="C16" s="164" t="s">
        <v>10212</v>
      </c>
      <c r="D16" s="164" t="s">
        <v>10213</v>
      </c>
      <c r="E16" s="172" t="s">
        <v>10214</v>
      </c>
      <c r="F16" s="173"/>
      <c r="G16" s="163" t="s">
        <v>10208</v>
      </c>
      <c r="H16" s="163" t="s">
        <v>10164</v>
      </c>
      <c r="I16" s="164" t="s">
        <v>10165</v>
      </c>
      <c r="J16" s="173" t="s">
        <v>10166</v>
      </c>
      <c r="K16" s="173" t="s">
        <v>10167</v>
      </c>
    </row>
    <row r="17" spans="1:11" ht="28">
      <c r="A17" s="163" t="s">
        <v>6214</v>
      </c>
      <c r="B17" s="164" t="s">
        <v>10159</v>
      </c>
      <c r="C17" s="164" t="s">
        <v>10215</v>
      </c>
      <c r="D17" s="164" t="s">
        <v>10216</v>
      </c>
      <c r="E17" s="172" t="s">
        <v>10217</v>
      </c>
      <c r="F17" s="173"/>
      <c r="G17" s="163" t="s">
        <v>10208</v>
      </c>
      <c r="H17" s="163" t="s">
        <v>10164</v>
      </c>
      <c r="I17" s="164" t="s">
        <v>10165</v>
      </c>
      <c r="J17" s="173" t="s">
        <v>10166</v>
      </c>
      <c r="K17" s="173" t="s">
        <v>10167</v>
      </c>
    </row>
    <row r="18" spans="1:11" ht="28">
      <c r="A18" s="163" t="s">
        <v>6214</v>
      </c>
      <c r="B18" s="164" t="s">
        <v>10159</v>
      </c>
      <c r="C18" s="164" t="s">
        <v>10218</v>
      </c>
      <c r="D18" s="164" t="s">
        <v>10219</v>
      </c>
      <c r="E18" s="172" t="s">
        <v>10220</v>
      </c>
      <c r="F18" s="173"/>
      <c r="G18" s="163" t="s">
        <v>10192</v>
      </c>
      <c r="H18" s="163" t="s">
        <v>10164</v>
      </c>
      <c r="I18" s="164" t="s">
        <v>10165</v>
      </c>
      <c r="J18" s="173" t="s">
        <v>10166</v>
      </c>
      <c r="K18" s="173" t="s">
        <v>10167</v>
      </c>
    </row>
    <row r="19" spans="1:11" ht="28">
      <c r="A19" s="163" t="s">
        <v>6214</v>
      </c>
      <c r="B19" s="164" t="s">
        <v>10159</v>
      </c>
      <c r="C19" s="164" t="s">
        <v>10221</v>
      </c>
      <c r="D19" s="164" t="s">
        <v>10222</v>
      </c>
      <c r="E19" s="172" t="s">
        <v>10223</v>
      </c>
      <c r="F19" s="173"/>
      <c r="G19" s="163" t="s">
        <v>10163</v>
      </c>
      <c r="H19" s="163" t="s">
        <v>10164</v>
      </c>
      <c r="I19" s="164" t="s">
        <v>10165</v>
      </c>
      <c r="J19" s="173" t="s">
        <v>10166</v>
      </c>
      <c r="K19" s="173" t="s">
        <v>10167</v>
      </c>
    </row>
    <row r="20" spans="1:11" ht="28">
      <c r="A20" s="163" t="s">
        <v>6214</v>
      </c>
      <c r="B20" s="164" t="s">
        <v>10159</v>
      </c>
      <c r="C20" s="164" t="s">
        <v>10224</v>
      </c>
      <c r="D20" s="164" t="s">
        <v>10225</v>
      </c>
      <c r="E20" s="172" t="s">
        <v>10226</v>
      </c>
      <c r="F20" s="173"/>
      <c r="G20" s="163" t="s">
        <v>10208</v>
      </c>
      <c r="H20" s="163" t="s">
        <v>10164</v>
      </c>
      <c r="I20" s="164" t="s">
        <v>10165</v>
      </c>
      <c r="J20" s="173" t="s">
        <v>10166</v>
      </c>
      <c r="K20" s="173" t="s">
        <v>10167</v>
      </c>
    </row>
    <row r="21" spans="1:11" ht="28">
      <c r="A21" s="163" t="s">
        <v>6214</v>
      </c>
      <c r="B21" s="164" t="s">
        <v>10159</v>
      </c>
      <c r="C21" s="164" t="s">
        <v>10227</v>
      </c>
      <c r="D21" s="164" t="s">
        <v>10228</v>
      </c>
      <c r="E21" s="172" t="s">
        <v>10229</v>
      </c>
      <c r="F21" s="173"/>
      <c r="G21" s="163" t="s">
        <v>10208</v>
      </c>
      <c r="H21" s="163" t="s">
        <v>10164</v>
      </c>
      <c r="I21" s="164" t="s">
        <v>10165</v>
      </c>
      <c r="J21" s="173" t="s">
        <v>10166</v>
      </c>
      <c r="K21" s="173" t="s">
        <v>10167</v>
      </c>
    </row>
    <row r="22" spans="1:11" ht="28">
      <c r="A22" s="163" t="s">
        <v>6214</v>
      </c>
      <c r="B22" s="164" t="s">
        <v>10159</v>
      </c>
      <c r="C22" s="164" t="s">
        <v>10230</v>
      </c>
      <c r="D22" s="164" t="s">
        <v>10231</v>
      </c>
      <c r="E22" s="172" t="s">
        <v>10232</v>
      </c>
      <c r="F22" s="173"/>
      <c r="G22" s="163" t="s">
        <v>10208</v>
      </c>
      <c r="H22" s="163" t="s">
        <v>10164</v>
      </c>
      <c r="I22" s="164" t="s">
        <v>10165</v>
      </c>
      <c r="J22" s="173" t="s">
        <v>10166</v>
      </c>
      <c r="K22" s="173" t="s">
        <v>10167</v>
      </c>
    </row>
    <row r="23" spans="1:11" ht="28">
      <c r="A23" s="163" t="s">
        <v>6214</v>
      </c>
      <c r="B23" s="164" t="s">
        <v>10159</v>
      </c>
      <c r="C23" s="164" t="s">
        <v>10233</v>
      </c>
      <c r="D23" s="164" t="s">
        <v>10234</v>
      </c>
      <c r="E23" s="172" t="s">
        <v>10235</v>
      </c>
      <c r="F23" s="173"/>
      <c r="G23" s="163" t="s">
        <v>10192</v>
      </c>
      <c r="H23" s="163" t="s">
        <v>10164</v>
      </c>
      <c r="I23" s="164" t="s">
        <v>10165</v>
      </c>
      <c r="J23" s="173" t="s">
        <v>10166</v>
      </c>
      <c r="K23" s="173" t="s">
        <v>10167</v>
      </c>
    </row>
    <row r="24" spans="1:11" ht="28">
      <c r="A24" s="163" t="s">
        <v>6214</v>
      </c>
      <c r="B24" s="164" t="s">
        <v>10159</v>
      </c>
      <c r="C24" s="164" t="s">
        <v>10236</v>
      </c>
      <c r="D24" s="164" t="s">
        <v>10237</v>
      </c>
      <c r="E24" s="172" t="s">
        <v>10238</v>
      </c>
      <c r="F24" s="173"/>
      <c r="G24" s="163" t="s">
        <v>10163</v>
      </c>
      <c r="H24" s="163" t="s">
        <v>10164</v>
      </c>
      <c r="I24" s="164" t="s">
        <v>10165</v>
      </c>
      <c r="J24" s="173" t="s">
        <v>10166</v>
      </c>
      <c r="K24" s="173" t="s">
        <v>10167</v>
      </c>
    </row>
    <row r="25" spans="1:11" ht="28">
      <c r="A25" s="163" t="s">
        <v>6214</v>
      </c>
      <c r="B25" s="164" t="s">
        <v>10159</v>
      </c>
      <c r="C25" s="164" t="s">
        <v>10239</v>
      </c>
      <c r="D25" s="164" t="s">
        <v>10240</v>
      </c>
      <c r="E25" s="172" t="s">
        <v>10241</v>
      </c>
      <c r="F25" s="173"/>
      <c r="G25" s="163" t="s">
        <v>10192</v>
      </c>
      <c r="H25" s="163" t="s">
        <v>10164</v>
      </c>
      <c r="I25" s="164" t="s">
        <v>10165</v>
      </c>
      <c r="J25" s="173" t="s">
        <v>10166</v>
      </c>
      <c r="K25" s="173" t="s">
        <v>10167</v>
      </c>
    </row>
    <row r="26" spans="1:11" ht="28">
      <c r="A26" s="163" t="s">
        <v>6214</v>
      </c>
      <c r="B26" s="164" t="s">
        <v>10159</v>
      </c>
      <c r="C26" s="164" t="s">
        <v>10242</v>
      </c>
      <c r="D26" s="164" t="s">
        <v>10243</v>
      </c>
      <c r="E26" s="172" t="s">
        <v>10244</v>
      </c>
      <c r="F26" s="173"/>
      <c r="G26" s="163" t="s">
        <v>10192</v>
      </c>
      <c r="H26" s="163" t="s">
        <v>10164</v>
      </c>
      <c r="I26" s="164" t="s">
        <v>10165</v>
      </c>
      <c r="J26" s="173" t="s">
        <v>10166</v>
      </c>
      <c r="K26" s="173" t="s">
        <v>10167</v>
      </c>
    </row>
    <row r="27" spans="1:11" ht="28">
      <c r="A27" s="163" t="s">
        <v>6214</v>
      </c>
      <c r="B27" s="164" t="s">
        <v>10159</v>
      </c>
      <c r="C27" s="164" t="s">
        <v>10245</v>
      </c>
      <c r="D27" s="164" t="s">
        <v>10246</v>
      </c>
      <c r="E27" s="172" t="s">
        <v>10247</v>
      </c>
      <c r="F27" s="173"/>
      <c r="G27" s="163" t="s">
        <v>10208</v>
      </c>
      <c r="H27" s="163" t="s">
        <v>10164</v>
      </c>
      <c r="I27" s="164" t="s">
        <v>10165</v>
      </c>
      <c r="J27" s="173" t="s">
        <v>10166</v>
      </c>
      <c r="K27" s="173" t="s">
        <v>10167</v>
      </c>
    </row>
    <row r="28" spans="1:11" ht="28">
      <c r="A28" s="163" t="s">
        <v>6214</v>
      </c>
      <c r="B28" s="164" t="s">
        <v>10159</v>
      </c>
      <c r="C28" s="164" t="s">
        <v>10248</v>
      </c>
      <c r="D28" s="164" t="s">
        <v>10249</v>
      </c>
      <c r="E28" s="172" t="s">
        <v>10250</v>
      </c>
      <c r="F28" s="173"/>
      <c r="G28" s="163" t="s">
        <v>10163</v>
      </c>
      <c r="H28" s="163" t="s">
        <v>10164</v>
      </c>
      <c r="I28" s="164" t="s">
        <v>10165</v>
      </c>
      <c r="J28" s="173" t="s">
        <v>10166</v>
      </c>
      <c r="K28" s="173" t="s">
        <v>10167</v>
      </c>
    </row>
    <row r="29" spans="1:11" ht="28">
      <c r="A29" s="163" t="s">
        <v>6214</v>
      </c>
      <c r="B29" s="164" t="s">
        <v>10159</v>
      </c>
      <c r="C29" s="164" t="s">
        <v>10251</v>
      </c>
      <c r="D29" s="164" t="s">
        <v>10252</v>
      </c>
      <c r="E29" s="172" t="s">
        <v>10253</v>
      </c>
      <c r="F29" s="173"/>
      <c r="G29" s="163" t="s">
        <v>10192</v>
      </c>
      <c r="H29" s="163" t="s">
        <v>10164</v>
      </c>
      <c r="I29" s="164" t="s">
        <v>10165</v>
      </c>
      <c r="J29" s="173" t="s">
        <v>10166</v>
      </c>
      <c r="K29" s="173" t="s">
        <v>10167</v>
      </c>
    </row>
    <row r="30" spans="1:11" ht="28">
      <c r="A30" s="163" t="s">
        <v>6214</v>
      </c>
      <c r="B30" s="164" t="s">
        <v>10159</v>
      </c>
      <c r="C30" s="164" t="s">
        <v>10254</v>
      </c>
      <c r="D30" s="164" t="s">
        <v>10255</v>
      </c>
      <c r="E30" s="172" t="s">
        <v>10256</v>
      </c>
      <c r="F30" s="173"/>
      <c r="G30" s="163" t="s">
        <v>10192</v>
      </c>
      <c r="H30" s="163" t="s">
        <v>10164</v>
      </c>
      <c r="I30" s="164" t="s">
        <v>10165</v>
      </c>
      <c r="J30" s="173" t="s">
        <v>10166</v>
      </c>
      <c r="K30" s="173" t="s">
        <v>10167</v>
      </c>
    </row>
    <row r="31" spans="1:11" ht="28">
      <c r="A31" s="163" t="s">
        <v>6214</v>
      </c>
      <c r="B31" s="164" t="s">
        <v>10159</v>
      </c>
      <c r="C31" s="164" t="s">
        <v>10257</v>
      </c>
      <c r="D31" s="164" t="s">
        <v>10258</v>
      </c>
      <c r="E31" s="172" t="s">
        <v>10259</v>
      </c>
      <c r="F31" s="173"/>
      <c r="G31" s="163" t="s">
        <v>10192</v>
      </c>
      <c r="H31" s="163" t="s">
        <v>10164</v>
      </c>
      <c r="I31" s="164" t="s">
        <v>10165</v>
      </c>
      <c r="J31" s="173" t="s">
        <v>10166</v>
      </c>
      <c r="K31" s="173" t="s">
        <v>10167</v>
      </c>
    </row>
    <row r="32" spans="1:11" ht="28">
      <c r="A32" s="163" t="s">
        <v>6214</v>
      </c>
      <c r="B32" s="164" t="s">
        <v>10159</v>
      </c>
      <c r="C32" s="164" t="s">
        <v>10260</v>
      </c>
      <c r="D32" s="164" t="s">
        <v>10261</v>
      </c>
      <c r="E32" s="172" t="s">
        <v>10262</v>
      </c>
      <c r="F32" s="173"/>
      <c r="G32" s="163" t="s">
        <v>10192</v>
      </c>
      <c r="H32" s="163" t="s">
        <v>10164</v>
      </c>
      <c r="I32" s="164" t="s">
        <v>10165</v>
      </c>
      <c r="J32" s="173" t="s">
        <v>10166</v>
      </c>
      <c r="K32" s="173" t="s">
        <v>10167</v>
      </c>
    </row>
    <row r="33" spans="1:11" ht="28">
      <c r="A33" s="163" t="s">
        <v>6214</v>
      </c>
      <c r="B33" s="164" t="s">
        <v>10159</v>
      </c>
      <c r="C33" s="164" t="s">
        <v>10263</v>
      </c>
      <c r="D33" s="164" t="s">
        <v>10264</v>
      </c>
      <c r="E33" s="172" t="s">
        <v>10265</v>
      </c>
      <c r="F33" s="173"/>
      <c r="G33" s="163" t="s">
        <v>10208</v>
      </c>
      <c r="H33" s="163" t="s">
        <v>10164</v>
      </c>
      <c r="I33" s="164" t="s">
        <v>10165</v>
      </c>
      <c r="J33" s="173" t="s">
        <v>10166</v>
      </c>
      <c r="K33" s="173" t="s">
        <v>10167</v>
      </c>
    </row>
    <row r="34" spans="1:11" ht="28">
      <c r="A34" s="163" t="s">
        <v>6214</v>
      </c>
      <c r="B34" s="164" t="s">
        <v>10159</v>
      </c>
      <c r="C34" s="164" t="s">
        <v>10266</v>
      </c>
      <c r="D34" s="164" t="s">
        <v>10267</v>
      </c>
      <c r="E34" s="172" t="s">
        <v>10268</v>
      </c>
      <c r="F34" s="173"/>
      <c r="G34" s="163" t="s">
        <v>10192</v>
      </c>
      <c r="H34" s="163" t="s">
        <v>10164</v>
      </c>
      <c r="I34" s="164" t="s">
        <v>10165</v>
      </c>
      <c r="J34" s="173" t="s">
        <v>10166</v>
      </c>
      <c r="K34" s="173" t="s">
        <v>10167</v>
      </c>
    </row>
    <row r="35" spans="1:11" ht="28">
      <c r="A35" s="163" t="s">
        <v>6214</v>
      </c>
      <c r="B35" s="164" t="s">
        <v>10159</v>
      </c>
      <c r="C35" s="164" t="s">
        <v>10269</v>
      </c>
      <c r="D35" s="164" t="s">
        <v>10270</v>
      </c>
      <c r="E35" s="172" t="s">
        <v>10271</v>
      </c>
      <c r="F35" s="173"/>
      <c r="G35" s="163" t="s">
        <v>10208</v>
      </c>
      <c r="H35" s="163" t="s">
        <v>10164</v>
      </c>
      <c r="I35" s="164" t="s">
        <v>10165</v>
      </c>
      <c r="J35" s="173" t="s">
        <v>10166</v>
      </c>
      <c r="K35" s="173" t="s">
        <v>10167</v>
      </c>
    </row>
    <row r="36" spans="1:11" ht="28">
      <c r="A36" s="163" t="s">
        <v>6214</v>
      </c>
      <c r="B36" s="164" t="s">
        <v>10159</v>
      </c>
      <c r="C36" s="164" t="s">
        <v>10272</v>
      </c>
      <c r="D36" s="164" t="s">
        <v>10273</v>
      </c>
      <c r="E36" s="172" t="s">
        <v>10274</v>
      </c>
      <c r="F36" s="173"/>
      <c r="G36" s="163" t="s">
        <v>10163</v>
      </c>
      <c r="H36" s="163" t="s">
        <v>10164</v>
      </c>
      <c r="I36" s="164" t="s">
        <v>10165</v>
      </c>
      <c r="J36" s="173" t="s">
        <v>10166</v>
      </c>
      <c r="K36" s="173" t="s">
        <v>10167</v>
      </c>
    </row>
    <row r="37" spans="1:11" ht="28">
      <c r="A37" s="163" t="s">
        <v>6214</v>
      </c>
      <c r="B37" s="164" t="s">
        <v>10159</v>
      </c>
      <c r="C37" s="164" t="s">
        <v>10275</v>
      </c>
      <c r="D37" s="164" t="s">
        <v>10276</v>
      </c>
      <c r="E37" s="172" t="s">
        <v>10277</v>
      </c>
      <c r="F37" s="173"/>
      <c r="G37" s="163" t="s">
        <v>10192</v>
      </c>
      <c r="H37" s="163" t="s">
        <v>10164</v>
      </c>
      <c r="I37" s="164" t="s">
        <v>10165</v>
      </c>
      <c r="J37" s="173" t="s">
        <v>10166</v>
      </c>
      <c r="K37" s="173" t="s">
        <v>10167</v>
      </c>
    </row>
    <row r="38" spans="1:11" ht="28">
      <c r="A38" s="163" t="s">
        <v>6214</v>
      </c>
      <c r="B38" s="164" t="s">
        <v>10159</v>
      </c>
      <c r="C38" s="164" t="s">
        <v>10278</v>
      </c>
      <c r="D38" s="164" t="s">
        <v>10279</v>
      </c>
      <c r="E38" s="172" t="s">
        <v>10280</v>
      </c>
      <c r="F38" s="173"/>
      <c r="G38" s="163" t="s">
        <v>10192</v>
      </c>
      <c r="H38" s="163" t="s">
        <v>10164</v>
      </c>
      <c r="I38" s="164" t="s">
        <v>10165</v>
      </c>
      <c r="J38" s="173" t="s">
        <v>10166</v>
      </c>
      <c r="K38" s="173" t="s">
        <v>10167</v>
      </c>
    </row>
    <row r="39" spans="1:11" ht="28">
      <c r="A39" s="163" t="s">
        <v>6214</v>
      </c>
      <c r="B39" s="164" t="s">
        <v>10159</v>
      </c>
      <c r="C39" s="164" t="s">
        <v>10281</v>
      </c>
      <c r="D39" s="164" t="s">
        <v>10282</v>
      </c>
      <c r="E39" s="172" t="s">
        <v>10283</v>
      </c>
      <c r="F39" s="173"/>
      <c r="G39" s="163" t="s">
        <v>10192</v>
      </c>
      <c r="H39" s="163" t="s">
        <v>10164</v>
      </c>
      <c r="I39" s="164" t="s">
        <v>10165</v>
      </c>
      <c r="J39" s="173" t="s">
        <v>10166</v>
      </c>
      <c r="K39" s="173" t="s">
        <v>10167</v>
      </c>
    </row>
    <row r="40" spans="1:11" ht="28">
      <c r="A40" s="163" t="s">
        <v>6214</v>
      </c>
      <c r="B40" s="164" t="s">
        <v>10159</v>
      </c>
      <c r="C40" s="164" t="s">
        <v>10284</v>
      </c>
      <c r="D40" s="164" t="s">
        <v>10285</v>
      </c>
      <c r="E40" s="172" t="s">
        <v>10286</v>
      </c>
      <c r="F40" s="173"/>
      <c r="G40" s="163" t="s">
        <v>10192</v>
      </c>
      <c r="H40" s="163" t="s">
        <v>10164</v>
      </c>
      <c r="I40" s="164" t="s">
        <v>10165</v>
      </c>
      <c r="J40" s="173" t="s">
        <v>10166</v>
      </c>
      <c r="K40" s="173" t="s">
        <v>10167</v>
      </c>
    </row>
    <row r="41" spans="1:11" ht="28">
      <c r="A41" s="163" t="s">
        <v>6214</v>
      </c>
      <c r="B41" s="164" t="s">
        <v>10159</v>
      </c>
      <c r="C41" s="164" t="s">
        <v>10287</v>
      </c>
      <c r="D41" s="164" t="s">
        <v>10288</v>
      </c>
      <c r="E41" s="172" t="s">
        <v>10289</v>
      </c>
      <c r="F41" s="173"/>
      <c r="G41" s="163" t="s">
        <v>10192</v>
      </c>
      <c r="H41" s="163" t="s">
        <v>10164</v>
      </c>
      <c r="I41" s="164" t="s">
        <v>10165</v>
      </c>
      <c r="J41" s="173" t="s">
        <v>10166</v>
      </c>
      <c r="K41" s="173" t="s">
        <v>10167</v>
      </c>
    </row>
    <row r="42" spans="1:11" ht="28">
      <c r="A42" s="163" t="s">
        <v>6214</v>
      </c>
      <c r="B42" s="164" t="s">
        <v>10159</v>
      </c>
      <c r="C42" s="164" t="s">
        <v>10290</v>
      </c>
      <c r="D42" s="164" t="s">
        <v>10291</v>
      </c>
      <c r="E42" s="172" t="s">
        <v>10292</v>
      </c>
      <c r="F42" s="173"/>
      <c r="G42" s="163" t="s">
        <v>10192</v>
      </c>
      <c r="H42" s="163" t="s">
        <v>10164</v>
      </c>
      <c r="I42" s="164" t="s">
        <v>10165</v>
      </c>
      <c r="J42" s="173" t="s">
        <v>10166</v>
      </c>
      <c r="K42" s="173" t="s">
        <v>10167</v>
      </c>
    </row>
    <row r="43" spans="1:11" ht="28">
      <c r="A43" s="163" t="s">
        <v>6214</v>
      </c>
      <c r="B43" s="164" t="s">
        <v>10159</v>
      </c>
      <c r="C43" s="164" t="s">
        <v>10293</v>
      </c>
      <c r="D43" s="164" t="s">
        <v>10294</v>
      </c>
      <c r="E43" s="172" t="s">
        <v>10295</v>
      </c>
      <c r="F43" s="173"/>
      <c r="G43" s="163" t="s">
        <v>10192</v>
      </c>
      <c r="H43" s="163" t="s">
        <v>10164</v>
      </c>
      <c r="I43" s="164" t="s">
        <v>10165</v>
      </c>
      <c r="J43" s="173" t="s">
        <v>10166</v>
      </c>
      <c r="K43" s="173" t="s">
        <v>10167</v>
      </c>
    </row>
    <row r="44" spans="1:11" ht="28">
      <c r="A44" s="163" t="s">
        <v>6214</v>
      </c>
      <c r="B44" s="164" t="s">
        <v>10159</v>
      </c>
      <c r="C44" s="164" t="s">
        <v>10296</v>
      </c>
      <c r="D44" s="164" t="s">
        <v>10297</v>
      </c>
      <c r="E44" s="172" t="s">
        <v>10298</v>
      </c>
      <c r="F44" s="173"/>
      <c r="G44" s="163" t="s">
        <v>10192</v>
      </c>
      <c r="H44" s="163" t="s">
        <v>10164</v>
      </c>
      <c r="I44" s="164" t="s">
        <v>10165</v>
      </c>
      <c r="J44" s="173" t="s">
        <v>10166</v>
      </c>
      <c r="K44" s="173" t="s">
        <v>10167</v>
      </c>
    </row>
    <row r="45" spans="1:11" ht="28">
      <c r="A45" s="163" t="s">
        <v>6214</v>
      </c>
      <c r="B45" s="164" t="s">
        <v>10159</v>
      </c>
      <c r="C45" s="164" t="s">
        <v>10299</v>
      </c>
      <c r="D45" s="164" t="s">
        <v>10300</v>
      </c>
      <c r="E45" s="172" t="s">
        <v>10301</v>
      </c>
      <c r="F45" s="173"/>
      <c r="G45" s="163" t="s">
        <v>10192</v>
      </c>
      <c r="H45" s="163" t="s">
        <v>10164</v>
      </c>
      <c r="I45" s="164" t="s">
        <v>10165</v>
      </c>
      <c r="J45" s="173" t="s">
        <v>10166</v>
      </c>
      <c r="K45" s="173" t="s">
        <v>10167</v>
      </c>
    </row>
    <row r="46" spans="1:11" ht="28">
      <c r="A46" s="163" t="s">
        <v>6214</v>
      </c>
      <c r="B46" s="164" t="s">
        <v>10159</v>
      </c>
      <c r="C46" s="164" t="s">
        <v>10302</v>
      </c>
      <c r="D46" s="164" t="s">
        <v>10303</v>
      </c>
      <c r="E46" s="172" t="s">
        <v>10304</v>
      </c>
      <c r="F46" s="173"/>
      <c r="G46" s="163" t="s">
        <v>10192</v>
      </c>
      <c r="H46" s="163" t="s">
        <v>10164</v>
      </c>
      <c r="I46" s="164" t="s">
        <v>10165</v>
      </c>
      <c r="J46" s="173" t="s">
        <v>10166</v>
      </c>
      <c r="K46" s="173" t="s">
        <v>10167</v>
      </c>
    </row>
    <row r="47" spans="1:11" ht="28">
      <c r="A47" s="163" t="s">
        <v>6214</v>
      </c>
      <c r="B47" s="164" t="s">
        <v>10159</v>
      </c>
      <c r="C47" s="164" t="s">
        <v>10305</v>
      </c>
      <c r="D47" s="164" t="s">
        <v>10306</v>
      </c>
      <c r="E47" s="172" t="s">
        <v>10307</v>
      </c>
      <c r="F47" s="173"/>
      <c r="G47" s="163" t="s">
        <v>10192</v>
      </c>
      <c r="H47" s="163" t="s">
        <v>10164</v>
      </c>
      <c r="I47" s="164" t="s">
        <v>10165</v>
      </c>
      <c r="J47" s="173" t="s">
        <v>10166</v>
      </c>
      <c r="K47" s="173" t="s">
        <v>10167</v>
      </c>
    </row>
    <row r="48" spans="1:11" ht="28">
      <c r="A48" s="163" t="s">
        <v>6214</v>
      </c>
      <c r="B48" s="164" t="s">
        <v>10159</v>
      </c>
      <c r="C48" s="164" t="s">
        <v>10308</v>
      </c>
      <c r="D48" s="164" t="s">
        <v>10309</v>
      </c>
      <c r="E48" s="172" t="s">
        <v>10310</v>
      </c>
      <c r="F48" s="173"/>
      <c r="G48" s="163" t="s">
        <v>10192</v>
      </c>
      <c r="H48" s="163" t="s">
        <v>10164</v>
      </c>
      <c r="I48" s="164" t="s">
        <v>10165</v>
      </c>
      <c r="J48" s="173" t="s">
        <v>10166</v>
      </c>
      <c r="K48" s="173" t="s">
        <v>10167</v>
      </c>
    </row>
    <row r="49" spans="1:11" ht="28">
      <c r="A49" s="163" t="s">
        <v>6214</v>
      </c>
      <c r="B49" s="164" t="s">
        <v>10159</v>
      </c>
      <c r="C49" s="164" t="s">
        <v>10311</v>
      </c>
      <c r="D49" s="164" t="s">
        <v>10312</v>
      </c>
      <c r="E49" s="172" t="s">
        <v>10313</v>
      </c>
      <c r="F49" s="173"/>
      <c r="G49" s="163" t="s">
        <v>10192</v>
      </c>
      <c r="H49" s="163" t="s">
        <v>10164</v>
      </c>
      <c r="I49" s="164" t="s">
        <v>10165</v>
      </c>
      <c r="J49" s="173" t="s">
        <v>10166</v>
      </c>
      <c r="K49" s="173" t="s">
        <v>10167</v>
      </c>
    </row>
    <row r="50" spans="1:11" ht="28">
      <c r="A50" s="163" t="s">
        <v>6214</v>
      </c>
      <c r="B50" s="164" t="s">
        <v>10159</v>
      </c>
      <c r="C50" s="164" t="s">
        <v>10314</v>
      </c>
      <c r="D50" s="164" t="s">
        <v>10315</v>
      </c>
      <c r="E50" s="172" t="s">
        <v>10316</v>
      </c>
      <c r="F50" s="173"/>
      <c r="G50" s="163" t="s">
        <v>10192</v>
      </c>
      <c r="H50" s="163" t="s">
        <v>10164</v>
      </c>
      <c r="I50" s="164" t="s">
        <v>10165</v>
      </c>
      <c r="J50" s="173" t="s">
        <v>10166</v>
      </c>
      <c r="K50" s="173" t="s">
        <v>10167</v>
      </c>
    </row>
    <row r="51" spans="1:11" ht="28">
      <c r="A51" s="163" t="s">
        <v>6214</v>
      </c>
      <c r="B51" s="164" t="s">
        <v>10159</v>
      </c>
      <c r="C51" s="164" t="s">
        <v>10317</v>
      </c>
      <c r="D51" s="164" t="s">
        <v>10318</v>
      </c>
      <c r="E51" s="172" t="s">
        <v>10319</v>
      </c>
      <c r="F51" s="173"/>
      <c r="G51" s="163" t="s">
        <v>10192</v>
      </c>
      <c r="H51" s="163" t="s">
        <v>10164</v>
      </c>
      <c r="I51" s="164" t="s">
        <v>10165</v>
      </c>
      <c r="J51" s="173" t="s">
        <v>10166</v>
      </c>
      <c r="K51" s="173" t="s">
        <v>10167</v>
      </c>
    </row>
    <row r="52" spans="1:11" ht="28">
      <c r="A52" s="163" t="s">
        <v>6214</v>
      </c>
      <c r="B52" s="164" t="s">
        <v>10159</v>
      </c>
      <c r="C52" s="164" t="s">
        <v>10320</v>
      </c>
      <c r="D52" s="164" t="s">
        <v>10321</v>
      </c>
      <c r="E52" s="172" t="s">
        <v>10322</v>
      </c>
      <c r="F52" s="173"/>
      <c r="G52" s="163" t="s">
        <v>10192</v>
      </c>
      <c r="H52" s="163" t="s">
        <v>10164</v>
      </c>
      <c r="I52" s="164" t="s">
        <v>10165</v>
      </c>
      <c r="J52" s="173" t="s">
        <v>10166</v>
      </c>
      <c r="K52" s="173" t="s">
        <v>10167</v>
      </c>
    </row>
    <row r="53" spans="1:11" ht="28">
      <c r="A53" s="163" t="s">
        <v>6214</v>
      </c>
      <c r="B53" s="164" t="s">
        <v>10159</v>
      </c>
      <c r="C53" s="164" t="s">
        <v>10323</v>
      </c>
      <c r="D53" s="164" t="s">
        <v>10324</v>
      </c>
      <c r="E53" s="172" t="s">
        <v>10325</v>
      </c>
      <c r="F53" s="173"/>
      <c r="G53" s="163" t="s">
        <v>10192</v>
      </c>
      <c r="H53" s="163" t="s">
        <v>10164</v>
      </c>
      <c r="I53" s="164" t="s">
        <v>10165</v>
      </c>
      <c r="J53" s="173" t="s">
        <v>10166</v>
      </c>
      <c r="K53" s="173" t="s">
        <v>10167</v>
      </c>
    </row>
    <row r="54" spans="1:11" ht="28">
      <c r="A54" s="163" t="s">
        <v>6214</v>
      </c>
      <c r="B54" s="164" t="s">
        <v>10159</v>
      </c>
      <c r="C54" s="164" t="s">
        <v>10326</v>
      </c>
      <c r="D54" s="164" t="s">
        <v>10327</v>
      </c>
      <c r="E54" s="172" t="s">
        <v>10328</v>
      </c>
      <c r="F54" s="173"/>
      <c r="G54" s="163" t="s">
        <v>10192</v>
      </c>
      <c r="H54" s="163" t="s">
        <v>10164</v>
      </c>
      <c r="I54" s="164" t="s">
        <v>10165</v>
      </c>
      <c r="J54" s="173" t="s">
        <v>10166</v>
      </c>
      <c r="K54" s="173" t="s">
        <v>10167</v>
      </c>
    </row>
    <row r="55" spans="1:11" ht="28">
      <c r="A55" s="163" t="s">
        <v>6248</v>
      </c>
      <c r="B55" s="164" t="s">
        <v>10329</v>
      </c>
      <c r="C55" s="164" t="s">
        <v>10330</v>
      </c>
      <c r="D55" s="164" t="s">
        <v>10331</v>
      </c>
      <c r="E55" s="172" t="s">
        <v>10332</v>
      </c>
      <c r="F55" s="173"/>
      <c r="G55" s="163" t="s">
        <v>10163</v>
      </c>
      <c r="H55" s="163" t="s">
        <v>10333</v>
      </c>
      <c r="I55" s="164" t="s">
        <v>10334</v>
      </c>
      <c r="J55" s="173" t="s">
        <v>10166</v>
      </c>
      <c r="K55" s="173" t="s">
        <v>10167</v>
      </c>
    </row>
    <row r="56" spans="1:11" ht="28">
      <c r="A56" s="163" t="s">
        <v>6248</v>
      </c>
      <c r="B56" s="164" t="s">
        <v>10329</v>
      </c>
      <c r="C56" s="164" t="s">
        <v>10335</v>
      </c>
      <c r="D56" s="164" t="s">
        <v>10160</v>
      </c>
      <c r="E56" s="172" t="s">
        <v>10336</v>
      </c>
      <c r="F56" s="173"/>
      <c r="G56" s="163" t="s">
        <v>10163</v>
      </c>
      <c r="H56" s="163" t="s">
        <v>10333</v>
      </c>
      <c r="I56" s="164" t="s">
        <v>10334</v>
      </c>
      <c r="J56" s="173" t="s">
        <v>10166</v>
      </c>
      <c r="K56" s="173" t="s">
        <v>10167</v>
      </c>
    </row>
    <row r="57" spans="1:11" ht="28">
      <c r="A57" s="163" t="s">
        <v>6248</v>
      </c>
      <c r="B57" s="164" t="s">
        <v>10329</v>
      </c>
      <c r="C57" s="164" t="s">
        <v>10337</v>
      </c>
      <c r="D57" s="164" t="s">
        <v>10168</v>
      </c>
      <c r="E57" s="172" t="s">
        <v>10338</v>
      </c>
      <c r="F57" s="173"/>
      <c r="G57" s="163" t="s">
        <v>10163</v>
      </c>
      <c r="H57" s="163" t="s">
        <v>10333</v>
      </c>
      <c r="I57" s="164" t="s">
        <v>10334</v>
      </c>
      <c r="J57" s="173" t="s">
        <v>10166</v>
      </c>
      <c r="K57" s="173" t="s">
        <v>10167</v>
      </c>
    </row>
    <row r="58" spans="1:11" ht="28">
      <c r="A58" s="163" t="s">
        <v>6248</v>
      </c>
      <c r="B58" s="164" t="s">
        <v>10329</v>
      </c>
      <c r="C58" s="164" t="s">
        <v>10339</v>
      </c>
      <c r="D58" s="164" t="s">
        <v>10172</v>
      </c>
      <c r="E58" s="172" t="s">
        <v>10340</v>
      </c>
      <c r="F58" s="173"/>
      <c r="G58" s="163" t="s">
        <v>10163</v>
      </c>
      <c r="H58" s="163" t="s">
        <v>10333</v>
      </c>
      <c r="I58" s="164" t="s">
        <v>10334</v>
      </c>
      <c r="J58" s="173" t="s">
        <v>10166</v>
      </c>
      <c r="K58" s="173" t="s">
        <v>10167</v>
      </c>
    </row>
    <row r="59" spans="1:11" ht="28">
      <c r="A59" s="163" t="s">
        <v>6248</v>
      </c>
      <c r="B59" s="164" t="s">
        <v>10329</v>
      </c>
      <c r="C59" s="164" t="s">
        <v>10341</v>
      </c>
      <c r="D59" s="164" t="s">
        <v>10342</v>
      </c>
      <c r="E59" s="172" t="s">
        <v>10343</v>
      </c>
      <c r="F59" s="173"/>
      <c r="G59" s="163" t="s">
        <v>10163</v>
      </c>
      <c r="H59" s="163" t="s">
        <v>10333</v>
      </c>
      <c r="I59" s="164" t="s">
        <v>10334</v>
      </c>
      <c r="J59" s="173" t="s">
        <v>10166</v>
      </c>
      <c r="K59" s="173" t="s">
        <v>10167</v>
      </c>
    </row>
    <row r="60" spans="1:11" ht="28">
      <c r="A60" s="163" t="s">
        <v>6248</v>
      </c>
      <c r="B60" s="164" t="s">
        <v>10329</v>
      </c>
      <c r="C60" s="164" t="s">
        <v>10344</v>
      </c>
      <c r="D60" s="164" t="s">
        <v>10175</v>
      </c>
      <c r="E60" s="172" t="s">
        <v>10345</v>
      </c>
      <c r="F60" s="173"/>
      <c r="G60" s="163" t="s">
        <v>10163</v>
      </c>
      <c r="H60" s="163" t="s">
        <v>10333</v>
      </c>
      <c r="I60" s="164" t="s">
        <v>10334</v>
      </c>
      <c r="J60" s="173" t="s">
        <v>10166</v>
      </c>
      <c r="K60" s="173" t="s">
        <v>10167</v>
      </c>
    </row>
    <row r="61" spans="1:11" ht="28">
      <c r="A61" s="163" t="s">
        <v>6248</v>
      </c>
      <c r="B61" s="164" t="s">
        <v>10329</v>
      </c>
      <c r="C61" s="164" t="s">
        <v>10346</v>
      </c>
      <c r="D61" s="164" t="s">
        <v>10178</v>
      </c>
      <c r="E61" s="172" t="s">
        <v>10347</v>
      </c>
      <c r="F61" s="173"/>
      <c r="G61" s="163" t="s">
        <v>10163</v>
      </c>
      <c r="H61" s="163" t="s">
        <v>10333</v>
      </c>
      <c r="I61" s="164" t="s">
        <v>10334</v>
      </c>
      <c r="J61" s="173" t="s">
        <v>10166</v>
      </c>
      <c r="K61" s="173" t="s">
        <v>10167</v>
      </c>
    </row>
    <row r="62" spans="1:11" ht="28">
      <c r="A62" s="163" t="s">
        <v>6248</v>
      </c>
      <c r="B62" s="164" t="s">
        <v>10329</v>
      </c>
      <c r="C62" s="164" t="s">
        <v>10348</v>
      </c>
      <c r="D62" s="164" t="s">
        <v>10349</v>
      </c>
      <c r="E62" s="172" t="s">
        <v>10350</v>
      </c>
      <c r="F62" s="173"/>
      <c r="G62" s="163" t="s">
        <v>10163</v>
      </c>
      <c r="H62" s="163" t="s">
        <v>10333</v>
      </c>
      <c r="I62" s="164" t="s">
        <v>10334</v>
      </c>
      <c r="J62" s="173" t="s">
        <v>10166</v>
      </c>
      <c r="K62" s="173" t="s">
        <v>10167</v>
      </c>
    </row>
    <row r="63" spans="1:11" ht="28">
      <c r="A63" s="163" t="s">
        <v>6248</v>
      </c>
      <c r="B63" s="164" t="s">
        <v>10329</v>
      </c>
      <c r="C63" s="164" t="s">
        <v>10351</v>
      </c>
      <c r="D63" s="164" t="s">
        <v>10189</v>
      </c>
      <c r="E63" s="172" t="s">
        <v>10352</v>
      </c>
      <c r="F63" s="173"/>
      <c r="G63" s="163" t="s">
        <v>10163</v>
      </c>
      <c r="H63" s="163" t="s">
        <v>10333</v>
      </c>
      <c r="I63" s="164" t="s">
        <v>10334</v>
      </c>
      <c r="J63" s="173" t="s">
        <v>10166</v>
      </c>
      <c r="K63" s="173" t="s">
        <v>10167</v>
      </c>
    </row>
    <row r="64" spans="1:11" ht="28">
      <c r="A64" s="163" t="s">
        <v>6248</v>
      </c>
      <c r="B64" s="164" t="s">
        <v>10329</v>
      </c>
      <c r="C64" s="164" t="s">
        <v>10353</v>
      </c>
      <c r="D64" s="164" t="s">
        <v>10194</v>
      </c>
      <c r="E64" s="172" t="s">
        <v>10354</v>
      </c>
      <c r="F64" s="173"/>
      <c r="G64" s="163" t="s">
        <v>10163</v>
      </c>
      <c r="H64" s="163" t="s">
        <v>10333</v>
      </c>
      <c r="I64" s="164" t="s">
        <v>10334</v>
      </c>
      <c r="J64" s="173" t="s">
        <v>10166</v>
      </c>
      <c r="K64" s="173" t="s">
        <v>10167</v>
      </c>
    </row>
    <row r="65" spans="1:11" ht="28">
      <c r="A65" s="163" t="s">
        <v>6248</v>
      </c>
      <c r="B65" s="164" t="s">
        <v>10329</v>
      </c>
      <c r="C65" s="164" t="s">
        <v>10355</v>
      </c>
      <c r="D65" s="164" t="s">
        <v>10197</v>
      </c>
      <c r="E65" s="172" t="s">
        <v>10356</v>
      </c>
      <c r="F65" s="173"/>
      <c r="G65" s="163" t="s">
        <v>10163</v>
      </c>
      <c r="H65" s="163" t="s">
        <v>10333</v>
      </c>
      <c r="I65" s="164" t="s">
        <v>10334</v>
      </c>
      <c r="J65" s="173" t="s">
        <v>10166</v>
      </c>
      <c r="K65" s="173" t="s">
        <v>10167</v>
      </c>
    </row>
    <row r="66" spans="1:11" ht="28">
      <c r="A66" s="163" t="s">
        <v>6248</v>
      </c>
      <c r="B66" s="164" t="s">
        <v>10329</v>
      </c>
      <c r="C66" s="164" t="s">
        <v>10357</v>
      </c>
      <c r="D66" s="164" t="s">
        <v>10200</v>
      </c>
      <c r="E66" s="172" t="s">
        <v>10358</v>
      </c>
      <c r="F66" s="173"/>
      <c r="G66" s="163" t="s">
        <v>10163</v>
      </c>
      <c r="H66" s="163" t="s">
        <v>10333</v>
      </c>
      <c r="I66" s="164" t="s">
        <v>10334</v>
      </c>
      <c r="J66" s="173" t="s">
        <v>10166</v>
      </c>
      <c r="K66" s="173" t="s">
        <v>10167</v>
      </c>
    </row>
    <row r="67" spans="1:11" ht="28">
      <c r="A67" s="163" t="s">
        <v>6248</v>
      </c>
      <c r="B67" s="164" t="s">
        <v>10329</v>
      </c>
      <c r="C67" s="164" t="s">
        <v>10359</v>
      </c>
      <c r="D67" s="164" t="s">
        <v>10203</v>
      </c>
      <c r="E67" s="172" t="s">
        <v>10360</v>
      </c>
      <c r="F67" s="173"/>
      <c r="G67" s="163" t="s">
        <v>10163</v>
      </c>
      <c r="H67" s="163" t="s">
        <v>10333</v>
      </c>
      <c r="I67" s="164" t="s">
        <v>10334</v>
      </c>
      <c r="J67" s="173" t="s">
        <v>10166</v>
      </c>
      <c r="K67" s="173" t="s">
        <v>10167</v>
      </c>
    </row>
    <row r="68" spans="1:11" ht="28">
      <c r="A68" s="163" t="s">
        <v>6248</v>
      </c>
      <c r="B68" s="164" t="s">
        <v>10329</v>
      </c>
      <c r="C68" s="164" t="s">
        <v>10361</v>
      </c>
      <c r="D68" s="164" t="s">
        <v>10210</v>
      </c>
      <c r="E68" s="172" t="s">
        <v>10362</v>
      </c>
      <c r="F68" s="173"/>
      <c r="G68" s="163" t="s">
        <v>10163</v>
      </c>
      <c r="H68" s="163" t="s">
        <v>10333</v>
      </c>
      <c r="I68" s="164" t="s">
        <v>10334</v>
      </c>
      <c r="J68" s="173" t="s">
        <v>10166</v>
      </c>
      <c r="K68" s="173" t="s">
        <v>10167</v>
      </c>
    </row>
    <row r="69" spans="1:11" ht="28">
      <c r="A69" s="163" t="s">
        <v>6248</v>
      </c>
      <c r="B69" s="164" t="s">
        <v>10329</v>
      </c>
      <c r="C69" s="164" t="s">
        <v>10363</v>
      </c>
      <c r="D69" s="164" t="s">
        <v>10213</v>
      </c>
      <c r="E69" s="172" t="s">
        <v>10364</v>
      </c>
      <c r="F69" s="173"/>
      <c r="G69" s="163" t="s">
        <v>10163</v>
      </c>
      <c r="H69" s="163" t="s">
        <v>10333</v>
      </c>
      <c r="I69" s="164" t="s">
        <v>10334</v>
      </c>
      <c r="J69" s="173" t="s">
        <v>10166</v>
      </c>
      <c r="K69" s="173" t="s">
        <v>10167</v>
      </c>
    </row>
    <row r="70" spans="1:11" ht="28">
      <c r="A70" s="163" t="s">
        <v>6248</v>
      </c>
      <c r="B70" s="164" t="s">
        <v>10329</v>
      </c>
      <c r="C70" s="164" t="s">
        <v>10365</v>
      </c>
      <c r="D70" s="164" t="s">
        <v>10216</v>
      </c>
      <c r="E70" s="172" t="s">
        <v>10366</v>
      </c>
      <c r="F70" s="173"/>
      <c r="G70" s="163" t="s">
        <v>10163</v>
      </c>
      <c r="H70" s="163" t="s">
        <v>10333</v>
      </c>
      <c r="I70" s="164" t="s">
        <v>10334</v>
      </c>
      <c r="J70" s="173" t="s">
        <v>10166</v>
      </c>
      <c r="K70" s="173" t="s">
        <v>10167</v>
      </c>
    </row>
    <row r="71" spans="1:11" ht="28">
      <c r="A71" s="163" t="s">
        <v>6248</v>
      </c>
      <c r="B71" s="164" t="s">
        <v>10329</v>
      </c>
      <c r="C71" s="164" t="s">
        <v>10367</v>
      </c>
      <c r="D71" s="164" t="s">
        <v>10219</v>
      </c>
      <c r="E71" s="172" t="s">
        <v>10368</v>
      </c>
      <c r="F71" s="173"/>
      <c r="G71" s="163" t="s">
        <v>10163</v>
      </c>
      <c r="H71" s="163" t="s">
        <v>10333</v>
      </c>
      <c r="I71" s="164" t="s">
        <v>10334</v>
      </c>
      <c r="J71" s="173" t="s">
        <v>10166</v>
      </c>
      <c r="K71" s="173" t="s">
        <v>10167</v>
      </c>
    </row>
    <row r="72" spans="1:11" ht="28">
      <c r="A72" s="163" t="s">
        <v>6248</v>
      </c>
      <c r="B72" s="164" t="s">
        <v>10329</v>
      </c>
      <c r="C72" s="164" t="s">
        <v>10369</v>
      </c>
      <c r="D72" s="164" t="s">
        <v>10370</v>
      </c>
      <c r="E72" s="172" t="s">
        <v>10371</v>
      </c>
      <c r="F72" s="173"/>
      <c r="G72" s="163" t="s">
        <v>10163</v>
      </c>
      <c r="H72" s="163" t="s">
        <v>10333</v>
      </c>
      <c r="I72" s="164" t="s">
        <v>10334</v>
      </c>
      <c r="J72" s="173" t="s">
        <v>10166</v>
      </c>
      <c r="K72" s="173" t="s">
        <v>10167</v>
      </c>
    </row>
    <row r="73" spans="1:11" ht="28">
      <c r="A73" s="163" t="s">
        <v>6248</v>
      </c>
      <c r="B73" s="164" t="s">
        <v>10329</v>
      </c>
      <c r="C73" s="164" t="s">
        <v>10372</v>
      </c>
      <c r="D73" s="164" t="s">
        <v>10222</v>
      </c>
      <c r="E73" s="172" t="s">
        <v>10373</v>
      </c>
      <c r="F73" s="173"/>
      <c r="G73" s="163" t="s">
        <v>10163</v>
      </c>
      <c r="H73" s="163" t="s">
        <v>10333</v>
      </c>
      <c r="I73" s="164" t="s">
        <v>10334</v>
      </c>
      <c r="J73" s="173" t="s">
        <v>10166</v>
      </c>
      <c r="K73" s="173" t="s">
        <v>10167</v>
      </c>
    </row>
    <row r="74" spans="1:11" ht="28">
      <c r="A74" s="163" t="s">
        <v>6248</v>
      </c>
      <c r="B74" s="164" t="s">
        <v>10329</v>
      </c>
      <c r="C74" s="164" t="s">
        <v>10374</v>
      </c>
      <c r="D74" s="164" t="s">
        <v>10225</v>
      </c>
      <c r="E74" s="172" t="s">
        <v>10375</v>
      </c>
      <c r="F74" s="173"/>
      <c r="G74" s="163" t="s">
        <v>10163</v>
      </c>
      <c r="H74" s="163" t="s">
        <v>10333</v>
      </c>
      <c r="I74" s="164" t="s">
        <v>10334</v>
      </c>
      <c r="J74" s="173" t="s">
        <v>10166</v>
      </c>
      <c r="K74" s="173" t="s">
        <v>10167</v>
      </c>
    </row>
    <row r="75" spans="1:11" ht="28">
      <c r="A75" s="163" t="s">
        <v>6248</v>
      </c>
      <c r="B75" s="164" t="s">
        <v>10329</v>
      </c>
      <c r="C75" s="164" t="s">
        <v>10376</v>
      </c>
      <c r="D75" s="164" t="s">
        <v>10228</v>
      </c>
      <c r="E75" s="172" t="s">
        <v>10377</v>
      </c>
      <c r="F75" s="173"/>
      <c r="G75" s="163" t="s">
        <v>10163</v>
      </c>
      <c r="H75" s="163" t="s">
        <v>10333</v>
      </c>
      <c r="I75" s="164" t="s">
        <v>10334</v>
      </c>
      <c r="J75" s="173" t="s">
        <v>10166</v>
      </c>
      <c r="K75" s="173" t="s">
        <v>10167</v>
      </c>
    </row>
    <row r="76" spans="1:11" ht="28">
      <c r="A76" s="163" t="s">
        <v>6248</v>
      </c>
      <c r="B76" s="164" t="s">
        <v>10329</v>
      </c>
      <c r="C76" s="164" t="s">
        <v>10378</v>
      </c>
      <c r="D76" s="164" t="s">
        <v>10231</v>
      </c>
      <c r="E76" s="172" t="s">
        <v>10379</v>
      </c>
      <c r="F76" s="173"/>
      <c r="G76" s="163" t="s">
        <v>10163</v>
      </c>
      <c r="H76" s="163" t="s">
        <v>10333</v>
      </c>
      <c r="I76" s="164" t="s">
        <v>10334</v>
      </c>
      <c r="J76" s="173" t="s">
        <v>10166</v>
      </c>
      <c r="K76" s="173" t="s">
        <v>10167</v>
      </c>
    </row>
    <row r="77" spans="1:11" ht="28">
      <c r="A77" s="163" t="s">
        <v>6248</v>
      </c>
      <c r="B77" s="164" t="s">
        <v>10329</v>
      </c>
      <c r="C77" s="164" t="s">
        <v>10380</v>
      </c>
      <c r="D77" s="164" t="s">
        <v>10234</v>
      </c>
      <c r="E77" s="172" t="s">
        <v>10381</v>
      </c>
      <c r="F77" s="173"/>
      <c r="G77" s="163" t="s">
        <v>10163</v>
      </c>
      <c r="H77" s="163" t="s">
        <v>10333</v>
      </c>
      <c r="I77" s="164" t="s">
        <v>10334</v>
      </c>
      <c r="J77" s="173" t="s">
        <v>10166</v>
      </c>
      <c r="K77" s="173" t="s">
        <v>10167</v>
      </c>
    </row>
    <row r="78" spans="1:11" ht="28">
      <c r="A78" s="163" t="s">
        <v>6248</v>
      </c>
      <c r="B78" s="164" t="s">
        <v>10329</v>
      </c>
      <c r="C78" s="164" t="s">
        <v>10382</v>
      </c>
      <c r="D78" s="164" t="s">
        <v>10383</v>
      </c>
      <c r="E78" s="172" t="s">
        <v>10384</v>
      </c>
      <c r="F78" s="173"/>
      <c r="G78" s="163" t="s">
        <v>10163</v>
      </c>
      <c r="H78" s="163" t="s">
        <v>10333</v>
      </c>
      <c r="I78" s="164" t="s">
        <v>10334</v>
      </c>
      <c r="J78" s="173" t="s">
        <v>10166</v>
      </c>
      <c r="K78" s="173" t="s">
        <v>10167</v>
      </c>
    </row>
    <row r="79" spans="1:11" ht="28">
      <c r="A79" s="163" t="s">
        <v>6248</v>
      </c>
      <c r="B79" s="164" t="s">
        <v>10329</v>
      </c>
      <c r="C79" s="164" t="s">
        <v>10385</v>
      </c>
      <c r="D79" s="164" t="s">
        <v>10237</v>
      </c>
      <c r="E79" s="172" t="s">
        <v>10386</v>
      </c>
      <c r="F79" s="173"/>
      <c r="G79" s="163" t="s">
        <v>10163</v>
      </c>
      <c r="H79" s="163" t="s">
        <v>10333</v>
      </c>
      <c r="I79" s="164" t="s">
        <v>10334</v>
      </c>
      <c r="J79" s="173" t="s">
        <v>10166</v>
      </c>
      <c r="K79" s="173" t="s">
        <v>10167</v>
      </c>
    </row>
    <row r="80" spans="1:11" ht="28">
      <c r="A80" s="163" t="s">
        <v>6248</v>
      </c>
      <c r="B80" s="164" t="s">
        <v>10329</v>
      </c>
      <c r="C80" s="164" t="s">
        <v>10387</v>
      </c>
      <c r="D80" s="164" t="s">
        <v>10388</v>
      </c>
      <c r="E80" s="172" t="s">
        <v>10389</v>
      </c>
      <c r="F80" s="173"/>
      <c r="G80" s="163" t="s">
        <v>10163</v>
      </c>
      <c r="H80" s="163" t="s">
        <v>10333</v>
      </c>
      <c r="I80" s="164" t="s">
        <v>10334</v>
      </c>
      <c r="J80" s="173" t="s">
        <v>10166</v>
      </c>
      <c r="K80" s="173" t="s">
        <v>10167</v>
      </c>
    </row>
    <row r="81" spans="1:11" ht="28">
      <c r="A81" s="163" t="s">
        <v>6248</v>
      </c>
      <c r="B81" s="164" t="s">
        <v>10329</v>
      </c>
      <c r="C81" s="164" t="s">
        <v>10390</v>
      </c>
      <c r="D81" s="164" t="s">
        <v>10240</v>
      </c>
      <c r="E81" s="172" t="s">
        <v>10391</v>
      </c>
      <c r="F81" s="173"/>
      <c r="G81" s="163" t="s">
        <v>10163</v>
      </c>
      <c r="H81" s="163" t="s">
        <v>10333</v>
      </c>
      <c r="I81" s="164" t="s">
        <v>10334</v>
      </c>
      <c r="J81" s="173" t="s">
        <v>10166</v>
      </c>
      <c r="K81" s="173" t="s">
        <v>10167</v>
      </c>
    </row>
    <row r="82" spans="1:11" ht="28">
      <c r="A82" s="163" t="s">
        <v>6248</v>
      </c>
      <c r="B82" s="164" t="s">
        <v>10329</v>
      </c>
      <c r="C82" s="164" t="s">
        <v>10392</v>
      </c>
      <c r="D82" s="164" t="s">
        <v>10243</v>
      </c>
      <c r="E82" s="172" t="s">
        <v>10393</v>
      </c>
      <c r="F82" s="173"/>
      <c r="G82" s="163" t="s">
        <v>10163</v>
      </c>
      <c r="H82" s="163" t="s">
        <v>10333</v>
      </c>
      <c r="I82" s="164" t="s">
        <v>10334</v>
      </c>
      <c r="J82" s="173" t="s">
        <v>10166</v>
      </c>
      <c r="K82" s="173" t="s">
        <v>10167</v>
      </c>
    </row>
    <row r="83" spans="1:11" ht="28">
      <c r="A83" s="163" t="s">
        <v>6248</v>
      </c>
      <c r="B83" s="164" t="s">
        <v>10329</v>
      </c>
      <c r="C83" s="164" t="s">
        <v>10394</v>
      </c>
      <c r="D83" s="164" t="s">
        <v>10395</v>
      </c>
      <c r="E83" s="172" t="s">
        <v>10396</v>
      </c>
      <c r="F83" s="173"/>
      <c r="G83" s="163" t="s">
        <v>10163</v>
      </c>
      <c r="H83" s="163" t="s">
        <v>10333</v>
      </c>
      <c r="I83" s="164" t="s">
        <v>10334</v>
      </c>
      <c r="J83" s="173" t="s">
        <v>10166</v>
      </c>
      <c r="K83" s="173" t="s">
        <v>10167</v>
      </c>
    </row>
    <row r="84" spans="1:11" ht="28">
      <c r="A84" s="163" t="s">
        <v>6248</v>
      </c>
      <c r="B84" s="164" t="s">
        <v>10329</v>
      </c>
      <c r="C84" s="164" t="s">
        <v>10397</v>
      </c>
      <c r="D84" s="164" t="s">
        <v>10246</v>
      </c>
      <c r="E84" s="172" t="s">
        <v>10398</v>
      </c>
      <c r="F84" s="173"/>
      <c r="G84" s="163" t="s">
        <v>10163</v>
      </c>
      <c r="H84" s="163" t="s">
        <v>10333</v>
      </c>
      <c r="I84" s="164" t="s">
        <v>10334</v>
      </c>
      <c r="J84" s="173" t="s">
        <v>10166</v>
      </c>
      <c r="K84" s="173" t="s">
        <v>10167</v>
      </c>
    </row>
    <row r="85" spans="1:11" ht="28">
      <c r="A85" s="163" t="s">
        <v>6248</v>
      </c>
      <c r="B85" s="164" t="s">
        <v>10329</v>
      </c>
      <c r="C85" s="164" t="s">
        <v>10399</v>
      </c>
      <c r="D85" s="164" t="s">
        <v>10249</v>
      </c>
      <c r="E85" s="172" t="s">
        <v>10400</v>
      </c>
      <c r="F85" s="173"/>
      <c r="G85" s="163" t="s">
        <v>10163</v>
      </c>
      <c r="H85" s="163" t="s">
        <v>10333</v>
      </c>
      <c r="I85" s="164" t="s">
        <v>10334</v>
      </c>
      <c r="J85" s="173" t="s">
        <v>10166</v>
      </c>
      <c r="K85" s="173" t="s">
        <v>10167</v>
      </c>
    </row>
    <row r="86" spans="1:11" ht="28">
      <c r="A86" s="163" t="s">
        <v>6248</v>
      </c>
      <c r="B86" s="164" t="s">
        <v>10329</v>
      </c>
      <c r="C86" s="164" t="s">
        <v>10401</v>
      </c>
      <c r="D86" s="164" t="s">
        <v>10264</v>
      </c>
      <c r="E86" s="172" t="s">
        <v>10402</v>
      </c>
      <c r="F86" s="173"/>
      <c r="G86" s="163" t="s">
        <v>10163</v>
      </c>
      <c r="H86" s="163" t="s">
        <v>10333</v>
      </c>
      <c r="I86" s="164" t="s">
        <v>10334</v>
      </c>
      <c r="J86" s="173" t="s">
        <v>10166</v>
      </c>
      <c r="K86" s="173" t="s">
        <v>10167</v>
      </c>
    </row>
    <row r="87" spans="1:11" ht="28">
      <c r="A87" s="163" t="s">
        <v>6248</v>
      </c>
      <c r="B87" s="164" t="s">
        <v>10329</v>
      </c>
      <c r="C87" s="164" t="s">
        <v>10403</v>
      </c>
      <c r="D87" s="164" t="s">
        <v>10267</v>
      </c>
      <c r="E87" s="172" t="s">
        <v>10404</v>
      </c>
      <c r="F87" s="173"/>
      <c r="G87" s="163" t="s">
        <v>10163</v>
      </c>
      <c r="H87" s="163" t="s">
        <v>10333</v>
      </c>
      <c r="I87" s="164" t="s">
        <v>10334</v>
      </c>
      <c r="J87" s="173" t="s">
        <v>10166</v>
      </c>
      <c r="K87" s="173" t="s">
        <v>10167</v>
      </c>
    </row>
    <row r="88" spans="1:11" ht="28">
      <c r="A88" s="163" t="s">
        <v>6248</v>
      </c>
      <c r="B88" s="164" t="s">
        <v>10329</v>
      </c>
      <c r="C88" s="164" t="s">
        <v>10405</v>
      </c>
      <c r="D88" s="164" t="s">
        <v>10270</v>
      </c>
      <c r="E88" s="172" t="s">
        <v>10406</v>
      </c>
      <c r="F88" s="173"/>
      <c r="G88" s="163" t="s">
        <v>10163</v>
      </c>
      <c r="H88" s="163" t="s">
        <v>10333</v>
      </c>
      <c r="I88" s="164" t="s">
        <v>10334</v>
      </c>
      <c r="J88" s="173" t="s">
        <v>10166</v>
      </c>
      <c r="K88" s="173" t="s">
        <v>10167</v>
      </c>
    </row>
    <row r="89" spans="1:11" ht="28">
      <c r="A89" s="163" t="s">
        <v>6248</v>
      </c>
      <c r="B89" s="164" t="s">
        <v>10329</v>
      </c>
      <c r="C89" s="164" t="s">
        <v>10407</v>
      </c>
      <c r="D89" s="164" t="s">
        <v>10273</v>
      </c>
      <c r="E89" s="172" t="s">
        <v>10408</v>
      </c>
      <c r="F89" s="173"/>
      <c r="G89" s="163" t="s">
        <v>10163</v>
      </c>
      <c r="H89" s="163" t="s">
        <v>10333</v>
      </c>
      <c r="I89" s="164" t="s">
        <v>10334</v>
      </c>
      <c r="J89" s="173" t="s">
        <v>10166</v>
      </c>
      <c r="K89" s="173" t="s">
        <v>10167</v>
      </c>
    </row>
    <row r="90" spans="1:11" ht="28">
      <c r="A90" s="163" t="s">
        <v>6248</v>
      </c>
      <c r="B90" s="164" t="s">
        <v>10329</v>
      </c>
      <c r="C90" s="164" t="s">
        <v>10409</v>
      </c>
      <c r="D90" s="164" t="s">
        <v>10276</v>
      </c>
      <c r="E90" s="172" t="s">
        <v>10410</v>
      </c>
      <c r="F90" s="173"/>
      <c r="G90" s="163" t="s">
        <v>10163</v>
      </c>
      <c r="H90" s="163" t="s">
        <v>10333</v>
      </c>
      <c r="I90" s="164" t="s">
        <v>10334</v>
      </c>
      <c r="J90" s="173" t="s">
        <v>10166</v>
      </c>
      <c r="K90" s="173" t="s">
        <v>10167</v>
      </c>
    </row>
    <row r="91" spans="1:11" ht="28">
      <c r="A91" s="163" t="s">
        <v>6248</v>
      </c>
      <c r="B91" s="164" t="s">
        <v>10329</v>
      </c>
      <c r="C91" s="164" t="s">
        <v>10411</v>
      </c>
      <c r="D91" s="164" t="s">
        <v>10279</v>
      </c>
      <c r="E91" s="172" t="s">
        <v>10412</v>
      </c>
      <c r="F91" s="173"/>
      <c r="G91" s="163" t="s">
        <v>10163</v>
      </c>
      <c r="H91" s="163" t="s">
        <v>10333</v>
      </c>
      <c r="I91" s="164" t="s">
        <v>10334</v>
      </c>
      <c r="J91" s="173" t="s">
        <v>10166</v>
      </c>
      <c r="K91" s="173" t="s">
        <v>10167</v>
      </c>
    </row>
    <row r="92" spans="1:11" ht="28">
      <c r="A92" s="163" t="s">
        <v>6248</v>
      </c>
      <c r="B92" s="164" t="s">
        <v>10329</v>
      </c>
      <c r="C92" s="164" t="s">
        <v>10413</v>
      </c>
      <c r="D92" s="164" t="s">
        <v>10414</v>
      </c>
      <c r="E92" s="172" t="s">
        <v>10415</v>
      </c>
      <c r="F92" s="173"/>
      <c r="G92" s="163" t="s">
        <v>10163</v>
      </c>
      <c r="H92" s="163" t="s">
        <v>10333</v>
      </c>
      <c r="I92" s="164" t="s">
        <v>10334</v>
      </c>
      <c r="J92" s="173" t="s">
        <v>10166</v>
      </c>
      <c r="K92" s="173" t="s">
        <v>10167</v>
      </c>
    </row>
    <row r="93" spans="1:11" ht="28">
      <c r="A93" s="163" t="s">
        <v>6248</v>
      </c>
      <c r="B93" s="164" t="s">
        <v>10329</v>
      </c>
      <c r="C93" s="164" t="s">
        <v>10416</v>
      </c>
      <c r="D93" s="164" t="s">
        <v>10417</v>
      </c>
      <c r="E93" s="172" t="s">
        <v>10418</v>
      </c>
      <c r="F93" s="173"/>
      <c r="G93" s="163" t="s">
        <v>10163</v>
      </c>
      <c r="H93" s="163" t="s">
        <v>10333</v>
      </c>
      <c r="I93" s="164" t="s">
        <v>10334</v>
      </c>
      <c r="J93" s="173" t="s">
        <v>10166</v>
      </c>
      <c r="K93" s="173" t="s">
        <v>10167</v>
      </c>
    </row>
    <row r="94" spans="1:11" ht="28">
      <c r="A94" s="163" t="s">
        <v>6248</v>
      </c>
      <c r="B94" s="164" t="s">
        <v>10329</v>
      </c>
      <c r="C94" s="164" t="s">
        <v>10419</v>
      </c>
      <c r="D94" s="164" t="s">
        <v>10282</v>
      </c>
      <c r="E94" s="172" t="s">
        <v>10420</v>
      </c>
      <c r="F94" s="173"/>
      <c r="G94" s="163" t="s">
        <v>10163</v>
      </c>
      <c r="H94" s="163" t="s">
        <v>10333</v>
      </c>
      <c r="I94" s="164" t="s">
        <v>10334</v>
      </c>
      <c r="J94" s="173" t="s">
        <v>10166</v>
      </c>
      <c r="K94" s="173" t="s">
        <v>10167</v>
      </c>
    </row>
    <row r="95" spans="1:11" ht="28">
      <c r="A95" s="163" t="s">
        <v>6248</v>
      </c>
      <c r="B95" s="164" t="s">
        <v>10329</v>
      </c>
      <c r="C95" s="164" t="s">
        <v>10421</v>
      </c>
      <c r="D95" s="164" t="s">
        <v>10285</v>
      </c>
      <c r="E95" s="172" t="s">
        <v>10422</v>
      </c>
      <c r="F95" s="173"/>
      <c r="G95" s="163" t="s">
        <v>10163</v>
      </c>
      <c r="H95" s="163" t="s">
        <v>10333</v>
      </c>
      <c r="I95" s="164" t="s">
        <v>10334</v>
      </c>
      <c r="J95" s="173" t="s">
        <v>10166</v>
      </c>
      <c r="K95" s="173" t="s">
        <v>10167</v>
      </c>
    </row>
    <row r="96" spans="1:11" ht="28">
      <c r="A96" s="163" t="s">
        <v>6248</v>
      </c>
      <c r="B96" s="164" t="s">
        <v>10329</v>
      </c>
      <c r="C96" s="164" t="s">
        <v>10423</v>
      </c>
      <c r="D96" s="164" t="s">
        <v>10288</v>
      </c>
      <c r="E96" s="172" t="s">
        <v>10424</v>
      </c>
      <c r="F96" s="173"/>
      <c r="G96" s="163" t="s">
        <v>10163</v>
      </c>
      <c r="H96" s="163" t="s">
        <v>10333</v>
      </c>
      <c r="I96" s="164" t="s">
        <v>10334</v>
      </c>
      <c r="J96" s="173" t="s">
        <v>10166</v>
      </c>
      <c r="K96" s="173" t="s">
        <v>10167</v>
      </c>
    </row>
    <row r="97" spans="1:11" ht="28">
      <c r="A97" s="163" t="s">
        <v>6248</v>
      </c>
      <c r="B97" s="164" t="s">
        <v>10329</v>
      </c>
      <c r="C97" s="164" t="s">
        <v>10425</v>
      </c>
      <c r="D97" s="164" t="s">
        <v>10291</v>
      </c>
      <c r="E97" s="172" t="s">
        <v>10426</v>
      </c>
      <c r="F97" s="173"/>
      <c r="G97" s="163" t="s">
        <v>10163</v>
      </c>
      <c r="H97" s="163" t="s">
        <v>10333</v>
      </c>
      <c r="I97" s="164" t="s">
        <v>10334</v>
      </c>
      <c r="J97" s="173" t="s">
        <v>10166</v>
      </c>
      <c r="K97" s="173" t="s">
        <v>10167</v>
      </c>
    </row>
    <row r="98" spans="1:11" ht="28">
      <c r="A98" s="163" t="s">
        <v>6248</v>
      </c>
      <c r="B98" s="164" t="s">
        <v>10329</v>
      </c>
      <c r="C98" s="164" t="s">
        <v>10427</v>
      </c>
      <c r="D98" s="164" t="s">
        <v>10294</v>
      </c>
      <c r="E98" s="172" t="s">
        <v>10428</v>
      </c>
      <c r="F98" s="173"/>
      <c r="G98" s="163" t="s">
        <v>10163</v>
      </c>
      <c r="H98" s="163" t="s">
        <v>10333</v>
      </c>
      <c r="I98" s="164" t="s">
        <v>10334</v>
      </c>
      <c r="J98" s="173" t="s">
        <v>10166</v>
      </c>
      <c r="K98" s="173" t="s">
        <v>10167</v>
      </c>
    </row>
    <row r="99" spans="1:11" ht="28">
      <c r="A99" s="163" t="s">
        <v>6248</v>
      </c>
      <c r="B99" s="164" t="s">
        <v>10329</v>
      </c>
      <c r="C99" s="164" t="s">
        <v>10429</v>
      </c>
      <c r="D99" s="164" t="s">
        <v>10297</v>
      </c>
      <c r="E99" s="172" t="s">
        <v>10430</v>
      </c>
      <c r="F99" s="173"/>
      <c r="G99" s="163" t="s">
        <v>10163</v>
      </c>
      <c r="H99" s="163" t="s">
        <v>10333</v>
      </c>
      <c r="I99" s="164" t="s">
        <v>10334</v>
      </c>
      <c r="J99" s="173" t="s">
        <v>10166</v>
      </c>
      <c r="K99" s="173" t="s">
        <v>10167</v>
      </c>
    </row>
    <row r="100" spans="1:11" ht="28">
      <c r="A100" s="163" t="s">
        <v>6248</v>
      </c>
      <c r="B100" s="164" t="s">
        <v>10329</v>
      </c>
      <c r="C100" s="164" t="s">
        <v>10431</v>
      </c>
      <c r="D100" s="164" t="s">
        <v>10300</v>
      </c>
      <c r="E100" s="172" t="s">
        <v>10432</v>
      </c>
      <c r="F100" s="173"/>
      <c r="G100" s="163" t="s">
        <v>10163</v>
      </c>
      <c r="H100" s="163" t="s">
        <v>10333</v>
      </c>
      <c r="I100" s="164" t="s">
        <v>10334</v>
      </c>
      <c r="J100" s="173" t="s">
        <v>10166</v>
      </c>
      <c r="K100" s="173" t="s">
        <v>10167</v>
      </c>
    </row>
    <row r="101" spans="1:11" ht="28">
      <c r="A101" s="163" t="s">
        <v>6248</v>
      </c>
      <c r="B101" s="164" t="s">
        <v>10329</v>
      </c>
      <c r="C101" s="164" t="s">
        <v>10433</v>
      </c>
      <c r="D101" s="164" t="s">
        <v>10303</v>
      </c>
      <c r="E101" s="172" t="s">
        <v>10434</v>
      </c>
      <c r="F101" s="173"/>
      <c r="G101" s="163" t="s">
        <v>10163</v>
      </c>
      <c r="H101" s="163" t="s">
        <v>10333</v>
      </c>
      <c r="I101" s="164" t="s">
        <v>10334</v>
      </c>
      <c r="J101" s="173" t="s">
        <v>10166</v>
      </c>
      <c r="K101" s="173" t="s">
        <v>10167</v>
      </c>
    </row>
    <row r="102" spans="1:11" ht="28">
      <c r="A102" s="163" t="s">
        <v>6248</v>
      </c>
      <c r="B102" s="164" t="s">
        <v>10329</v>
      </c>
      <c r="C102" s="164" t="s">
        <v>10435</v>
      </c>
      <c r="D102" s="164" t="s">
        <v>10306</v>
      </c>
      <c r="E102" s="172" t="s">
        <v>10436</v>
      </c>
      <c r="F102" s="173"/>
      <c r="G102" s="163" t="s">
        <v>10163</v>
      </c>
      <c r="H102" s="163" t="s">
        <v>10333</v>
      </c>
      <c r="I102" s="164" t="s">
        <v>10334</v>
      </c>
      <c r="J102" s="173" t="s">
        <v>10166</v>
      </c>
      <c r="K102" s="173" t="s">
        <v>10167</v>
      </c>
    </row>
    <row r="103" spans="1:11" ht="28">
      <c r="A103" s="163" t="s">
        <v>6248</v>
      </c>
      <c r="B103" s="164" t="s">
        <v>10329</v>
      </c>
      <c r="C103" s="164" t="s">
        <v>10437</v>
      </c>
      <c r="D103" s="164" t="s">
        <v>10309</v>
      </c>
      <c r="E103" s="172" t="s">
        <v>10438</v>
      </c>
      <c r="F103" s="173"/>
      <c r="G103" s="163" t="s">
        <v>10163</v>
      </c>
      <c r="H103" s="163" t="s">
        <v>10333</v>
      </c>
      <c r="I103" s="164" t="s">
        <v>10334</v>
      </c>
      <c r="J103" s="173" t="s">
        <v>10166</v>
      </c>
      <c r="K103" s="173" t="s">
        <v>10167</v>
      </c>
    </row>
    <row r="104" spans="1:11" ht="28">
      <c r="A104" s="163" t="s">
        <v>6248</v>
      </c>
      <c r="B104" s="164" t="s">
        <v>10329</v>
      </c>
      <c r="C104" s="164" t="s">
        <v>10439</v>
      </c>
      <c r="D104" s="164" t="s">
        <v>10312</v>
      </c>
      <c r="E104" s="172" t="s">
        <v>10440</v>
      </c>
      <c r="F104" s="173"/>
      <c r="G104" s="163" t="s">
        <v>10163</v>
      </c>
      <c r="H104" s="163" t="s">
        <v>10333</v>
      </c>
      <c r="I104" s="164" t="s">
        <v>10334</v>
      </c>
      <c r="J104" s="173" t="s">
        <v>10166</v>
      </c>
      <c r="K104" s="173" t="s">
        <v>10167</v>
      </c>
    </row>
    <row r="105" spans="1:11" ht="28">
      <c r="A105" s="163" t="s">
        <v>6248</v>
      </c>
      <c r="B105" s="164" t="s">
        <v>10329</v>
      </c>
      <c r="C105" s="164" t="s">
        <v>10441</v>
      </c>
      <c r="D105" s="164" t="s">
        <v>10442</v>
      </c>
      <c r="E105" s="172" t="s">
        <v>10443</v>
      </c>
      <c r="F105" s="173"/>
      <c r="G105" s="163" t="s">
        <v>10163</v>
      </c>
      <c r="H105" s="163" t="s">
        <v>10333</v>
      </c>
      <c r="I105" s="164" t="s">
        <v>10334</v>
      </c>
      <c r="J105" s="173" t="s">
        <v>10166</v>
      </c>
      <c r="K105" s="173" t="s">
        <v>10167</v>
      </c>
    </row>
    <row r="106" spans="1:11" ht="28">
      <c r="A106" s="163" t="s">
        <v>6248</v>
      </c>
      <c r="B106" s="164" t="s">
        <v>10329</v>
      </c>
      <c r="C106" s="164" t="s">
        <v>10444</v>
      </c>
      <c r="D106" s="164" t="s">
        <v>10315</v>
      </c>
      <c r="E106" s="172" t="s">
        <v>10445</v>
      </c>
      <c r="F106" s="173"/>
      <c r="G106" s="163" t="s">
        <v>10163</v>
      </c>
      <c r="H106" s="163" t="s">
        <v>10333</v>
      </c>
      <c r="I106" s="164" t="s">
        <v>10334</v>
      </c>
      <c r="J106" s="173" t="s">
        <v>10166</v>
      </c>
      <c r="K106" s="173" t="s">
        <v>10167</v>
      </c>
    </row>
    <row r="107" spans="1:11" ht="28">
      <c r="A107" s="163" t="s">
        <v>6248</v>
      </c>
      <c r="B107" s="164" t="s">
        <v>10329</v>
      </c>
      <c r="C107" s="164" t="s">
        <v>10446</v>
      </c>
      <c r="D107" s="164" t="s">
        <v>10318</v>
      </c>
      <c r="E107" s="172" t="s">
        <v>10447</v>
      </c>
      <c r="F107" s="173"/>
      <c r="G107" s="163" t="s">
        <v>10163</v>
      </c>
      <c r="H107" s="163" t="s">
        <v>10333</v>
      </c>
      <c r="I107" s="164" t="s">
        <v>10334</v>
      </c>
      <c r="J107" s="173" t="s">
        <v>10166</v>
      </c>
      <c r="K107" s="173" t="s">
        <v>10167</v>
      </c>
    </row>
    <row r="108" spans="1:11" ht="28">
      <c r="A108" s="163" t="s">
        <v>6248</v>
      </c>
      <c r="B108" s="164" t="s">
        <v>10329</v>
      </c>
      <c r="C108" s="164" t="s">
        <v>10448</v>
      </c>
      <c r="D108" s="164" t="s">
        <v>10321</v>
      </c>
      <c r="E108" s="172" t="s">
        <v>10449</v>
      </c>
      <c r="F108" s="173"/>
      <c r="G108" s="163" t="s">
        <v>10163</v>
      </c>
      <c r="H108" s="163" t="s">
        <v>10333</v>
      </c>
      <c r="I108" s="164" t="s">
        <v>10334</v>
      </c>
      <c r="J108" s="173" t="s">
        <v>10166</v>
      </c>
      <c r="K108" s="173" t="s">
        <v>10167</v>
      </c>
    </row>
    <row r="109" spans="1:11" ht="28">
      <c r="A109" s="163" t="s">
        <v>6248</v>
      </c>
      <c r="B109" s="164" t="s">
        <v>10329</v>
      </c>
      <c r="C109" s="164" t="s">
        <v>10450</v>
      </c>
      <c r="D109" s="164" t="s">
        <v>10324</v>
      </c>
      <c r="E109" s="172" t="s">
        <v>10451</v>
      </c>
      <c r="F109" s="173"/>
      <c r="G109" s="163" t="s">
        <v>10163</v>
      </c>
      <c r="H109" s="163" t="s">
        <v>10333</v>
      </c>
      <c r="I109" s="164" t="s">
        <v>10334</v>
      </c>
      <c r="J109" s="173" t="s">
        <v>10166</v>
      </c>
      <c r="K109" s="173" t="s">
        <v>10167</v>
      </c>
    </row>
    <row r="110" spans="1:11" ht="28">
      <c r="A110" s="163" t="s">
        <v>6248</v>
      </c>
      <c r="B110" s="164" t="s">
        <v>10329</v>
      </c>
      <c r="C110" s="164" t="s">
        <v>10452</v>
      </c>
      <c r="D110" s="164" t="s">
        <v>10327</v>
      </c>
      <c r="E110" s="172" t="s">
        <v>10453</v>
      </c>
      <c r="F110" s="173"/>
      <c r="G110" s="163" t="s">
        <v>10163</v>
      </c>
      <c r="H110" s="163" t="s">
        <v>10333</v>
      </c>
      <c r="I110" s="164" t="s">
        <v>10334</v>
      </c>
      <c r="J110" s="173" t="s">
        <v>10166</v>
      </c>
      <c r="K110" s="173" t="s">
        <v>10167</v>
      </c>
    </row>
    <row r="111" spans="1:11" ht="28">
      <c r="A111" s="163" t="s">
        <v>6248</v>
      </c>
      <c r="B111" s="164" t="s">
        <v>10329</v>
      </c>
      <c r="C111" s="164" t="s">
        <v>10454</v>
      </c>
      <c r="D111" s="164" t="s">
        <v>10455</v>
      </c>
      <c r="E111" s="172" t="s">
        <v>10456</v>
      </c>
      <c r="F111" s="173"/>
      <c r="G111" s="163" t="s">
        <v>10163</v>
      </c>
      <c r="H111" s="163" t="s">
        <v>10333</v>
      </c>
      <c r="I111" s="164" t="s">
        <v>10334</v>
      </c>
      <c r="J111" s="173" t="s">
        <v>10166</v>
      </c>
      <c r="K111" s="173" t="s">
        <v>10167</v>
      </c>
    </row>
    <row r="112" spans="1:11" ht="28">
      <c r="A112" s="163" t="s">
        <v>6248</v>
      </c>
      <c r="B112" s="164" t="s">
        <v>10329</v>
      </c>
      <c r="C112" s="164" t="s">
        <v>10457</v>
      </c>
      <c r="D112" s="164" t="s">
        <v>10458</v>
      </c>
      <c r="E112" s="172" t="s">
        <v>10459</v>
      </c>
      <c r="F112" s="173"/>
      <c r="G112" s="163" t="s">
        <v>10163</v>
      </c>
      <c r="H112" s="163" t="s">
        <v>10333</v>
      </c>
      <c r="I112" s="164" t="s">
        <v>10334</v>
      </c>
      <c r="J112" s="173" t="s">
        <v>10166</v>
      </c>
      <c r="K112" s="173" t="s">
        <v>10167</v>
      </c>
    </row>
    <row r="113" spans="1:11" ht="28">
      <c r="A113" s="163" t="s">
        <v>6030</v>
      </c>
      <c r="B113" s="164" t="s">
        <v>9032</v>
      </c>
      <c r="C113" s="164" t="s">
        <v>10460</v>
      </c>
      <c r="D113" s="164" t="s">
        <v>10461</v>
      </c>
      <c r="E113" s="172" t="s">
        <v>10462</v>
      </c>
      <c r="F113" s="173"/>
      <c r="G113" s="163" t="s">
        <v>10463</v>
      </c>
      <c r="H113" s="163" t="s">
        <v>10464</v>
      </c>
      <c r="I113" s="164" t="s">
        <v>10465</v>
      </c>
      <c r="J113" s="173" t="s">
        <v>10166</v>
      </c>
      <c r="K113" s="173" t="s">
        <v>10167</v>
      </c>
    </row>
    <row r="114" spans="1:11" ht="28">
      <c r="A114" s="163" t="s">
        <v>6030</v>
      </c>
      <c r="B114" s="164" t="s">
        <v>9032</v>
      </c>
      <c r="C114" s="164" t="s">
        <v>10460</v>
      </c>
      <c r="D114" s="164" t="s">
        <v>10461</v>
      </c>
      <c r="E114" s="172" t="s">
        <v>10466</v>
      </c>
      <c r="F114" s="173"/>
      <c r="G114" s="163" t="s">
        <v>10467</v>
      </c>
      <c r="H114" s="163" t="s">
        <v>10464</v>
      </c>
      <c r="I114" s="164" t="s">
        <v>10465</v>
      </c>
      <c r="J114" s="173" t="s">
        <v>10166</v>
      </c>
      <c r="K114" s="173" t="s">
        <v>10167</v>
      </c>
    </row>
    <row r="115" spans="1:11" ht="28">
      <c r="A115" s="163" t="s">
        <v>6030</v>
      </c>
      <c r="B115" s="164" t="s">
        <v>9032</v>
      </c>
      <c r="C115" s="164" t="s">
        <v>10460</v>
      </c>
      <c r="D115" s="164" t="s">
        <v>10461</v>
      </c>
      <c r="E115" s="172" t="s">
        <v>10468</v>
      </c>
      <c r="F115" s="173"/>
      <c r="G115" s="163" t="s">
        <v>10469</v>
      </c>
      <c r="H115" s="163" t="s">
        <v>10464</v>
      </c>
      <c r="I115" s="164" t="s">
        <v>10465</v>
      </c>
      <c r="J115" s="173" t="s">
        <v>10166</v>
      </c>
      <c r="K115" s="173" t="s">
        <v>10167</v>
      </c>
    </row>
    <row r="116" spans="1:11" ht="28">
      <c r="A116" s="163" t="s">
        <v>6030</v>
      </c>
      <c r="B116" s="164" t="s">
        <v>9032</v>
      </c>
      <c r="C116" s="164" t="s">
        <v>10470</v>
      </c>
      <c r="D116" s="164" t="s">
        <v>10471</v>
      </c>
      <c r="E116" s="172" t="s">
        <v>10472</v>
      </c>
      <c r="F116" s="173"/>
      <c r="G116" s="163" t="s">
        <v>10463</v>
      </c>
      <c r="H116" s="163" t="s">
        <v>10464</v>
      </c>
      <c r="I116" s="164" t="s">
        <v>10465</v>
      </c>
      <c r="J116" s="173" t="s">
        <v>10166</v>
      </c>
      <c r="K116" s="173" t="s">
        <v>10167</v>
      </c>
    </row>
    <row r="117" spans="1:11" ht="28">
      <c r="A117" s="163" t="s">
        <v>6030</v>
      </c>
      <c r="B117" s="164" t="s">
        <v>9032</v>
      </c>
      <c r="C117" s="164" t="s">
        <v>10470</v>
      </c>
      <c r="D117" s="164" t="s">
        <v>10471</v>
      </c>
      <c r="E117" s="172" t="s">
        <v>10473</v>
      </c>
      <c r="F117" s="173"/>
      <c r="G117" s="163" t="s">
        <v>10467</v>
      </c>
      <c r="H117" s="163" t="s">
        <v>10464</v>
      </c>
      <c r="I117" s="164" t="s">
        <v>10465</v>
      </c>
      <c r="J117" s="173" t="s">
        <v>10166</v>
      </c>
      <c r="K117" s="173" t="s">
        <v>10167</v>
      </c>
    </row>
    <row r="118" spans="1:11" ht="28">
      <c r="A118" s="163" t="s">
        <v>6030</v>
      </c>
      <c r="B118" s="164" t="s">
        <v>9032</v>
      </c>
      <c r="C118" s="164" t="s">
        <v>10470</v>
      </c>
      <c r="D118" s="164" t="s">
        <v>10471</v>
      </c>
      <c r="E118" s="172" t="s">
        <v>10474</v>
      </c>
      <c r="F118" s="173"/>
      <c r="G118" s="163" t="s">
        <v>10469</v>
      </c>
      <c r="H118" s="163" t="s">
        <v>10464</v>
      </c>
      <c r="I118" s="164" t="s">
        <v>10465</v>
      </c>
      <c r="J118" s="173" t="s">
        <v>10166</v>
      </c>
      <c r="K118" s="173" t="s">
        <v>10167</v>
      </c>
    </row>
    <row r="119" spans="1:11" ht="28">
      <c r="A119" s="163" t="s">
        <v>6030</v>
      </c>
      <c r="B119" s="164" t="s">
        <v>9032</v>
      </c>
      <c r="C119" s="164" t="s">
        <v>10475</v>
      </c>
      <c r="D119" s="164" t="s">
        <v>10476</v>
      </c>
      <c r="E119" s="172" t="s">
        <v>10477</v>
      </c>
      <c r="F119" s="173"/>
      <c r="G119" s="163" t="s">
        <v>10463</v>
      </c>
      <c r="H119" s="163" t="s">
        <v>10464</v>
      </c>
      <c r="I119" s="164" t="s">
        <v>10465</v>
      </c>
      <c r="J119" s="173" t="s">
        <v>10166</v>
      </c>
      <c r="K119" s="173" t="s">
        <v>10167</v>
      </c>
    </row>
    <row r="120" spans="1:11" ht="28">
      <c r="A120" s="163" t="s">
        <v>6030</v>
      </c>
      <c r="B120" s="164" t="s">
        <v>9032</v>
      </c>
      <c r="C120" s="164" t="s">
        <v>10475</v>
      </c>
      <c r="D120" s="164" t="s">
        <v>10476</v>
      </c>
      <c r="E120" s="172" t="s">
        <v>10478</v>
      </c>
      <c r="F120" s="173"/>
      <c r="G120" s="163" t="s">
        <v>10467</v>
      </c>
      <c r="H120" s="163" t="s">
        <v>10464</v>
      </c>
      <c r="I120" s="164" t="s">
        <v>10465</v>
      </c>
      <c r="J120" s="173" t="s">
        <v>10166</v>
      </c>
      <c r="K120" s="173" t="s">
        <v>10167</v>
      </c>
    </row>
    <row r="121" spans="1:11" ht="28">
      <c r="A121" s="163" t="s">
        <v>6030</v>
      </c>
      <c r="B121" s="164" t="s">
        <v>9032</v>
      </c>
      <c r="C121" s="164" t="s">
        <v>10475</v>
      </c>
      <c r="D121" s="164" t="s">
        <v>10476</v>
      </c>
      <c r="E121" s="172" t="s">
        <v>10479</v>
      </c>
      <c r="F121" s="173"/>
      <c r="G121" s="163" t="s">
        <v>10469</v>
      </c>
      <c r="H121" s="163" t="s">
        <v>10464</v>
      </c>
      <c r="I121" s="164" t="s">
        <v>10465</v>
      </c>
      <c r="J121" s="173" t="s">
        <v>10166</v>
      </c>
      <c r="K121" s="173" t="s">
        <v>10167</v>
      </c>
    </row>
    <row r="122" spans="1:11" ht="28">
      <c r="A122" s="163" t="s">
        <v>6030</v>
      </c>
      <c r="B122" s="164" t="s">
        <v>9032</v>
      </c>
      <c r="C122" s="164" t="s">
        <v>10480</v>
      </c>
      <c r="D122" s="164" t="s">
        <v>10481</v>
      </c>
      <c r="E122" s="172" t="s">
        <v>10482</v>
      </c>
      <c r="F122" s="173"/>
      <c r="G122" s="163" t="s">
        <v>10463</v>
      </c>
      <c r="H122" s="163" t="s">
        <v>10464</v>
      </c>
      <c r="I122" s="164" t="s">
        <v>10465</v>
      </c>
      <c r="J122" s="173" t="s">
        <v>10166</v>
      </c>
      <c r="K122" s="173" t="s">
        <v>10167</v>
      </c>
    </row>
    <row r="123" spans="1:11" ht="28">
      <c r="A123" s="163" t="s">
        <v>6030</v>
      </c>
      <c r="B123" s="164" t="s">
        <v>9032</v>
      </c>
      <c r="C123" s="164" t="s">
        <v>10480</v>
      </c>
      <c r="D123" s="164" t="s">
        <v>10481</v>
      </c>
      <c r="E123" s="172" t="s">
        <v>10483</v>
      </c>
      <c r="F123" s="173"/>
      <c r="G123" s="163" t="s">
        <v>10467</v>
      </c>
      <c r="H123" s="163" t="s">
        <v>10464</v>
      </c>
      <c r="I123" s="164" t="s">
        <v>10465</v>
      </c>
      <c r="J123" s="173" t="s">
        <v>10166</v>
      </c>
      <c r="K123" s="173" t="s">
        <v>10167</v>
      </c>
    </row>
    <row r="124" spans="1:11" ht="28">
      <c r="A124" s="163" t="s">
        <v>6030</v>
      </c>
      <c r="B124" s="164" t="s">
        <v>9032</v>
      </c>
      <c r="C124" s="164" t="s">
        <v>10480</v>
      </c>
      <c r="D124" s="164" t="s">
        <v>10481</v>
      </c>
      <c r="E124" s="172" t="s">
        <v>10484</v>
      </c>
      <c r="F124" s="173"/>
      <c r="G124" s="163" t="s">
        <v>10469</v>
      </c>
      <c r="H124" s="163" t="s">
        <v>10464</v>
      </c>
      <c r="I124" s="164" t="s">
        <v>10465</v>
      </c>
      <c r="J124" s="173" t="s">
        <v>10166</v>
      </c>
      <c r="K124" s="173" t="s">
        <v>10167</v>
      </c>
    </row>
    <row r="125" spans="1:11" ht="28">
      <c r="A125" s="163" t="s">
        <v>6030</v>
      </c>
      <c r="B125" s="164" t="s">
        <v>9032</v>
      </c>
      <c r="C125" s="164" t="s">
        <v>10485</v>
      </c>
      <c r="D125" s="164" t="s">
        <v>10486</v>
      </c>
      <c r="E125" s="172" t="s">
        <v>10487</v>
      </c>
      <c r="F125" s="173"/>
      <c r="G125" s="163" t="s">
        <v>10463</v>
      </c>
      <c r="H125" s="163" t="s">
        <v>10464</v>
      </c>
      <c r="I125" s="164" t="s">
        <v>10465</v>
      </c>
      <c r="J125" s="173" t="s">
        <v>10166</v>
      </c>
      <c r="K125" s="173" t="s">
        <v>10167</v>
      </c>
    </row>
    <row r="126" spans="1:11" ht="28">
      <c r="A126" s="163" t="s">
        <v>6030</v>
      </c>
      <c r="B126" s="164" t="s">
        <v>9032</v>
      </c>
      <c r="C126" s="164" t="s">
        <v>10485</v>
      </c>
      <c r="D126" s="164" t="s">
        <v>10486</v>
      </c>
      <c r="E126" s="172" t="s">
        <v>10488</v>
      </c>
      <c r="F126" s="173"/>
      <c r="G126" s="163" t="s">
        <v>10467</v>
      </c>
      <c r="H126" s="163" t="s">
        <v>10464</v>
      </c>
      <c r="I126" s="164" t="s">
        <v>10465</v>
      </c>
      <c r="J126" s="173" t="s">
        <v>10166</v>
      </c>
      <c r="K126" s="173" t="s">
        <v>10167</v>
      </c>
    </row>
    <row r="127" spans="1:11" ht="28">
      <c r="A127" s="163" t="s">
        <v>6030</v>
      </c>
      <c r="B127" s="164" t="s">
        <v>9032</v>
      </c>
      <c r="C127" s="164" t="s">
        <v>10485</v>
      </c>
      <c r="D127" s="164" t="s">
        <v>10486</v>
      </c>
      <c r="E127" s="172" t="s">
        <v>10489</v>
      </c>
      <c r="F127" s="173"/>
      <c r="G127" s="163" t="s">
        <v>10469</v>
      </c>
      <c r="H127" s="163" t="s">
        <v>10464</v>
      </c>
      <c r="I127" s="164" t="s">
        <v>10465</v>
      </c>
      <c r="J127" s="173" t="s">
        <v>10166</v>
      </c>
      <c r="K127" s="173" t="s">
        <v>10167</v>
      </c>
    </row>
    <row r="128" spans="1:11" ht="28">
      <c r="A128" s="163" t="s">
        <v>6030</v>
      </c>
      <c r="B128" s="164" t="s">
        <v>9032</v>
      </c>
      <c r="C128" s="164" t="s">
        <v>10490</v>
      </c>
      <c r="D128" s="164" t="s">
        <v>10491</v>
      </c>
      <c r="E128" s="172" t="s">
        <v>10492</v>
      </c>
      <c r="F128" s="173"/>
      <c r="G128" s="163" t="s">
        <v>10463</v>
      </c>
      <c r="H128" s="163" t="s">
        <v>10464</v>
      </c>
      <c r="I128" s="164" t="s">
        <v>10465</v>
      </c>
      <c r="J128" s="173" t="s">
        <v>10166</v>
      </c>
      <c r="K128" s="173" t="s">
        <v>10167</v>
      </c>
    </row>
    <row r="129" spans="1:11" ht="28">
      <c r="A129" s="163" t="s">
        <v>6030</v>
      </c>
      <c r="B129" s="164" t="s">
        <v>9032</v>
      </c>
      <c r="C129" s="164" t="s">
        <v>10490</v>
      </c>
      <c r="D129" s="164" t="s">
        <v>10491</v>
      </c>
      <c r="E129" s="172" t="s">
        <v>10493</v>
      </c>
      <c r="F129" s="173"/>
      <c r="G129" s="163" t="s">
        <v>10467</v>
      </c>
      <c r="H129" s="163" t="s">
        <v>10464</v>
      </c>
      <c r="I129" s="164" t="s">
        <v>10465</v>
      </c>
      <c r="J129" s="173" t="s">
        <v>10166</v>
      </c>
      <c r="K129" s="173" t="s">
        <v>10167</v>
      </c>
    </row>
    <row r="130" spans="1:11" ht="28">
      <c r="A130" s="163" t="s">
        <v>6030</v>
      </c>
      <c r="B130" s="164" t="s">
        <v>9032</v>
      </c>
      <c r="C130" s="164" t="s">
        <v>10490</v>
      </c>
      <c r="D130" s="164" t="s">
        <v>10491</v>
      </c>
      <c r="E130" s="172" t="s">
        <v>10494</v>
      </c>
      <c r="F130" s="173"/>
      <c r="G130" s="163" t="s">
        <v>10469</v>
      </c>
      <c r="H130" s="163" t="s">
        <v>10464</v>
      </c>
      <c r="I130" s="164" t="s">
        <v>10465</v>
      </c>
      <c r="J130" s="173" t="s">
        <v>10166</v>
      </c>
      <c r="K130" s="173" t="s">
        <v>10167</v>
      </c>
    </row>
    <row r="131" spans="1:11" ht="28">
      <c r="A131" s="163" t="s">
        <v>6030</v>
      </c>
      <c r="B131" s="164" t="s">
        <v>9032</v>
      </c>
      <c r="C131" s="164" t="s">
        <v>10495</v>
      </c>
      <c r="D131" s="164" t="s">
        <v>10496</v>
      </c>
      <c r="E131" s="172" t="s">
        <v>10497</v>
      </c>
      <c r="F131" s="173"/>
      <c r="G131" s="163" t="s">
        <v>10463</v>
      </c>
      <c r="H131" s="163" t="s">
        <v>10464</v>
      </c>
      <c r="I131" s="164" t="s">
        <v>10465</v>
      </c>
      <c r="J131" s="173" t="s">
        <v>10166</v>
      </c>
      <c r="K131" s="173" t="s">
        <v>10167</v>
      </c>
    </row>
    <row r="132" spans="1:11" ht="28">
      <c r="A132" s="163" t="s">
        <v>6030</v>
      </c>
      <c r="B132" s="164" t="s">
        <v>9032</v>
      </c>
      <c r="C132" s="164" t="s">
        <v>10495</v>
      </c>
      <c r="D132" s="164" t="s">
        <v>10496</v>
      </c>
      <c r="E132" s="172" t="s">
        <v>10498</v>
      </c>
      <c r="F132" s="173"/>
      <c r="G132" s="163" t="s">
        <v>10467</v>
      </c>
      <c r="H132" s="163" t="s">
        <v>10464</v>
      </c>
      <c r="I132" s="164" t="s">
        <v>10465</v>
      </c>
      <c r="J132" s="173" t="s">
        <v>10166</v>
      </c>
      <c r="K132" s="173" t="s">
        <v>10167</v>
      </c>
    </row>
    <row r="133" spans="1:11" ht="28">
      <c r="A133" s="163" t="s">
        <v>6030</v>
      </c>
      <c r="B133" s="164" t="s">
        <v>9032</v>
      </c>
      <c r="C133" s="164" t="s">
        <v>10495</v>
      </c>
      <c r="D133" s="164" t="s">
        <v>10496</v>
      </c>
      <c r="E133" s="172" t="s">
        <v>10499</v>
      </c>
      <c r="F133" s="173"/>
      <c r="G133" s="163" t="s">
        <v>10469</v>
      </c>
      <c r="H133" s="163" t="s">
        <v>10464</v>
      </c>
      <c r="I133" s="164" t="s">
        <v>10465</v>
      </c>
      <c r="J133" s="173" t="s">
        <v>10166</v>
      </c>
      <c r="K133" s="173" t="s">
        <v>10167</v>
      </c>
    </row>
    <row r="134" spans="1:11" ht="28">
      <c r="A134" s="163" t="s">
        <v>6030</v>
      </c>
      <c r="B134" s="164" t="s">
        <v>9032</v>
      </c>
      <c r="C134" s="164" t="s">
        <v>10500</v>
      </c>
      <c r="D134" s="164" t="s">
        <v>10501</v>
      </c>
      <c r="E134" s="172" t="s">
        <v>10502</v>
      </c>
      <c r="F134" s="173"/>
      <c r="G134" s="163" t="s">
        <v>10463</v>
      </c>
      <c r="H134" s="163" t="s">
        <v>10464</v>
      </c>
      <c r="I134" s="164" t="s">
        <v>10465</v>
      </c>
      <c r="J134" s="173" t="s">
        <v>10166</v>
      </c>
      <c r="K134" s="173" t="s">
        <v>10167</v>
      </c>
    </row>
    <row r="135" spans="1:11" ht="28">
      <c r="A135" s="163" t="s">
        <v>6030</v>
      </c>
      <c r="B135" s="164" t="s">
        <v>9032</v>
      </c>
      <c r="C135" s="164" t="s">
        <v>10500</v>
      </c>
      <c r="D135" s="164" t="s">
        <v>10501</v>
      </c>
      <c r="E135" s="172" t="s">
        <v>10503</v>
      </c>
      <c r="F135" s="173"/>
      <c r="G135" s="163" t="s">
        <v>10467</v>
      </c>
      <c r="H135" s="163" t="s">
        <v>10464</v>
      </c>
      <c r="I135" s="164" t="s">
        <v>10465</v>
      </c>
      <c r="J135" s="173" t="s">
        <v>10166</v>
      </c>
      <c r="K135" s="173" t="s">
        <v>10167</v>
      </c>
    </row>
    <row r="136" spans="1:11" ht="28">
      <c r="A136" s="163" t="s">
        <v>6030</v>
      </c>
      <c r="B136" s="164" t="s">
        <v>9032</v>
      </c>
      <c r="C136" s="164" t="s">
        <v>10500</v>
      </c>
      <c r="D136" s="164" t="s">
        <v>10501</v>
      </c>
      <c r="E136" s="172" t="s">
        <v>10504</v>
      </c>
      <c r="F136" s="173"/>
      <c r="G136" s="163" t="s">
        <v>10469</v>
      </c>
      <c r="H136" s="163" t="s">
        <v>10464</v>
      </c>
      <c r="I136" s="164" t="s">
        <v>10465</v>
      </c>
      <c r="J136" s="173" t="s">
        <v>10166</v>
      </c>
      <c r="K136" s="173" t="s">
        <v>10167</v>
      </c>
    </row>
    <row r="137" spans="1:11" ht="28">
      <c r="A137" s="163" t="s">
        <v>6030</v>
      </c>
      <c r="B137" s="164" t="s">
        <v>9032</v>
      </c>
      <c r="C137" s="164" t="s">
        <v>10505</v>
      </c>
      <c r="D137" s="164" t="s">
        <v>10506</v>
      </c>
      <c r="E137" s="172" t="s">
        <v>10507</v>
      </c>
      <c r="F137" s="173"/>
      <c r="G137" s="163" t="s">
        <v>10463</v>
      </c>
      <c r="H137" s="163" t="s">
        <v>10464</v>
      </c>
      <c r="I137" s="164" t="s">
        <v>10465</v>
      </c>
      <c r="J137" s="173" t="s">
        <v>10166</v>
      </c>
      <c r="K137" s="173" t="s">
        <v>10167</v>
      </c>
    </row>
    <row r="138" spans="1:11" ht="28">
      <c r="A138" s="163" t="s">
        <v>6030</v>
      </c>
      <c r="B138" s="164" t="s">
        <v>9032</v>
      </c>
      <c r="C138" s="164" t="s">
        <v>10505</v>
      </c>
      <c r="D138" s="164" t="s">
        <v>10506</v>
      </c>
      <c r="E138" s="172" t="s">
        <v>10508</v>
      </c>
      <c r="F138" s="173"/>
      <c r="G138" s="163" t="s">
        <v>10467</v>
      </c>
      <c r="H138" s="163" t="s">
        <v>10464</v>
      </c>
      <c r="I138" s="164" t="s">
        <v>10465</v>
      </c>
      <c r="J138" s="173" t="s">
        <v>10166</v>
      </c>
      <c r="K138" s="173" t="s">
        <v>10167</v>
      </c>
    </row>
    <row r="139" spans="1:11" ht="28">
      <c r="A139" s="163" t="s">
        <v>6030</v>
      </c>
      <c r="B139" s="164" t="s">
        <v>9032</v>
      </c>
      <c r="C139" s="164" t="s">
        <v>10505</v>
      </c>
      <c r="D139" s="164" t="s">
        <v>10506</v>
      </c>
      <c r="E139" s="172" t="s">
        <v>10509</v>
      </c>
      <c r="F139" s="173"/>
      <c r="G139" s="163" t="s">
        <v>10469</v>
      </c>
      <c r="H139" s="163" t="s">
        <v>10464</v>
      </c>
      <c r="I139" s="164" t="s">
        <v>10465</v>
      </c>
      <c r="J139" s="173" t="s">
        <v>10166</v>
      </c>
      <c r="K139" s="173" t="s">
        <v>10167</v>
      </c>
    </row>
    <row r="140" spans="1:11" ht="28">
      <c r="A140" s="163" t="s">
        <v>6030</v>
      </c>
      <c r="B140" s="164" t="s">
        <v>9032</v>
      </c>
      <c r="C140" s="164" t="s">
        <v>10510</v>
      </c>
      <c r="D140" s="164" t="s">
        <v>10511</v>
      </c>
      <c r="E140" s="172" t="s">
        <v>10512</v>
      </c>
      <c r="F140" s="173"/>
      <c r="G140" s="163" t="s">
        <v>10463</v>
      </c>
      <c r="H140" s="163" t="s">
        <v>10464</v>
      </c>
      <c r="I140" s="164" t="s">
        <v>10465</v>
      </c>
      <c r="J140" s="173" t="s">
        <v>10166</v>
      </c>
      <c r="K140" s="173" t="s">
        <v>10167</v>
      </c>
    </row>
    <row r="141" spans="1:11" ht="28">
      <c r="A141" s="163" t="s">
        <v>6030</v>
      </c>
      <c r="B141" s="164" t="s">
        <v>9032</v>
      </c>
      <c r="C141" s="164" t="s">
        <v>10510</v>
      </c>
      <c r="D141" s="164" t="s">
        <v>10511</v>
      </c>
      <c r="E141" s="172" t="s">
        <v>10513</v>
      </c>
      <c r="F141" s="173"/>
      <c r="G141" s="163" t="s">
        <v>10467</v>
      </c>
      <c r="H141" s="163" t="s">
        <v>10464</v>
      </c>
      <c r="I141" s="164" t="s">
        <v>10465</v>
      </c>
      <c r="J141" s="173" t="s">
        <v>10166</v>
      </c>
      <c r="K141" s="173" t="s">
        <v>10167</v>
      </c>
    </row>
    <row r="142" spans="1:11" ht="28">
      <c r="A142" s="163" t="s">
        <v>6030</v>
      </c>
      <c r="B142" s="164" t="s">
        <v>9032</v>
      </c>
      <c r="C142" s="164" t="s">
        <v>10510</v>
      </c>
      <c r="D142" s="164" t="s">
        <v>10511</v>
      </c>
      <c r="E142" s="172" t="s">
        <v>10514</v>
      </c>
      <c r="F142" s="173"/>
      <c r="G142" s="163" t="s">
        <v>10469</v>
      </c>
      <c r="H142" s="163" t="s">
        <v>10464</v>
      </c>
      <c r="I142" s="164" t="s">
        <v>10465</v>
      </c>
      <c r="J142" s="173" t="s">
        <v>10166</v>
      </c>
      <c r="K142" s="173" t="s">
        <v>10167</v>
      </c>
    </row>
    <row r="143" spans="1:11" ht="28">
      <c r="A143" s="163" t="s">
        <v>6030</v>
      </c>
      <c r="B143" s="164" t="s">
        <v>9032</v>
      </c>
      <c r="C143" s="164" t="s">
        <v>10515</v>
      </c>
      <c r="D143" s="164" t="s">
        <v>10516</v>
      </c>
      <c r="E143" s="172" t="s">
        <v>10517</v>
      </c>
      <c r="F143" s="173"/>
      <c r="G143" s="163" t="s">
        <v>10463</v>
      </c>
      <c r="H143" s="163" t="s">
        <v>10464</v>
      </c>
      <c r="I143" s="164" t="s">
        <v>10465</v>
      </c>
      <c r="J143" s="173" t="s">
        <v>10166</v>
      </c>
      <c r="K143" s="173" t="s">
        <v>10167</v>
      </c>
    </row>
    <row r="144" spans="1:11" ht="28">
      <c r="A144" s="163" t="s">
        <v>6030</v>
      </c>
      <c r="B144" s="164" t="s">
        <v>9032</v>
      </c>
      <c r="C144" s="164" t="s">
        <v>10515</v>
      </c>
      <c r="D144" s="164" t="s">
        <v>10516</v>
      </c>
      <c r="E144" s="172" t="s">
        <v>10518</v>
      </c>
      <c r="F144" s="173"/>
      <c r="G144" s="163" t="s">
        <v>10467</v>
      </c>
      <c r="H144" s="163" t="s">
        <v>10464</v>
      </c>
      <c r="I144" s="164" t="s">
        <v>10465</v>
      </c>
      <c r="J144" s="173" t="s">
        <v>10166</v>
      </c>
      <c r="K144" s="173" t="s">
        <v>10167</v>
      </c>
    </row>
    <row r="145" spans="1:11" ht="28">
      <c r="A145" s="163" t="s">
        <v>6030</v>
      </c>
      <c r="B145" s="164" t="s">
        <v>9032</v>
      </c>
      <c r="C145" s="164" t="s">
        <v>10515</v>
      </c>
      <c r="D145" s="164" t="s">
        <v>10516</v>
      </c>
      <c r="E145" s="172" t="s">
        <v>10519</v>
      </c>
      <c r="F145" s="173"/>
      <c r="G145" s="163" t="s">
        <v>10469</v>
      </c>
      <c r="H145" s="163" t="s">
        <v>10464</v>
      </c>
      <c r="I145" s="164" t="s">
        <v>10465</v>
      </c>
      <c r="J145" s="173" t="s">
        <v>10166</v>
      </c>
      <c r="K145" s="173" t="s">
        <v>10167</v>
      </c>
    </row>
    <row r="146" spans="1:11" ht="28">
      <c r="A146" s="163" t="s">
        <v>6030</v>
      </c>
      <c r="B146" s="164" t="s">
        <v>9032</v>
      </c>
      <c r="C146" s="164" t="s">
        <v>10520</v>
      </c>
      <c r="D146" s="164" t="s">
        <v>10521</v>
      </c>
      <c r="E146" s="172" t="s">
        <v>10522</v>
      </c>
      <c r="F146" s="173"/>
      <c r="G146" s="163" t="s">
        <v>10463</v>
      </c>
      <c r="H146" s="163" t="s">
        <v>10464</v>
      </c>
      <c r="I146" s="164" t="s">
        <v>10465</v>
      </c>
      <c r="J146" s="173" t="s">
        <v>10166</v>
      </c>
      <c r="K146" s="173" t="s">
        <v>10167</v>
      </c>
    </row>
    <row r="147" spans="1:11" ht="28">
      <c r="A147" s="163" t="s">
        <v>6030</v>
      </c>
      <c r="B147" s="164" t="s">
        <v>9032</v>
      </c>
      <c r="C147" s="164" t="s">
        <v>10520</v>
      </c>
      <c r="D147" s="164" t="s">
        <v>10521</v>
      </c>
      <c r="E147" s="172" t="s">
        <v>10523</v>
      </c>
      <c r="F147" s="173"/>
      <c r="G147" s="163" t="s">
        <v>10467</v>
      </c>
      <c r="H147" s="163" t="s">
        <v>10464</v>
      </c>
      <c r="I147" s="164" t="s">
        <v>10465</v>
      </c>
      <c r="J147" s="173" t="s">
        <v>10166</v>
      </c>
      <c r="K147" s="173" t="s">
        <v>10167</v>
      </c>
    </row>
    <row r="148" spans="1:11" ht="28">
      <c r="A148" s="163" t="s">
        <v>6030</v>
      </c>
      <c r="B148" s="164" t="s">
        <v>9032</v>
      </c>
      <c r="C148" s="164" t="s">
        <v>10520</v>
      </c>
      <c r="D148" s="164" t="s">
        <v>10521</v>
      </c>
      <c r="E148" s="172" t="s">
        <v>10524</v>
      </c>
      <c r="F148" s="173"/>
      <c r="G148" s="163" t="s">
        <v>10469</v>
      </c>
      <c r="H148" s="163" t="s">
        <v>10464</v>
      </c>
      <c r="I148" s="164" t="s">
        <v>10465</v>
      </c>
      <c r="J148" s="173" t="s">
        <v>10166</v>
      </c>
      <c r="K148" s="173" t="s">
        <v>10167</v>
      </c>
    </row>
    <row r="149" spans="1:11" ht="28">
      <c r="A149" s="163" t="s">
        <v>6030</v>
      </c>
      <c r="B149" s="164" t="s">
        <v>9032</v>
      </c>
      <c r="C149" s="164" t="s">
        <v>10525</v>
      </c>
      <c r="D149" s="164" t="s">
        <v>10526</v>
      </c>
      <c r="E149" s="172" t="s">
        <v>10527</v>
      </c>
      <c r="F149" s="173"/>
      <c r="G149" s="163" t="s">
        <v>10463</v>
      </c>
      <c r="H149" s="163" t="s">
        <v>10464</v>
      </c>
      <c r="I149" s="164" t="s">
        <v>10465</v>
      </c>
      <c r="J149" s="173" t="s">
        <v>10166</v>
      </c>
      <c r="K149" s="173" t="s">
        <v>10167</v>
      </c>
    </row>
    <row r="150" spans="1:11" ht="28">
      <c r="A150" s="163" t="s">
        <v>6030</v>
      </c>
      <c r="B150" s="164" t="s">
        <v>9032</v>
      </c>
      <c r="C150" s="164" t="s">
        <v>10525</v>
      </c>
      <c r="D150" s="164" t="s">
        <v>10526</v>
      </c>
      <c r="E150" s="172" t="s">
        <v>10528</v>
      </c>
      <c r="F150" s="173"/>
      <c r="G150" s="163" t="s">
        <v>10467</v>
      </c>
      <c r="H150" s="163" t="s">
        <v>10464</v>
      </c>
      <c r="I150" s="164" t="s">
        <v>10465</v>
      </c>
      <c r="J150" s="173" t="s">
        <v>10166</v>
      </c>
      <c r="K150" s="173" t="s">
        <v>10167</v>
      </c>
    </row>
    <row r="151" spans="1:11" ht="28">
      <c r="A151" s="163" t="s">
        <v>6030</v>
      </c>
      <c r="B151" s="164" t="s">
        <v>9032</v>
      </c>
      <c r="C151" s="164" t="s">
        <v>10525</v>
      </c>
      <c r="D151" s="164" t="s">
        <v>10526</v>
      </c>
      <c r="E151" s="172" t="s">
        <v>10529</v>
      </c>
      <c r="F151" s="173"/>
      <c r="G151" s="163" t="s">
        <v>10469</v>
      </c>
      <c r="H151" s="163" t="s">
        <v>10464</v>
      </c>
      <c r="I151" s="164" t="s">
        <v>10465</v>
      </c>
      <c r="J151" s="173" t="s">
        <v>10166</v>
      </c>
      <c r="K151" s="173" t="s">
        <v>10167</v>
      </c>
    </row>
    <row r="152" spans="1:11" ht="28">
      <c r="A152" s="163" t="s">
        <v>6030</v>
      </c>
      <c r="B152" s="164" t="s">
        <v>9032</v>
      </c>
      <c r="C152" s="164" t="s">
        <v>10530</v>
      </c>
      <c r="D152" s="164" t="s">
        <v>10531</v>
      </c>
      <c r="E152" s="172" t="s">
        <v>10532</v>
      </c>
      <c r="F152" s="173"/>
      <c r="G152" s="163" t="s">
        <v>10463</v>
      </c>
      <c r="H152" s="163" t="s">
        <v>10464</v>
      </c>
      <c r="I152" s="164" t="s">
        <v>10465</v>
      </c>
      <c r="J152" s="173" t="s">
        <v>10166</v>
      </c>
      <c r="K152" s="173" t="s">
        <v>10167</v>
      </c>
    </row>
    <row r="153" spans="1:11" ht="28">
      <c r="A153" s="163" t="s">
        <v>6030</v>
      </c>
      <c r="B153" s="164" t="s">
        <v>9032</v>
      </c>
      <c r="C153" s="164" t="s">
        <v>10530</v>
      </c>
      <c r="D153" s="164" t="s">
        <v>10531</v>
      </c>
      <c r="E153" s="172" t="s">
        <v>10533</v>
      </c>
      <c r="F153" s="173"/>
      <c r="G153" s="163" t="s">
        <v>10467</v>
      </c>
      <c r="H153" s="163" t="s">
        <v>10464</v>
      </c>
      <c r="I153" s="164" t="s">
        <v>10465</v>
      </c>
      <c r="J153" s="173" t="s">
        <v>10166</v>
      </c>
      <c r="K153" s="173" t="s">
        <v>10167</v>
      </c>
    </row>
    <row r="154" spans="1:11" ht="28">
      <c r="A154" s="163" t="s">
        <v>6030</v>
      </c>
      <c r="B154" s="164" t="s">
        <v>9032</v>
      </c>
      <c r="C154" s="164" t="s">
        <v>10530</v>
      </c>
      <c r="D154" s="164" t="s">
        <v>10531</v>
      </c>
      <c r="E154" s="172" t="s">
        <v>10534</v>
      </c>
      <c r="F154" s="173"/>
      <c r="G154" s="163" t="s">
        <v>10469</v>
      </c>
      <c r="H154" s="163" t="s">
        <v>10464</v>
      </c>
      <c r="I154" s="164" t="s">
        <v>10465</v>
      </c>
      <c r="J154" s="173" t="s">
        <v>10166</v>
      </c>
      <c r="K154" s="173" t="s">
        <v>10167</v>
      </c>
    </row>
    <row r="155" spans="1:11" ht="28">
      <c r="A155" s="163" t="s">
        <v>6030</v>
      </c>
      <c r="B155" s="164" t="s">
        <v>9032</v>
      </c>
      <c r="C155" s="164" t="s">
        <v>10535</v>
      </c>
      <c r="D155" s="164" t="s">
        <v>10536</v>
      </c>
      <c r="E155" s="172" t="s">
        <v>10537</v>
      </c>
      <c r="F155" s="173"/>
      <c r="G155" s="163" t="s">
        <v>10463</v>
      </c>
      <c r="H155" s="163" t="s">
        <v>10464</v>
      </c>
      <c r="I155" s="164" t="s">
        <v>10465</v>
      </c>
      <c r="J155" s="173" t="s">
        <v>10166</v>
      </c>
      <c r="K155" s="173" t="s">
        <v>10167</v>
      </c>
    </row>
    <row r="156" spans="1:11" ht="28">
      <c r="A156" s="163" t="s">
        <v>6030</v>
      </c>
      <c r="B156" s="164" t="s">
        <v>9032</v>
      </c>
      <c r="C156" s="164" t="s">
        <v>10535</v>
      </c>
      <c r="D156" s="164" t="s">
        <v>10536</v>
      </c>
      <c r="E156" s="172" t="s">
        <v>10538</v>
      </c>
      <c r="F156" s="173"/>
      <c r="G156" s="163" t="s">
        <v>10467</v>
      </c>
      <c r="H156" s="163" t="s">
        <v>10464</v>
      </c>
      <c r="I156" s="164" t="s">
        <v>10465</v>
      </c>
      <c r="J156" s="173" t="s">
        <v>10166</v>
      </c>
      <c r="K156" s="173" t="s">
        <v>10167</v>
      </c>
    </row>
    <row r="157" spans="1:11" ht="28">
      <c r="A157" s="163" t="s">
        <v>6030</v>
      </c>
      <c r="B157" s="164" t="s">
        <v>9032</v>
      </c>
      <c r="C157" s="164" t="s">
        <v>10535</v>
      </c>
      <c r="D157" s="164" t="s">
        <v>10536</v>
      </c>
      <c r="E157" s="172" t="s">
        <v>10539</v>
      </c>
      <c r="F157" s="173"/>
      <c r="G157" s="163" t="s">
        <v>10469</v>
      </c>
      <c r="H157" s="163" t="s">
        <v>10464</v>
      </c>
      <c r="I157" s="164" t="s">
        <v>10465</v>
      </c>
      <c r="J157" s="173" t="s">
        <v>10166</v>
      </c>
      <c r="K157" s="173" t="s">
        <v>10167</v>
      </c>
    </row>
    <row r="158" spans="1:11" ht="28">
      <c r="A158" s="163" t="s">
        <v>6030</v>
      </c>
      <c r="B158" s="164" t="s">
        <v>9032</v>
      </c>
      <c r="C158" s="164" t="s">
        <v>10540</v>
      </c>
      <c r="D158" s="164" t="s">
        <v>10541</v>
      </c>
      <c r="E158" s="172" t="s">
        <v>10542</v>
      </c>
      <c r="F158" s="173"/>
      <c r="G158" s="163" t="s">
        <v>10463</v>
      </c>
      <c r="H158" s="163" t="s">
        <v>10464</v>
      </c>
      <c r="I158" s="164" t="s">
        <v>10465</v>
      </c>
      <c r="J158" s="173" t="s">
        <v>10166</v>
      </c>
      <c r="K158" s="173" t="s">
        <v>10167</v>
      </c>
    </row>
    <row r="159" spans="1:11" ht="28">
      <c r="A159" s="163" t="s">
        <v>6030</v>
      </c>
      <c r="B159" s="164" t="s">
        <v>9032</v>
      </c>
      <c r="C159" s="164" t="s">
        <v>10540</v>
      </c>
      <c r="D159" s="164" t="s">
        <v>10541</v>
      </c>
      <c r="E159" s="172" t="s">
        <v>10543</v>
      </c>
      <c r="F159" s="173"/>
      <c r="G159" s="163" t="s">
        <v>10467</v>
      </c>
      <c r="H159" s="163" t="s">
        <v>10464</v>
      </c>
      <c r="I159" s="164" t="s">
        <v>10465</v>
      </c>
      <c r="J159" s="173" t="s">
        <v>10166</v>
      </c>
      <c r="K159" s="173" t="s">
        <v>10167</v>
      </c>
    </row>
    <row r="160" spans="1:11" ht="28">
      <c r="A160" s="163" t="s">
        <v>6030</v>
      </c>
      <c r="B160" s="164" t="s">
        <v>9032</v>
      </c>
      <c r="C160" s="164" t="s">
        <v>10540</v>
      </c>
      <c r="D160" s="164" t="s">
        <v>10541</v>
      </c>
      <c r="E160" s="172" t="s">
        <v>10544</v>
      </c>
      <c r="F160" s="173"/>
      <c r="G160" s="163" t="s">
        <v>10469</v>
      </c>
      <c r="H160" s="163" t="s">
        <v>10464</v>
      </c>
      <c r="I160" s="164" t="s">
        <v>10465</v>
      </c>
      <c r="J160" s="173" t="s">
        <v>10166</v>
      </c>
      <c r="K160" s="173" t="s">
        <v>10167</v>
      </c>
    </row>
    <row r="161" spans="1:11" ht="28">
      <c r="A161" s="163" t="s">
        <v>6146</v>
      </c>
      <c r="B161" s="164" t="s">
        <v>9040</v>
      </c>
      <c r="C161" s="164" t="s">
        <v>10545</v>
      </c>
      <c r="D161" s="164" t="s">
        <v>10496</v>
      </c>
      <c r="E161" s="172" t="s">
        <v>10546</v>
      </c>
      <c r="F161" s="173" t="s">
        <v>10547</v>
      </c>
      <c r="G161" s="163" t="s">
        <v>10163</v>
      </c>
      <c r="H161" s="163" t="s">
        <v>10548</v>
      </c>
      <c r="I161" s="164" t="s">
        <v>10549</v>
      </c>
      <c r="J161" s="173" t="s">
        <v>10166</v>
      </c>
      <c r="K161" s="173" t="s">
        <v>10167</v>
      </c>
    </row>
    <row r="162" spans="1:11" ht="28">
      <c r="A162" s="163" t="s">
        <v>6146</v>
      </c>
      <c r="B162" s="164" t="s">
        <v>9040</v>
      </c>
      <c r="C162" s="164" t="s">
        <v>10550</v>
      </c>
      <c r="D162" s="164" t="s">
        <v>10551</v>
      </c>
      <c r="E162" s="172" t="s">
        <v>10552</v>
      </c>
      <c r="F162" s="173"/>
      <c r="G162" s="163" t="s">
        <v>10163</v>
      </c>
      <c r="H162" s="163" t="s">
        <v>10548</v>
      </c>
      <c r="I162" s="164" t="s">
        <v>10549</v>
      </c>
      <c r="J162" s="173" t="s">
        <v>10166</v>
      </c>
      <c r="K162" s="173" t="s">
        <v>10167</v>
      </c>
    </row>
    <row r="163" spans="1:11" ht="28">
      <c r="A163" s="163" t="s">
        <v>6146</v>
      </c>
      <c r="B163" s="164" t="s">
        <v>9040</v>
      </c>
      <c r="C163" s="164" t="s">
        <v>10553</v>
      </c>
      <c r="D163" s="164" t="s">
        <v>10554</v>
      </c>
      <c r="E163" s="172" t="s">
        <v>10555</v>
      </c>
      <c r="F163" s="173"/>
      <c r="G163" s="163" t="s">
        <v>10163</v>
      </c>
      <c r="H163" s="163" t="s">
        <v>10548</v>
      </c>
      <c r="I163" s="164" t="s">
        <v>10549</v>
      </c>
      <c r="J163" s="173" t="s">
        <v>10166</v>
      </c>
      <c r="K163" s="173" t="s">
        <v>10167</v>
      </c>
    </row>
    <row r="164" spans="1:11" ht="28">
      <c r="A164" s="163" t="s">
        <v>6146</v>
      </c>
      <c r="B164" s="164" t="s">
        <v>9040</v>
      </c>
      <c r="C164" s="164" t="s">
        <v>10556</v>
      </c>
      <c r="D164" s="164" t="s">
        <v>10557</v>
      </c>
      <c r="E164" s="172" t="s">
        <v>10558</v>
      </c>
      <c r="F164" s="173"/>
      <c r="G164" s="163" t="s">
        <v>10163</v>
      </c>
      <c r="H164" s="163" t="s">
        <v>10548</v>
      </c>
      <c r="I164" s="164" t="s">
        <v>10549</v>
      </c>
      <c r="J164" s="173" t="s">
        <v>10166</v>
      </c>
      <c r="K164" s="173" t="s">
        <v>10167</v>
      </c>
    </row>
    <row r="165" spans="1:11" ht="28">
      <c r="A165" s="163" t="s">
        <v>6146</v>
      </c>
      <c r="B165" s="164" t="s">
        <v>9040</v>
      </c>
      <c r="C165" s="164" t="s">
        <v>10559</v>
      </c>
      <c r="D165" s="164" t="s">
        <v>10516</v>
      </c>
      <c r="E165" s="172" t="s">
        <v>10560</v>
      </c>
      <c r="F165" s="173"/>
      <c r="G165" s="163" t="s">
        <v>10163</v>
      </c>
      <c r="H165" s="163" t="s">
        <v>10548</v>
      </c>
      <c r="I165" s="164" t="s">
        <v>10549</v>
      </c>
      <c r="J165" s="173" t="s">
        <v>10166</v>
      </c>
      <c r="K165" s="173" t="s">
        <v>10167</v>
      </c>
    </row>
    <row r="166" spans="1:11" ht="28">
      <c r="A166" s="163" t="s">
        <v>6146</v>
      </c>
      <c r="B166" s="164" t="s">
        <v>9040</v>
      </c>
      <c r="C166" s="164" t="s">
        <v>10561</v>
      </c>
      <c r="D166" s="164" t="s">
        <v>10562</v>
      </c>
      <c r="E166" s="172" t="s">
        <v>10563</v>
      </c>
      <c r="F166" s="173"/>
      <c r="G166" s="163" t="s">
        <v>10163</v>
      </c>
      <c r="H166" s="163" t="s">
        <v>10548</v>
      </c>
      <c r="I166" s="164" t="s">
        <v>10549</v>
      </c>
      <c r="J166" s="173" t="s">
        <v>10166</v>
      </c>
      <c r="K166" s="173" t="s">
        <v>10167</v>
      </c>
    </row>
    <row r="167" spans="1:11" ht="28">
      <c r="A167" s="163" t="s">
        <v>6146</v>
      </c>
      <c r="B167" s="164" t="s">
        <v>9040</v>
      </c>
      <c r="C167" s="164" t="s">
        <v>10564</v>
      </c>
      <c r="D167" s="164" t="s">
        <v>10526</v>
      </c>
      <c r="E167" s="172" t="s">
        <v>10565</v>
      </c>
      <c r="F167" s="173"/>
      <c r="G167" s="163" t="s">
        <v>10163</v>
      </c>
      <c r="H167" s="163" t="s">
        <v>10548</v>
      </c>
      <c r="I167" s="164" t="s">
        <v>10549</v>
      </c>
      <c r="J167" s="173" t="s">
        <v>10166</v>
      </c>
      <c r="K167" s="173" t="s">
        <v>10167</v>
      </c>
    </row>
    <row r="168" spans="1:11" ht="28">
      <c r="A168" s="163" t="s">
        <v>6146</v>
      </c>
      <c r="B168" s="164" t="s">
        <v>9040</v>
      </c>
      <c r="C168" s="164" t="s">
        <v>10566</v>
      </c>
      <c r="D168" s="164" t="s">
        <v>10531</v>
      </c>
      <c r="E168" s="172" t="s">
        <v>10567</v>
      </c>
      <c r="F168" s="173"/>
      <c r="G168" s="163" t="s">
        <v>10163</v>
      </c>
      <c r="H168" s="163" t="s">
        <v>10548</v>
      </c>
      <c r="I168" s="164" t="s">
        <v>10549</v>
      </c>
      <c r="J168" s="173" t="s">
        <v>10166</v>
      </c>
      <c r="K168" s="173" t="s">
        <v>10167</v>
      </c>
    </row>
    <row r="169" spans="1:11" ht="28">
      <c r="A169" s="163" t="s">
        <v>6146</v>
      </c>
      <c r="B169" s="164" t="s">
        <v>9040</v>
      </c>
      <c r="C169" s="164" t="s">
        <v>10568</v>
      </c>
      <c r="D169" s="164" t="s">
        <v>10569</v>
      </c>
      <c r="E169" s="172" t="s">
        <v>10570</v>
      </c>
      <c r="F169" s="173"/>
      <c r="G169" s="163" t="s">
        <v>10163</v>
      </c>
      <c r="H169" s="163" t="s">
        <v>10548</v>
      </c>
      <c r="I169" s="164" t="s">
        <v>10549</v>
      </c>
      <c r="J169" s="173" t="s">
        <v>10166</v>
      </c>
      <c r="K169" s="173" t="s">
        <v>10167</v>
      </c>
    </row>
    <row r="170" spans="1:11" ht="28">
      <c r="A170" s="163" t="s">
        <v>6146</v>
      </c>
      <c r="B170" s="164" t="s">
        <v>9040</v>
      </c>
      <c r="C170" s="164" t="s">
        <v>10571</v>
      </c>
      <c r="D170" s="164" t="s">
        <v>10572</v>
      </c>
      <c r="E170" s="172" t="s">
        <v>10573</v>
      </c>
      <c r="F170" s="173"/>
      <c r="G170" s="163" t="s">
        <v>10163</v>
      </c>
      <c r="H170" s="163" t="s">
        <v>10548</v>
      </c>
      <c r="I170" s="164" t="s">
        <v>10549</v>
      </c>
      <c r="J170" s="173" t="s">
        <v>10166</v>
      </c>
      <c r="K170" s="173" t="s">
        <v>10167</v>
      </c>
    </row>
    <row r="171" spans="1:11" ht="28">
      <c r="A171" s="163" t="s">
        <v>6146</v>
      </c>
      <c r="B171" s="164" t="s">
        <v>9040</v>
      </c>
      <c r="C171" s="164" t="s">
        <v>10574</v>
      </c>
      <c r="D171" s="164" t="s">
        <v>10575</v>
      </c>
      <c r="E171" s="172" t="s">
        <v>10576</v>
      </c>
      <c r="F171" s="173"/>
      <c r="G171" s="163" t="s">
        <v>10163</v>
      </c>
      <c r="H171" s="163" t="s">
        <v>10548</v>
      </c>
      <c r="I171" s="164" t="s">
        <v>10549</v>
      </c>
      <c r="J171" s="173" t="s">
        <v>10166</v>
      </c>
      <c r="K171" s="173" t="s">
        <v>10167</v>
      </c>
    </row>
    <row r="172" spans="1:11" ht="28">
      <c r="A172" s="163" t="s">
        <v>6146</v>
      </c>
      <c r="B172" s="164" t="s">
        <v>9040</v>
      </c>
      <c r="C172" s="164" t="s">
        <v>10577</v>
      </c>
      <c r="D172" s="164" t="s">
        <v>10536</v>
      </c>
      <c r="E172" s="172" t="s">
        <v>10578</v>
      </c>
      <c r="F172" s="173"/>
      <c r="G172" s="163" t="s">
        <v>10163</v>
      </c>
      <c r="H172" s="163" t="s">
        <v>10548</v>
      </c>
      <c r="I172" s="164" t="s">
        <v>10549</v>
      </c>
      <c r="J172" s="173" t="s">
        <v>10166</v>
      </c>
      <c r="K172" s="173" t="s">
        <v>10167</v>
      </c>
    </row>
    <row r="173" spans="1:11" ht="28">
      <c r="A173" s="163" t="s">
        <v>6146</v>
      </c>
      <c r="B173" s="164" t="s">
        <v>9040</v>
      </c>
      <c r="C173" s="164" t="s">
        <v>10579</v>
      </c>
      <c r="D173" s="164" t="s">
        <v>10541</v>
      </c>
      <c r="E173" s="172" t="s">
        <v>10580</v>
      </c>
      <c r="F173" s="173"/>
      <c r="G173" s="163" t="s">
        <v>10163</v>
      </c>
      <c r="H173" s="163" t="s">
        <v>10548</v>
      </c>
      <c r="I173" s="164" t="s">
        <v>10549</v>
      </c>
      <c r="J173" s="173" t="s">
        <v>10166</v>
      </c>
      <c r="K173" s="173" t="s">
        <v>10167</v>
      </c>
    </row>
  </sheetData>
  <conditionalFormatting sqref="K2:K173">
    <cfRule type="containsText" dxfId="0" priority="1" operator="containsText" text="FALSE"/>
  </conditionalFormatting>
  <dataValidations count="2">
    <dataValidation type="list" sqref="A2:A173" xr:uid="{00000000-0002-0000-1700-000000000000}">
      <formula1>"ESX,vCenter,Ops,Automation"</formula1>
    </dataValidation>
    <dataValidation type="list" sqref="K2:K173" xr:uid="{00000000-0002-0000-1700-000001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4626</vt:i4>
      </vt:variant>
    </vt:vector>
  </HeadingPairs>
  <TitlesOfParts>
    <vt:vector size="4651" baseType="lpstr">
      <vt:lpstr>CPUs</vt:lpstr>
      <vt:lpstr>GuestOS</vt:lpstr>
      <vt:lpstr>IODevices</vt:lpstr>
      <vt:lpstr>VCF Sizing</vt:lpstr>
      <vt:lpstr>Design IDs</vt:lpstr>
      <vt:lpstr>Design Bridge</vt:lpstr>
      <vt:lpstr>Interop_DB</vt:lpstr>
      <vt:lpstr>Static Reference Tables</vt:lpstr>
      <vt:lpstr>Change Control</vt:lpstr>
      <vt:lpstr>Arkham</vt:lpstr>
      <vt:lpstr>Value Reference Tables - MR</vt:lpstr>
      <vt:lpstr>Value Reference Tables</vt:lpstr>
      <vt:lpstr>Dumping Ground</vt:lpstr>
      <vt:lpstr>Site Protection &amp; DR</vt:lpstr>
      <vt:lpstr>On-Premises Ransomware Recovery</vt:lpstr>
      <vt:lpstr>Public Reference Sheet</vt:lpstr>
      <vt:lpstr>Private AI Ready Infrastructure</vt:lpstr>
      <vt:lpstr>Cloud-Based Ransomware Recovery</vt:lpstr>
      <vt:lpstr>Cross Cloud Mobility</vt:lpstr>
      <vt:lpstr>Active Directory Inputs</vt:lpstr>
      <vt:lpstr>Decision Requirement Map</vt:lpstr>
      <vt:lpstr>Design Decisions</vt:lpstr>
      <vt:lpstr>Baseline Bundles</vt:lpstr>
      <vt:lpstr>Decision Funnel Summary</vt:lpstr>
      <vt:lpstr>Product Build Catalog</vt:lpstr>
      <vt:lpstr>Additional_Instance</vt:lpstr>
      <vt:lpstr>administrator_vsphere_local_password</vt:lpstr>
      <vt:lpstr>air_GPU_network_operator_namespace</vt:lpstr>
      <vt:lpstr>air_GPU_operator_namespace</vt:lpstr>
      <vt:lpstr>air_GPU_VM_class</vt:lpstr>
      <vt:lpstr>air_license</vt:lpstr>
      <vt:lpstr>asn_instance</vt:lpstr>
      <vt:lpstr>asn_mgmt_az1</vt:lpstr>
      <vt:lpstr>asn_mgmt_az2</vt:lpstr>
      <vt:lpstr>asn_start</vt:lpstr>
      <vt:lpstr>asn_wld_az1</vt:lpstr>
      <vt:lpstr>asn_wld_az2</vt:lpstr>
      <vt:lpstr>avilb_root_password</vt:lpstr>
      <vt:lpstr>aws_regions</vt:lpstr>
      <vt:lpstr>ca_administrator_password</vt:lpstr>
      <vt:lpstr>ca_administrator_username</vt:lpstr>
      <vt:lpstr>ca_algorithm</vt:lpstr>
      <vt:lpstr>ca_country</vt:lpstr>
      <vt:lpstr>ca_email_address</vt:lpstr>
      <vt:lpstr>ca_key_size</vt:lpstr>
      <vt:lpstr>ca_locality</vt:lpstr>
      <vt:lpstr>ca_organization</vt:lpstr>
      <vt:lpstr>ca_organization_unit</vt:lpstr>
      <vt:lpstr>ca_state</vt:lpstr>
      <vt:lpstr>ca_template_name</vt:lpstr>
      <vt:lpstr>cbr_aria_logs_key</vt:lpstr>
      <vt:lpstr>cbr_aria_logs_url</vt:lpstr>
      <vt:lpstr>cbr_firewall_rule_vcenter</vt:lpstr>
      <vt:lpstr>cbr_recovery_host_count</vt:lpstr>
      <vt:lpstr>cbr_recovery_host_type</vt:lpstr>
      <vt:lpstr>cbr_recovery_management_subnet</vt:lpstr>
      <vt:lpstr>cbr_recovery_region</vt:lpstr>
      <vt:lpstr>cbr_recovery_sddc_name</vt:lpstr>
      <vt:lpstr>cbr_recovery_subnet</vt:lpstr>
      <vt:lpstr>cbr_recovery_vpc</vt:lpstr>
      <vt:lpstr>cbr_vcdr_anti_affinity</vt:lpstr>
      <vt:lpstr>cbr_vcdr_cdp1_hostname</vt:lpstr>
      <vt:lpstr>cbr_vcdr_cdp1_ip</vt:lpstr>
      <vt:lpstr>cbr_vcdr_cdp2_hostname</vt:lpstr>
      <vt:lpstr>cbr_vcdr_cdp2_ip</vt:lpstr>
      <vt:lpstr>cbr_vcdr_email_recipient</vt:lpstr>
      <vt:lpstr>cbr_vcdr_email_sender</vt:lpstr>
      <vt:lpstr>cbr_vcdr_label</vt:lpstr>
      <vt:lpstr>cbr_vcdr_orchestrator_fqdn</vt:lpstr>
      <vt:lpstr>cbr_vcdr_ova</vt:lpstr>
      <vt:lpstr>cbr_vcdr_passcode</vt:lpstr>
      <vt:lpstr>cbr_vcdr_site_name</vt:lpstr>
      <vt:lpstr>cbr_vcdr_timezone</vt:lpstr>
      <vt:lpstr>cbr_vcdr_vsphere_role</vt:lpstr>
      <vt:lpstr>cbr_vm_folder</vt:lpstr>
      <vt:lpstr>ccm_aws_admin_password</vt:lpstr>
      <vt:lpstr>ccm_aws_admin_ssouser</vt:lpstr>
      <vt:lpstr>ccm_aws_host_count</vt:lpstr>
      <vt:lpstr>ccm_aws_host_type</vt:lpstr>
      <vt:lpstr>ccm_aws_management_subnet</vt:lpstr>
      <vt:lpstr>ccm_aws_region</vt:lpstr>
      <vt:lpstr>ccm_aws_sddc_name</vt:lpstr>
      <vt:lpstr>ccm_aws_subnet</vt:lpstr>
      <vt:lpstr>ccm_aws_vpc</vt:lpstr>
      <vt:lpstr>ccm_firewall_group</vt:lpstr>
      <vt:lpstr>ccm_firewall_ip_addresses</vt:lpstr>
      <vt:lpstr>ccm_firewall_rule_hcx</vt:lpstr>
      <vt:lpstr>ccm_firewall_rule_vcenter</vt:lpstr>
      <vt:lpstr>ccm_hcx_admin_password</vt:lpstr>
      <vt:lpstr>ccm_hcx_cdp_hostname</vt:lpstr>
      <vt:lpstr>ccm_hcx_cdp_ip</vt:lpstr>
      <vt:lpstr>ccm_hcx_compute_profile</vt:lpstr>
      <vt:lpstr>ccm_hcx_dc_location</vt:lpstr>
      <vt:lpstr>ccm_hcx_license</vt:lpstr>
      <vt:lpstr>ccm_hcx_mgmt_network_ip_range</vt:lpstr>
      <vt:lpstr>ccm_hcx_nsx_svc_password</vt:lpstr>
      <vt:lpstr>ccm_hcx_nsx_svc_user</vt:lpstr>
      <vt:lpstr>ccm_hcx_remote_url</vt:lpstr>
      <vt:lpstr>ccm_hcx_resource_pool</vt:lpstr>
      <vt:lpstr>ccm_hcx_root_password</vt:lpstr>
      <vt:lpstr>ccm_hcx_service_mesh</vt:lpstr>
      <vt:lpstr>ccm_hcx_vm_folder</vt:lpstr>
      <vt:lpstr>ccm_hcx_vmotion_network_ip_range</vt:lpstr>
      <vt:lpstr>ccm_hcx_vsphere_role</vt:lpstr>
      <vt:lpstr>ccm_hcx_vsphere_svc_password</vt:lpstr>
      <vt:lpstr>ccm_hcx_vsphere_svc_user</vt:lpstr>
      <vt:lpstr>ccm_vm_folder</vt:lpstr>
      <vt:lpstr>certificate_authority_fqdn</vt:lpstr>
      <vt:lpstr>certificate_authority_model</vt:lpstr>
      <vt:lpstr>certificate_authority_name</vt:lpstr>
      <vt:lpstr>change_control_new</vt:lpstr>
      <vt:lpstr>change_control_old</vt:lpstr>
      <vt:lpstr>child_ad_groups_ou</vt:lpstr>
      <vt:lpstr>child_ad_users_ou</vt:lpstr>
      <vt:lpstr>child_dns_zone</vt:lpstr>
      <vt:lpstr>child_svc_nsx_ad_password</vt:lpstr>
      <vt:lpstr>child_svc_nsx_ad_user</vt:lpstr>
      <vt:lpstr>child_svc_vsphere_ad_password</vt:lpstr>
      <vt:lpstr>child_svc_vsphere_ad_user</vt:lpstr>
      <vt:lpstr>cluster_az1_host_fqdns</vt:lpstr>
      <vt:lpstr>cluster_az1_host_mgmt_ips</vt:lpstr>
      <vt:lpstr>cluster_az1_host_overlay_cidr</vt:lpstr>
      <vt:lpstr>cluster_az1_host_overlay_gateway_ip</vt:lpstr>
      <vt:lpstr>cluster_az1_host_overlay_network_pool_description</vt:lpstr>
      <vt:lpstr>cluster_az1_host_overlay_network_pool_name</vt:lpstr>
      <vt:lpstr>cluster_az1_host_overlay_network_profile_name</vt:lpstr>
      <vt:lpstr>cluster_az1_host_overlay_pool_end_ip</vt:lpstr>
      <vt:lpstr>cluster_az1_host_overlay_pool_start_ip</vt:lpstr>
      <vt:lpstr>cluster_az1_host_overlay_transport_zone</vt:lpstr>
      <vt:lpstr>cluster_az1_host_overlay_uplink_profile_name</vt:lpstr>
      <vt:lpstr>cluster_az1_host_overlay_vlan</vt:lpstr>
      <vt:lpstr>cluster_az1_host1_fqdn</vt:lpstr>
      <vt:lpstr>cluster_az1_host1_mgmt_ip</vt:lpstr>
      <vt:lpstr>cluster_az1_host10_fqdn</vt:lpstr>
      <vt:lpstr>cluster_az1_host10_mgmt_ip</vt:lpstr>
      <vt:lpstr>cluster_az1_host11_fqdn</vt:lpstr>
      <vt:lpstr>cluster_az1_host11_mgmt_ip</vt:lpstr>
      <vt:lpstr>cluster_az1_host12_fqdn</vt:lpstr>
      <vt:lpstr>cluster_az1_host12_mgmt_ip</vt:lpstr>
      <vt:lpstr>cluster_az1_host13_fqdn</vt:lpstr>
      <vt:lpstr>cluster_az1_host13_mgmt_ip</vt:lpstr>
      <vt:lpstr>cluster_az1_host14_fqdn</vt:lpstr>
      <vt:lpstr>cluster_az1_host14_mgmt_ip</vt:lpstr>
      <vt:lpstr>cluster_az1_host15_fqdn</vt:lpstr>
      <vt:lpstr>cluster_az1_host15_mgmt_ip</vt:lpstr>
      <vt:lpstr>cluster_az1_host16_fqdn</vt:lpstr>
      <vt:lpstr>cluster_az1_host16_mgmt_ip</vt:lpstr>
      <vt:lpstr>cluster_az1_host2_fqdn</vt:lpstr>
      <vt:lpstr>cluster_az1_host2_mgmt_ip</vt:lpstr>
      <vt:lpstr>cluster_az1_host3_fqdn</vt:lpstr>
      <vt:lpstr>cluster_az1_host3_mgmt_ip</vt:lpstr>
      <vt:lpstr>cluster_az1_host4_fqdn</vt:lpstr>
      <vt:lpstr>cluster_az1_host4_mgmt_ip</vt:lpstr>
      <vt:lpstr>cluster_az1_host5_fqdn</vt:lpstr>
      <vt:lpstr>cluster_az1_host5_mgmt_ip</vt:lpstr>
      <vt:lpstr>cluster_az1_host6_fqdn</vt:lpstr>
      <vt:lpstr>cluster_az1_host6_mgmt_ip</vt:lpstr>
      <vt:lpstr>cluster_az1_host7_fqdn</vt:lpstr>
      <vt:lpstr>cluster_az1_host7_mgmt_ip</vt:lpstr>
      <vt:lpstr>cluster_az1_host8_fqdn</vt:lpstr>
      <vt:lpstr>cluster_az1_host8_mgmt_ip</vt:lpstr>
      <vt:lpstr>cluster_az1_host9_fqdn</vt:lpstr>
      <vt:lpstr>cluster_az1_host9_mgmt_ip</vt:lpstr>
      <vt:lpstr>cluster_az1_mgmt_cidr</vt:lpstr>
      <vt:lpstr>cluster_az1_mgmt_gateway_ip</vt:lpstr>
      <vt:lpstr>cluster_az1_mgmt_mtu</vt:lpstr>
      <vt:lpstr>cluster_az1_mgmt_pg</vt:lpstr>
      <vt:lpstr>cluster_az1_mgmt_vlan</vt:lpstr>
      <vt:lpstr>cluster_az1_mgmt_vm_pg</vt:lpstr>
      <vt:lpstr>cluster_az1_nsx_uplink_count</vt:lpstr>
      <vt:lpstr>cluster_az1_nsx_uplink1</vt:lpstr>
      <vt:lpstr>cluster_az1_nsx_uplink1_active</vt:lpstr>
      <vt:lpstr>cluster_az1_nsx_uplink2</vt:lpstr>
      <vt:lpstr>cluster_az1_nsx_uplink2_active</vt:lpstr>
      <vt:lpstr>cluster_az1_pool_name</vt:lpstr>
      <vt:lpstr>cluster_az1_principal_storage_cidr</vt:lpstr>
      <vt:lpstr>cluster_az1_principal_storage_gateway_cidr</vt:lpstr>
      <vt:lpstr>cluster_az1_principal_storage_gateway_ip</vt:lpstr>
      <vt:lpstr>cluster_az1_principal_storage_mask</vt:lpstr>
      <vt:lpstr>cluster_az1_principal_storage_mtu</vt:lpstr>
      <vt:lpstr>cluster_az1_principal_storage_network</vt:lpstr>
      <vt:lpstr>cluster_az1_principal_storage_pg</vt:lpstr>
      <vt:lpstr>cluster_az1_principal_storage_pool_end_ip</vt:lpstr>
      <vt:lpstr>cluster_az1_principal_storage_pool_start_ip</vt:lpstr>
      <vt:lpstr>cluster_az1_principal_storage_vlan</vt:lpstr>
      <vt:lpstr>cluster_az1_secondary_storage_cidr</vt:lpstr>
      <vt:lpstr>cluster_az1_secondary_storage_gateway_cidr</vt:lpstr>
      <vt:lpstr>cluster_az1_secondary_storage_gateway_ip</vt:lpstr>
      <vt:lpstr>cluster_az1_secondary_storage_mask</vt:lpstr>
      <vt:lpstr>cluster_az1_secondary_storage_mtu</vt:lpstr>
      <vt:lpstr>cluster_az1_secondary_storage_network</vt:lpstr>
      <vt:lpstr>cluster_az1_secondary_storage_pool_end_ip</vt:lpstr>
      <vt:lpstr>cluster_az1_secondary_storage_pool_start_ip</vt:lpstr>
      <vt:lpstr>cluster_az1_secondary_storage_vlan</vt:lpstr>
      <vt:lpstr>cluster_az1_storage_cluster_cidr</vt:lpstr>
      <vt:lpstr>cluster_az1_storage_cluster_gateway_cidr</vt:lpstr>
      <vt:lpstr>cluster_az1_storage_cluster_gateway_ip</vt:lpstr>
      <vt:lpstr>cluster_az1_storage_cluster_mask</vt:lpstr>
      <vt:lpstr>cluster_az1_storage_cluster_mtu</vt:lpstr>
      <vt:lpstr>cluster_az1_storage_cluster_network</vt:lpstr>
      <vt:lpstr>cluster_az1_storage_cluster_pool_end_ip</vt:lpstr>
      <vt:lpstr>cluster_az1_storage_cluster_pool_start_ip</vt:lpstr>
      <vt:lpstr>cluster_az1_storage_cluster_vlan</vt:lpstr>
      <vt:lpstr>cluster_az1_vmotion_cidr</vt:lpstr>
      <vt:lpstr>cluster_az1_vmotion_gateway_cidr</vt:lpstr>
      <vt:lpstr>cluster_az1_vmotion_gateway_ip</vt:lpstr>
      <vt:lpstr>cluster_az1_vmotion_mask</vt:lpstr>
      <vt:lpstr>cluster_az1_vmotion_mtu</vt:lpstr>
      <vt:lpstr>cluster_az1_vmotion_network</vt:lpstr>
      <vt:lpstr>cluster_az1_vmotion_pg</vt:lpstr>
      <vt:lpstr>cluster_az1_vmotion_pool_end_ip</vt:lpstr>
      <vt:lpstr>cluster_az1_vmotion_pool_start_ip</vt:lpstr>
      <vt:lpstr>cluster_az1_vmotion_vlan</vt:lpstr>
      <vt:lpstr>cluster_az1_vsan_storage_client_pg</vt:lpstr>
      <vt:lpstr>cluster_az2_host_fqdns</vt:lpstr>
      <vt:lpstr>cluster_az2_host_mgmt_ips</vt:lpstr>
      <vt:lpstr>cluster_az2_host_overlay_cidr</vt:lpstr>
      <vt:lpstr>cluster_az2_host_overlay_gateway_ip</vt:lpstr>
      <vt:lpstr>cluster_az2_host_overlay_network_pool_name</vt:lpstr>
      <vt:lpstr>cluster_az2_host_overlay_network_profile_name</vt:lpstr>
      <vt:lpstr>cluster_az2_host_overlay_pool_end_ip</vt:lpstr>
      <vt:lpstr>cluster_az2_host_overlay_pool_start_ip</vt:lpstr>
      <vt:lpstr>cluster_az2_host_overlay_uplink_profile_name</vt:lpstr>
      <vt:lpstr>cluster_az2_host_overlay_vlan</vt:lpstr>
      <vt:lpstr>cluster_az2_host1_fqdn</vt:lpstr>
      <vt:lpstr>cluster_az2_host1_mgmt_ip</vt:lpstr>
      <vt:lpstr>cluster_az2_host10_fqdn</vt:lpstr>
      <vt:lpstr>cluster_az2_host10_mgmt_ip</vt:lpstr>
      <vt:lpstr>cluster_az2_host11_fqdn</vt:lpstr>
      <vt:lpstr>cluster_az2_host11_mgmt_ip</vt:lpstr>
      <vt:lpstr>cluster_az2_host12_fqdn</vt:lpstr>
      <vt:lpstr>cluster_az2_host12_mgmt_ip</vt:lpstr>
      <vt:lpstr>cluster_az2_host13_fqdn</vt:lpstr>
      <vt:lpstr>cluster_az2_host13_mgmt_ip</vt:lpstr>
      <vt:lpstr>cluster_az2_host14_fqdn</vt:lpstr>
      <vt:lpstr>cluster_az2_host14_mgmt_ip</vt:lpstr>
      <vt:lpstr>cluster_az2_host15_fqdn</vt:lpstr>
      <vt:lpstr>cluster_az2_host15_mgmt_ip</vt:lpstr>
      <vt:lpstr>cluster_az2_host16_fqdn</vt:lpstr>
      <vt:lpstr>cluster_az2_host16_mgmt_ip</vt:lpstr>
      <vt:lpstr>cluster_az2_host2_fqdn</vt:lpstr>
      <vt:lpstr>cluster_az2_host2_mgmt_ip</vt:lpstr>
      <vt:lpstr>cluster_az2_host3_fqdn</vt:lpstr>
      <vt:lpstr>cluster_az2_host3_mgmt_ip</vt:lpstr>
      <vt:lpstr>cluster_az2_host4_fqdn</vt:lpstr>
      <vt:lpstr>cluster_az2_host4_mgmt_ip</vt:lpstr>
      <vt:lpstr>cluster_az2_host5_fqdn</vt:lpstr>
      <vt:lpstr>cluster_az2_host5_mgmt_ip</vt:lpstr>
      <vt:lpstr>cluster_az2_host6_fqdn</vt:lpstr>
      <vt:lpstr>cluster_az2_host6_mgmt_ip</vt:lpstr>
      <vt:lpstr>cluster_az2_host7_fqdn</vt:lpstr>
      <vt:lpstr>cluster_az2_host7_mgmt_ip</vt:lpstr>
      <vt:lpstr>cluster_az2_host8_fqdn</vt:lpstr>
      <vt:lpstr>cluster_az2_host8_mgmt_ip</vt:lpstr>
      <vt:lpstr>cluster_az2_host9_fqdn</vt:lpstr>
      <vt:lpstr>cluster_az2_host9_mgmt_ip</vt:lpstr>
      <vt:lpstr>cluster_az2_mgmt_cidr</vt:lpstr>
      <vt:lpstr>cluster_az2_mgmt_gateway_ip</vt:lpstr>
      <vt:lpstr>cluster_az2_mgmt_mtu</vt:lpstr>
      <vt:lpstr>cluster_az2_mgmt_vlan</vt:lpstr>
      <vt:lpstr>cluster_az2_pool_name</vt:lpstr>
      <vt:lpstr>cluster_az2_principal_storage_cidr</vt:lpstr>
      <vt:lpstr>cluster_az2_principal_storage_gateway_ip</vt:lpstr>
      <vt:lpstr>cluster_az2_principal_storage_mask</vt:lpstr>
      <vt:lpstr>cluster_az2_principal_storage_mtu</vt:lpstr>
      <vt:lpstr>cluster_az2_principal_storage_network</vt:lpstr>
      <vt:lpstr>cluster_az2_principal_storage_pool_end_ip</vt:lpstr>
      <vt:lpstr>cluster_az2_principal_storage_pool_start_ip</vt:lpstr>
      <vt:lpstr>cluster_az2_principal_storage_vlan</vt:lpstr>
      <vt:lpstr>cluster_az2_secondary_storage_gateway_ip</vt:lpstr>
      <vt:lpstr>cluster_az2_secondary_storage_mask</vt:lpstr>
      <vt:lpstr>cluster_az2_secondary_storage_mtu</vt:lpstr>
      <vt:lpstr>cluster_az2_secondary_storage_network</vt:lpstr>
      <vt:lpstr>cluster_az2_secondary_storage_pool_end_ip</vt:lpstr>
      <vt:lpstr>cluster_az2_secondary_storage_pool_start_ip</vt:lpstr>
      <vt:lpstr>cluster_az2_secondary_storage_vlan</vt:lpstr>
      <vt:lpstr>cluster_az2_storage_cluster_cidr</vt:lpstr>
      <vt:lpstr>cluster_az2_storage_cluster_gateway_ip</vt:lpstr>
      <vt:lpstr>cluster_az2_storage_cluster_mask</vt:lpstr>
      <vt:lpstr>cluster_az2_storage_cluster_mtu</vt:lpstr>
      <vt:lpstr>cluster_az2_storage_cluster_network</vt:lpstr>
      <vt:lpstr>cluster_az2_storage_cluster_pool_end_ip</vt:lpstr>
      <vt:lpstr>cluster_az2_storage_cluster_pool_start_ip</vt:lpstr>
      <vt:lpstr>cluster_az2_storage_cluster_vlan</vt:lpstr>
      <vt:lpstr>cluster_az2_tor1_peer_asn</vt:lpstr>
      <vt:lpstr>cluster_az2_tor1_peer_ip</vt:lpstr>
      <vt:lpstr>cluster_az2_tor2_peer_asn</vt:lpstr>
      <vt:lpstr>cluster_az2_tor2_peer_ip</vt:lpstr>
      <vt:lpstr>cluster_az2_vmotion_cidr</vt:lpstr>
      <vt:lpstr>cluster_az2_vmotion_gateway_ip</vt:lpstr>
      <vt:lpstr>cluster_az2_vmotion_mask</vt:lpstr>
      <vt:lpstr>cluster_az2_vmotion_mtu</vt:lpstr>
      <vt:lpstr>cluster_az2_vmotion_network</vt:lpstr>
      <vt:lpstr>cluster_az2_vmotion_pool_end_ip</vt:lpstr>
      <vt:lpstr>cluster_az2_vmotion_pool_start_ip</vt:lpstr>
      <vt:lpstr>cluster_az2_vmotion_vlan</vt:lpstr>
      <vt:lpstr>cluster_cluster_sddc_id</vt:lpstr>
      <vt:lpstr>cluster_datacenter</vt:lpstr>
      <vt:lpstr>cluster_domain_name</vt:lpstr>
      <vt:lpstr>cluster_esx_root_password</vt:lpstr>
      <vt:lpstr>cluster_esx_root_username</vt:lpstr>
      <vt:lpstr>cluster_host_overlay_transportzone</vt:lpstr>
      <vt:lpstr>cluster_image_name</vt:lpstr>
      <vt:lpstr>cluster_name</vt:lpstr>
      <vt:lpstr>cluster_nfs_datastore_name</vt:lpstr>
      <vt:lpstr>cluster_nfs_server_address</vt:lpstr>
      <vt:lpstr>cluster_nfs_share_path</vt:lpstr>
      <vt:lpstr>cluster_nsx_vlan_transport_zone_name</vt:lpstr>
      <vt:lpstr>cluster_nsxt_vip_fqdn</vt:lpstr>
      <vt:lpstr>cluster_storage_cluster_name</vt:lpstr>
      <vt:lpstr>cluster_vc_fqdn</vt:lpstr>
      <vt:lpstr>cluster_vds01_lag_name</vt:lpstr>
      <vt:lpstr>cluster_vds01_mtu</vt:lpstr>
      <vt:lpstr>cluster_vds01_name</vt:lpstr>
      <vt:lpstr>cluster_vds01_pnics</vt:lpstr>
      <vt:lpstr>cluster_vds01_traffic_type</vt:lpstr>
      <vt:lpstr>cluster_vds01_uplink_count</vt:lpstr>
      <vt:lpstr>cluster_vds02_lag_name</vt:lpstr>
      <vt:lpstr>cluster_vds02_mtu</vt:lpstr>
      <vt:lpstr>cluster_vds02_name</vt:lpstr>
      <vt:lpstr>cluster_vds02_pnics</vt:lpstr>
      <vt:lpstr>cluster_vds02_traffic_type</vt:lpstr>
      <vt:lpstr>cluster_vds02_uplink_count</vt:lpstr>
      <vt:lpstr>cluster_vds03_lag_name</vt:lpstr>
      <vt:lpstr>cluster_vds03_mtu</vt:lpstr>
      <vt:lpstr>cluster_vds03_name</vt:lpstr>
      <vt:lpstr>cluster_vds03_pnics</vt:lpstr>
      <vt:lpstr>cluster_vds03_traffic_type</vt:lpstr>
      <vt:lpstr>cluster_vds03_uplink_count</vt:lpstr>
      <vt:lpstr>cluster_vmfs_datastore_name</vt:lpstr>
      <vt:lpstr>cluster_vsan_datastore</vt:lpstr>
      <vt:lpstr>cluster_witness_cluster</vt:lpstr>
      <vt:lpstr>cluster_witness_dns1_ip</vt:lpstr>
      <vt:lpstr>cluster_witness_dns2_ip</vt:lpstr>
      <vt:lpstr>cluster_witness_fqdn</vt:lpstr>
      <vt:lpstr>cluster_witness_hostname</vt:lpstr>
      <vt:lpstr>cluster_witness_ip</vt:lpstr>
      <vt:lpstr>cluster_witness_mgmt_pg</vt:lpstr>
      <vt:lpstr>cluster_witness_ntp1_server</vt:lpstr>
      <vt:lpstr>cluster_witness_ntp2_server</vt:lpstr>
      <vt:lpstr>cluster_witness_vm_folder</vt:lpstr>
      <vt:lpstr>cluster_witness_vsan_datastore</vt:lpstr>
      <vt:lpstr>cluster_witness_zone_vc_fqdn</vt:lpstr>
      <vt:lpstr>cluster_witnessaz_mgmt_cidr</vt:lpstr>
      <vt:lpstr>cluster_witnessaz_mgmt_gateway_ip</vt:lpstr>
      <vt:lpstr>cluster_witnessaz_mgmt_mask</vt:lpstr>
      <vt:lpstr>cluster_witnessaz_mgmt_mtu</vt:lpstr>
      <vt:lpstr>cluster_witnessaz_mgmt_vlan</vt:lpstr>
      <vt:lpstr>cluster_wld_domain_chosen</vt:lpstr>
      <vt:lpstr>cr_clean_room</vt:lpstr>
      <vt:lpstr>cr_console_cloud</vt:lpstr>
      <vt:lpstr>cr_flt_vcf_ops_fqdn</vt:lpstr>
      <vt:lpstr>cr_mgmt_protect_vc_domain</vt:lpstr>
      <vt:lpstr>cr_mgmt_protect_vc_fqdn</vt:lpstr>
      <vt:lpstr>cr_wld_pnr_fqdn</vt:lpstr>
      <vt:lpstr>cr_wld_pnr_ip</vt:lpstr>
      <vt:lpstr>cr_wld_protect_vc_replication_user</vt:lpstr>
      <vt:lpstr>cr_wld_vrms_pg</vt:lpstr>
      <vt:lpstr>deployment_type_vcf</vt:lpstr>
      <vt:lpstr>deployment_type_vvf</vt:lpstr>
      <vt:lpstr>domain_controller_hostname</vt:lpstr>
      <vt:lpstr>dri_dns_servers</vt:lpstr>
      <vt:lpstr>dri_ec_name</vt:lpstr>
      <vt:lpstr>dri_k8s_size_hint</vt:lpstr>
      <vt:lpstr>dri_load_balancer_ge</vt:lpstr>
      <vt:lpstr>dri_load_balancer_le</vt:lpstr>
      <vt:lpstr>dri_network_address_range_size</vt:lpstr>
      <vt:lpstr>dri_network_mode</vt:lpstr>
      <vt:lpstr>dri_nsxt_vip_fqdn</vt:lpstr>
      <vt:lpstr>dri_ntp_servers</vt:lpstr>
      <vt:lpstr>dri_overlay_transport_zone</vt:lpstr>
      <vt:lpstr>dri_sddc_domain</vt:lpstr>
      <vt:lpstr>dri_tier0_name</vt:lpstr>
      <vt:lpstr>dri_vcenter_cluster</vt:lpstr>
      <vt:lpstr>dri_vcenter_datacenter</vt:lpstr>
      <vt:lpstr>dri_vcenter_fqdn</vt:lpstr>
      <vt:lpstr>dri_vcenter_vds_name</vt:lpstr>
      <vt:lpstr>dri_vcenter_vsan_datastore</vt:lpstr>
      <vt:lpstr>esxi_root_password</vt:lpstr>
      <vt:lpstr>first_domain_mgmt_only_viable</vt:lpstr>
      <vt:lpstr>first_domain_mgmt_vi_viable</vt:lpstr>
      <vt:lpstr>First_Instance</vt:lpstr>
      <vt:lpstr>flt_auto_node_pool_end_ip</vt:lpstr>
      <vt:lpstr>flt_auto_node_pool_start_ip</vt:lpstr>
      <vt:lpstr>flt_auto_sr_fqdn</vt:lpstr>
      <vt:lpstr>flt_custom_management_cidr</vt:lpstr>
      <vt:lpstr>flt_custom_management_gateway_ip</vt:lpstr>
      <vt:lpstr>flt_custom_management_mask</vt:lpstr>
      <vt:lpstr>flt_custom_management_mtu</vt:lpstr>
      <vt:lpstr>flt_custom_management_network</vt:lpstr>
      <vt:lpstr>flt_custom_management_vlan</vt:lpstr>
      <vt:lpstr>flt_custom_network_auto_admin_password</vt:lpstr>
      <vt:lpstr>flt_custom_network_auto_nodea_ip</vt:lpstr>
      <vt:lpstr>flt_custom_network_auto_nodeb_ip</vt:lpstr>
      <vt:lpstr>flt_custom_network_auto_nodec_ip</vt:lpstr>
      <vt:lpstr>flt_custom_network_auto_noded_ip</vt:lpstr>
      <vt:lpstr>flt_custom_network_auto_nodee_ip</vt:lpstr>
      <vt:lpstr>flt_custom_network_auto_nodef_ip</vt:lpstr>
      <vt:lpstr>flt_custom_network_auto_prefix</vt:lpstr>
      <vt:lpstr>flt_custom_network_auto_sr_fqdn</vt:lpstr>
      <vt:lpstr>flt_custom_network_auto_vip_fqdn</vt:lpstr>
      <vt:lpstr>flt_custom_network_auto_vip_ip</vt:lpstr>
      <vt:lpstr>flt_custom_network_flt_admin_password</vt:lpstr>
      <vt:lpstr>flt_custom_network_flt_fqdn</vt:lpstr>
      <vt:lpstr>flt_custom_network_flt_ip</vt:lpstr>
      <vt:lpstr>flt_custom_network_flt_root_password</vt:lpstr>
      <vt:lpstr>flt_custom_network_local_reg_gateway_ip</vt:lpstr>
      <vt:lpstr>flt_custom_network_local_reg_mask</vt:lpstr>
      <vt:lpstr>flt_custom_network_local_reg_pg</vt:lpstr>
      <vt:lpstr>flt_custom_network_ops_admin_password</vt:lpstr>
      <vt:lpstr>flt_custom_network_ops_collector_fqdn</vt:lpstr>
      <vt:lpstr>flt_custom_network_ops_collector_ip</vt:lpstr>
      <vt:lpstr>flt_custom_network_ops_collector_root_password</vt:lpstr>
      <vt:lpstr>flt_custom_network_ops_collector_version</vt:lpstr>
      <vt:lpstr>flt_custom_network_ops_nodea_fqdn</vt:lpstr>
      <vt:lpstr>flt_custom_network_ops_nodea_ip</vt:lpstr>
      <vt:lpstr>flt_custom_network_ops_nodeb_fqdn</vt:lpstr>
      <vt:lpstr>flt_custom_network_ops_nodeb_ip</vt:lpstr>
      <vt:lpstr>flt_custom_network_ops_nodec_fqdn</vt:lpstr>
      <vt:lpstr>flt_custom_network_ops_nodec_ip</vt:lpstr>
      <vt:lpstr>flt_custom_network_ops_root_password</vt:lpstr>
      <vt:lpstr>flt_custom_network_ops_vip_ip</vt:lpstr>
      <vt:lpstr>flt_custom_network_x_reg_gateway_ip</vt:lpstr>
      <vt:lpstr>flt_custom_network_x_reg_mask</vt:lpstr>
      <vt:lpstr>flt_custom_network_x_reg_pg</vt:lpstr>
      <vt:lpstr>flt_def_administrator_vsphere_local_password</vt:lpstr>
      <vt:lpstr>flt_def_administrator_vsphere_local_username</vt:lpstr>
      <vt:lpstr>flt_def_auto_node_pool_end_ip</vt:lpstr>
      <vt:lpstr>flt_def_auto_node_pool_start_ip</vt:lpstr>
      <vt:lpstr>flt_def_auto_sr_fqdn</vt:lpstr>
      <vt:lpstr>flt_def_auto_sr_ip</vt:lpstr>
      <vt:lpstr>flt_def_sddc_mgr_fqdn</vt:lpstr>
      <vt:lpstr>flt_def_vcf_operations_az1_vcf_mgmt_gateway_cidr</vt:lpstr>
      <vt:lpstr>flt_def_vcf_operations_az1_vcf_mgmt_pg</vt:lpstr>
      <vt:lpstr>flt_def_vcf_operations_lc_fqdn</vt:lpstr>
      <vt:lpstr>flt_def_vcf_operations_lc_ip</vt:lpstr>
      <vt:lpstr>flt_def_vcf_operations_nodea_fqdn</vt:lpstr>
      <vt:lpstr>flt_def_vcf_operations_nodea_ip</vt:lpstr>
      <vt:lpstr>flt_def_vcf_operations_nodeb_fqdn</vt:lpstr>
      <vt:lpstr>flt_def_vcf_operations_nodeb_ip</vt:lpstr>
      <vt:lpstr>flt_def_vcf_operations_nodec_fqdn</vt:lpstr>
      <vt:lpstr>flt_def_vcf_operations_nodec_ip</vt:lpstr>
      <vt:lpstr>flt_def_vcf_operations_proxy_fqdn</vt:lpstr>
      <vt:lpstr>flt_def_vcf_operations_proxy_ip</vt:lpstr>
      <vt:lpstr>flt_def_vcf_operations_virtual_fqdn</vt:lpstr>
      <vt:lpstr>flt_def_vcf_operations_virtual_ip</vt:lpstr>
      <vt:lpstr>flt_def_vra_virtual_fqdn</vt:lpstr>
      <vt:lpstr>flt_def_vra_virtual_ip</vt:lpstr>
      <vt:lpstr>flt_fc_fqdn</vt:lpstr>
      <vt:lpstr>flt_ic_fqdn</vt:lpstr>
      <vt:lpstr>flt_lc_fqdn</vt:lpstr>
      <vt:lpstr>flt_logs_admin_email</vt:lpstr>
      <vt:lpstr>flt_logs_admin_password</vt:lpstr>
      <vt:lpstr>flt_logs_admin_password_alias</vt:lpstr>
      <vt:lpstr>flt_logs_admin_password_description</vt:lpstr>
      <vt:lpstr>flt_logs_admin_username</vt:lpstr>
      <vt:lpstr>flt_logs_cert_alias</vt:lpstr>
      <vt:lpstr>flt_logs_cert_country_code</vt:lpstr>
      <vt:lpstr>flt_logs_cert_ip_addresses</vt:lpstr>
      <vt:lpstr>flt_logs_cert_locality</vt:lpstr>
      <vt:lpstr>flt_logs_cert_organisation</vt:lpstr>
      <vt:lpstr>flt_logs_cert_state</vt:lpstr>
      <vt:lpstr>flt_logs_cluster</vt:lpstr>
      <vt:lpstr>flt_logs_common_name</vt:lpstr>
      <vt:lpstr>flt_logs_datastore</vt:lpstr>
      <vt:lpstr>flt_logs_folder</vt:lpstr>
      <vt:lpstr>flt_logs_gateway_ip</vt:lpstr>
      <vt:lpstr>flt_logs_mask</vt:lpstr>
      <vt:lpstr>flt_logs_nodea_fqdn</vt:lpstr>
      <vt:lpstr>flt_logs_nodea_hostname</vt:lpstr>
      <vt:lpstr>flt_logs_nodea_ip</vt:lpstr>
      <vt:lpstr>flt_logs_nodeb_fqdn</vt:lpstr>
      <vt:lpstr>flt_logs_nodeb_hostname</vt:lpstr>
      <vt:lpstr>flt_logs_nodeb_ip</vt:lpstr>
      <vt:lpstr>flt_logs_nodec_fqdn</vt:lpstr>
      <vt:lpstr>flt_logs_nodec_hostname</vt:lpstr>
      <vt:lpstr>flt_logs_nodec_ip</vt:lpstr>
      <vt:lpstr>flt_logs_ou_cert</vt:lpstr>
      <vt:lpstr>flt_logs_portgroup</vt:lpstr>
      <vt:lpstr>flt_logs_resource_pool</vt:lpstr>
      <vt:lpstr>flt_logs_root_password</vt:lpstr>
      <vt:lpstr>flt_logs_root_password_alias</vt:lpstr>
      <vt:lpstr>flt_logs_root_password_description</vt:lpstr>
      <vt:lpstr>flt_logs_root_username</vt:lpstr>
      <vt:lpstr>flt_logs_vcenter_fqdn</vt:lpstr>
      <vt:lpstr>flt_logs_vip_fqdn</vt:lpstr>
      <vt:lpstr>flt_logs_vip_ip</vt:lpstr>
      <vt:lpstr>flt_net_admin_password</vt:lpstr>
      <vt:lpstr>flt_net_admin_password_alias</vt:lpstr>
      <vt:lpstr>flt_net_admin_password_description</vt:lpstr>
      <vt:lpstr>flt_net_admin_username</vt:lpstr>
      <vt:lpstr>flt_net_cert_alias</vt:lpstr>
      <vt:lpstr>flt_net_cert_country_code</vt:lpstr>
      <vt:lpstr>flt_net_cert_locality</vt:lpstr>
      <vt:lpstr>flt_net_cert_organisation</vt:lpstr>
      <vt:lpstr>flt_net_cert_state</vt:lpstr>
      <vt:lpstr>flt_net_cluster</vt:lpstr>
      <vt:lpstr>flt_net_common_name</vt:lpstr>
      <vt:lpstr>flt_net_console_password</vt:lpstr>
      <vt:lpstr>flt_net_datastore</vt:lpstr>
      <vt:lpstr>flt_net_folder</vt:lpstr>
      <vt:lpstr>flt_net_node_gateway_ip</vt:lpstr>
      <vt:lpstr>flt_net_node_mask</vt:lpstr>
      <vt:lpstr>flt_net_node_portgroup</vt:lpstr>
      <vt:lpstr>flt_net_nodea_fqdn</vt:lpstr>
      <vt:lpstr>flt_net_nodea_hostname</vt:lpstr>
      <vt:lpstr>flt_net_nodea_ip</vt:lpstr>
      <vt:lpstr>flt_net_nodeb_fqdn</vt:lpstr>
      <vt:lpstr>flt_net_nodeb_hostname</vt:lpstr>
      <vt:lpstr>flt_net_nodeb_ip</vt:lpstr>
      <vt:lpstr>flt_net_nodec_fqdn</vt:lpstr>
      <vt:lpstr>flt_net_nodec_hostname</vt:lpstr>
      <vt:lpstr>flt_net_nodec_ip</vt:lpstr>
      <vt:lpstr>flt_net_ou_cert</vt:lpstr>
      <vt:lpstr>flt_net_platform_password</vt:lpstr>
      <vt:lpstr>flt_net_prxy_fqdn</vt:lpstr>
      <vt:lpstr>flt_net_prxy_gateway_ip</vt:lpstr>
      <vt:lpstr>flt_net_prxy_hostname</vt:lpstr>
      <vt:lpstr>flt_net_prxy_ip</vt:lpstr>
      <vt:lpstr>flt_net_prxy_mask</vt:lpstr>
      <vt:lpstr>flt_net_prxy_portgroup</vt:lpstr>
      <vt:lpstr>flt_net_resource_pool</vt:lpstr>
      <vt:lpstr>flt_net_support_password</vt:lpstr>
      <vt:lpstr>flt_net_vcenter_fqdn</vt:lpstr>
      <vt:lpstr>flt_net_vcenter_list</vt:lpstr>
      <vt:lpstr>flt_sr_fqdn</vt:lpstr>
      <vt:lpstr>flt_vcfms_node_pool_end_ip</vt:lpstr>
      <vt:lpstr>flt_vcfms_node_pool_start_ip</vt:lpstr>
      <vt:lpstr>flt_vidb_additional_vips</vt:lpstr>
      <vt:lpstr>flt_vidb_base_dn</vt:lpstr>
      <vt:lpstr>flt_vidb_bind_password</vt:lpstr>
      <vt:lpstr>flt_vidb_bind_username</vt:lpstr>
      <vt:lpstr>flt_vidb_cert_alias</vt:lpstr>
      <vt:lpstr>flt_vidb_cert_common_name</vt:lpstr>
      <vt:lpstr>flt_vidb_cert_country_code</vt:lpstr>
      <vt:lpstr>flt_vidb_cert_locality</vt:lpstr>
      <vt:lpstr>flt_vidb_cert_organisation</vt:lpstr>
      <vt:lpstr>flt_vidb_cert_state</vt:lpstr>
      <vt:lpstr>flt_vidb_cluster</vt:lpstr>
      <vt:lpstr>flt_vidb_datastore</vt:lpstr>
      <vt:lpstr>flt_vidb_deployment_mode</vt:lpstr>
      <vt:lpstr>flt_vidb_directory_name</vt:lpstr>
      <vt:lpstr>flt_vidb_distinguished_name</vt:lpstr>
      <vt:lpstr>flt_vidb_employeeID</vt:lpstr>
      <vt:lpstr>flt_vidb_encrypted_cert</vt:lpstr>
      <vt:lpstr>flt_vidb_first_name</vt:lpstr>
      <vt:lpstr>flt_vidb_folder</vt:lpstr>
      <vt:lpstr>flt_vidb_gateway_ip</vt:lpstr>
      <vt:lpstr>flt_vidb_group_base_dn</vt:lpstr>
      <vt:lpstr>flt_vidb_hostname</vt:lpstr>
      <vt:lpstr>flt_vidb_last_name</vt:lpstr>
      <vt:lpstr>flt_vidb_mail</vt:lpstr>
      <vt:lpstr>flt_vidb_mask</vt:lpstr>
      <vt:lpstr>flt_vidb_node_prefix</vt:lpstr>
      <vt:lpstr>flt_vidb_ou_cert</vt:lpstr>
      <vt:lpstr>flt_vidb_password</vt:lpstr>
      <vt:lpstr>flt_vidb_password_alias</vt:lpstr>
      <vt:lpstr>flt_vidb_password_description</vt:lpstr>
      <vt:lpstr>flt_vidb_port_group</vt:lpstr>
      <vt:lpstr>flt_vidb_primary_domain_controller</vt:lpstr>
      <vt:lpstr>flt_vidb_primary_domain_controller_port</vt:lpstr>
      <vt:lpstr>flt_vidb_resource_pool</vt:lpstr>
      <vt:lpstr>flt_vidb_root_username</vt:lpstr>
      <vt:lpstr>flt_vidb_secondary_domain_controller</vt:lpstr>
      <vt:lpstr>flt_vidb_secondary_domain_controller_port</vt:lpstr>
      <vt:lpstr>flt_vidb_system_user_alias</vt:lpstr>
      <vt:lpstr>flt_vidb_system_user_description</vt:lpstr>
      <vt:lpstr>flt_vidb_system_user_password</vt:lpstr>
      <vt:lpstr>flt_vidb_user_base_dn</vt:lpstr>
      <vt:lpstr>flt_vidb_user_name</vt:lpstr>
      <vt:lpstr>flt_vidb_user_principal_name</vt:lpstr>
      <vt:lpstr>flt_vidb_vcenter_fqdn</vt:lpstr>
      <vt:lpstr>flt_vidb_version</vt:lpstr>
      <vt:lpstr>flt_vidb_vip_fqdn</vt:lpstr>
      <vt:lpstr>flt_vidb_vip_ip</vt:lpstr>
      <vt:lpstr>group_gg_kub_admins</vt:lpstr>
      <vt:lpstr>group_gg_kub_readonly</vt:lpstr>
      <vt:lpstr>group_gg_nsx_auditors</vt:lpstr>
      <vt:lpstr>group_gg_nsx_enterprise_admins</vt:lpstr>
      <vt:lpstr>group_gg_nsx_network_admins</vt:lpstr>
      <vt:lpstr>group_gg_sso_admins</vt:lpstr>
      <vt:lpstr>group_gg_vc_admins</vt:lpstr>
      <vt:lpstr>group_gg_vc_read_only</vt:lpstr>
      <vt:lpstr>group_gg_vcf_admins</vt:lpstr>
      <vt:lpstr>group_gg_vcf_operators</vt:lpstr>
      <vt:lpstr>group_gg_vcf_viewers</vt:lpstr>
      <vt:lpstr>group_gg_vra_cloud_assembly_admins</vt:lpstr>
      <vt:lpstr>group_gg_vra_cloud_assembly_users</vt:lpstr>
      <vt:lpstr>group_gg_vra_cloud_assembly_viewers</vt:lpstr>
      <vt:lpstr>group_gg_vra_orchestrator_viewers</vt:lpstr>
      <vt:lpstr>group_gg_vra_org_owners</vt:lpstr>
      <vt:lpstr>group_gg_vra_project_admins_sample</vt:lpstr>
      <vt:lpstr>group_gg_vra_project_users_sample</vt:lpstr>
      <vt:lpstr>group_gg_vrli_admins</vt:lpstr>
      <vt:lpstr>group_gg_vrli_users</vt:lpstr>
      <vt:lpstr>group_gg_vrli_viewers</vt:lpstr>
      <vt:lpstr>group_gg_vrops_admins</vt:lpstr>
      <vt:lpstr>group_gg_vrops_content_admins</vt:lpstr>
      <vt:lpstr>group_gg_vrops_read_only</vt:lpstr>
      <vt:lpstr>group_gg_vrslcm_admins</vt:lpstr>
      <vt:lpstr>group_gg_vrslcm_content_developers</vt:lpstr>
      <vt:lpstr>group_gg_vrslcm_release_managers</vt:lpstr>
      <vt:lpstr>group_parent_gg_wsa_admins</vt:lpstr>
      <vt:lpstr>group_parent_gg_wsa_directory_admins</vt:lpstr>
      <vt:lpstr>group_parent_gg_wsa_read_only</vt:lpstr>
      <vt:lpstr>input_air_GPU_network_operator_namespace</vt:lpstr>
      <vt:lpstr>input_air_GPU_operator_namespace</vt:lpstr>
      <vt:lpstr>input_air_GPU_VM_class</vt:lpstr>
      <vt:lpstr>input_air_license</vt:lpstr>
      <vt:lpstr>input_cbr_aria_logs_key</vt:lpstr>
      <vt:lpstr>input_cbr_aria_logs_url</vt:lpstr>
      <vt:lpstr>input_cbr_firewall_group</vt:lpstr>
      <vt:lpstr>input_cbr_firewall_ip_addresses</vt:lpstr>
      <vt:lpstr>input_cbr_firewall_rule_vcenter</vt:lpstr>
      <vt:lpstr>input_cbr_recovery_host_count</vt:lpstr>
      <vt:lpstr>input_cbr_recovery_host_type</vt:lpstr>
      <vt:lpstr>input_cbr_recovery_management_subnet</vt:lpstr>
      <vt:lpstr>input_cbr_recovery_region</vt:lpstr>
      <vt:lpstr>input_cbr_recovery_sddc_name</vt:lpstr>
      <vt:lpstr>input_cbr_recovery_subnet</vt:lpstr>
      <vt:lpstr>input_cbr_recovery_vpc</vt:lpstr>
      <vt:lpstr>input_cbr_vcdr_anti_affinity</vt:lpstr>
      <vt:lpstr>input_cbr_vcdr_cdp1_hostname</vt:lpstr>
      <vt:lpstr>input_cbr_vcdr_cdp1_ip</vt:lpstr>
      <vt:lpstr>input_cbr_vcdr_cdp2_hostname</vt:lpstr>
      <vt:lpstr>input_cbr_vcdr_cdp2_ip</vt:lpstr>
      <vt:lpstr>input_cbr_vcdr_cloud_file_system</vt:lpstr>
      <vt:lpstr>input_cbr_vcdr_email_recipient</vt:lpstr>
      <vt:lpstr>input_cbr_vcdr_email_sender</vt:lpstr>
      <vt:lpstr>input_cbr_vcdr_label</vt:lpstr>
      <vt:lpstr>input_cbr_vcdr_orchestrator_fqdn</vt:lpstr>
      <vt:lpstr>input_cbr_vcdr_ova</vt:lpstr>
      <vt:lpstr>input_cbr_vcdr_passcode</vt:lpstr>
      <vt:lpstr>input_cbr_vcdr_site_name</vt:lpstr>
      <vt:lpstr>input_cbr_vcdr_timezone</vt:lpstr>
      <vt:lpstr>input_cbr_vcdr_vsphere_role</vt:lpstr>
      <vt:lpstr>input_cbr_vm_folder</vt:lpstr>
      <vt:lpstr>input_cbw_hcx_cdp_fqdn</vt:lpstr>
      <vt:lpstr>input_ccm_aws_admin_password</vt:lpstr>
      <vt:lpstr>input_ccm_aws_admin_ssouser</vt:lpstr>
      <vt:lpstr>input_ccm_aws_host_count</vt:lpstr>
      <vt:lpstr>input_ccm_aws_host_type</vt:lpstr>
      <vt:lpstr>input_ccm_aws_management_subnet</vt:lpstr>
      <vt:lpstr>input_ccm_aws_region</vt:lpstr>
      <vt:lpstr>input_ccm_aws_sddc_name</vt:lpstr>
      <vt:lpstr>input_ccm_aws_subnet</vt:lpstr>
      <vt:lpstr>input_ccm_aws_vpc</vt:lpstr>
      <vt:lpstr>input_ccm_firewall_group</vt:lpstr>
      <vt:lpstr>input_ccm_firewall_ip_addresses</vt:lpstr>
      <vt:lpstr>input_ccm_firewall_rule_hcx</vt:lpstr>
      <vt:lpstr>input_ccm_firewall_rule_vcenter</vt:lpstr>
      <vt:lpstr>input_ccm_hcx_admin_password</vt:lpstr>
      <vt:lpstr>input_ccm_hcx_cdp_hostname</vt:lpstr>
      <vt:lpstr>input_ccm_hcx_cdp_ip</vt:lpstr>
      <vt:lpstr>input_ccm_hcx_compute_profile</vt:lpstr>
      <vt:lpstr>input_ccm_hcx_dc_location</vt:lpstr>
      <vt:lpstr>input_ccm_hcx_license</vt:lpstr>
      <vt:lpstr>input_ccm_hcx_mgmt_network_ip_range</vt:lpstr>
      <vt:lpstr>input_ccm_hcx_remote_url</vt:lpstr>
      <vt:lpstr>input_ccm_hcx_resource_pool</vt:lpstr>
      <vt:lpstr>input_ccm_hcx_root_password</vt:lpstr>
      <vt:lpstr>input_ccm_hcx_service_mesh</vt:lpstr>
      <vt:lpstr>input_ccm_hcx_vm_folder</vt:lpstr>
      <vt:lpstr>input_ccm_hcx_vmotion_network_ip_range</vt:lpstr>
      <vt:lpstr>input_ccm_hcx_vsphere_role</vt:lpstr>
      <vt:lpstr>input_ccm_vm_folder</vt:lpstr>
      <vt:lpstr>input_child_ad_groups_ou</vt:lpstr>
      <vt:lpstr>input_child_ad_users_ou</vt:lpstr>
      <vt:lpstr>input_child_dns_zone</vt:lpstr>
      <vt:lpstr>input_child_svc_nsx_ad_password</vt:lpstr>
      <vt:lpstr>input_child_svc_nsx_ad_user</vt:lpstr>
      <vt:lpstr>input_child_svc_vsphere_ad_password</vt:lpstr>
      <vt:lpstr>input_child_svc_vsphere_ad_user</vt:lpstr>
      <vt:lpstr>input_cluster_vsan_type_non_vsan_storage</vt:lpstr>
      <vt:lpstr>input_cluster_vsan_type_with_client_network</vt:lpstr>
      <vt:lpstr>input_cluster_vsan_type_without_client_network</vt:lpstr>
      <vt:lpstr>input_domain_controller_hostname</vt:lpstr>
      <vt:lpstr>input_gg_kub_admins_group</vt:lpstr>
      <vt:lpstr>input_gg_kub_readonly_group</vt:lpstr>
      <vt:lpstr>input_gg_nsx_auditors_group</vt:lpstr>
      <vt:lpstr>input_gg_nsx_enterprise_admins_group</vt:lpstr>
      <vt:lpstr>input_gg_nsx_network_admins_group</vt:lpstr>
      <vt:lpstr>input_gg_sso_admins_group</vt:lpstr>
      <vt:lpstr>input_gg_vc_admins_group</vt:lpstr>
      <vt:lpstr>input_gg_vc_read_only_group</vt:lpstr>
      <vt:lpstr>input_gg_vcf_admins_group</vt:lpstr>
      <vt:lpstr>input_gg_vcf_operators_group</vt:lpstr>
      <vt:lpstr>input_gg_vcf_viewers_group</vt:lpstr>
      <vt:lpstr>input_gg_vra_cloud_assembly_admins_group</vt:lpstr>
      <vt:lpstr>input_gg_vra_cloud_assembly_users_group</vt:lpstr>
      <vt:lpstr>input_gg_vra_cloud_assembly_viewers_group</vt:lpstr>
      <vt:lpstr>input_gg_vra_orchestrator_admins_group</vt:lpstr>
      <vt:lpstr>input_gg_vra_orchestrator_designers_group</vt:lpstr>
      <vt:lpstr>input_gg_vra_orchestrator_viewers_group</vt:lpstr>
      <vt:lpstr>input_gg_vra_org_owners_group</vt:lpstr>
      <vt:lpstr>input_gg_vra_project_admins_sample_group</vt:lpstr>
      <vt:lpstr>input_gg_vra_project_users_sample_group</vt:lpstr>
      <vt:lpstr>input_gg_vra_service_broker_admins_group</vt:lpstr>
      <vt:lpstr>input_gg_vra_service_broker_users_group</vt:lpstr>
      <vt:lpstr>input_gg_vra_service_broker_viewers_group</vt:lpstr>
      <vt:lpstr>input_gg_vrli_admins_group</vt:lpstr>
      <vt:lpstr>input_gg_vrli_users_group</vt:lpstr>
      <vt:lpstr>input_gg_vrli_viewers_group</vt:lpstr>
      <vt:lpstr>input_gg_vrni_admin_group</vt:lpstr>
      <vt:lpstr>input_gg_vrni_auditor_group</vt:lpstr>
      <vt:lpstr>input_gg_vrni_member_group</vt:lpstr>
      <vt:lpstr>input_gg_vrops_admins_group</vt:lpstr>
      <vt:lpstr>input_gg_vrops_content_admins_group</vt:lpstr>
      <vt:lpstr>input_gg_vrops_read_only_group</vt:lpstr>
      <vt:lpstr>input_gg_vrslcm_admins_group</vt:lpstr>
      <vt:lpstr>input_gg_vrslcm_content_developers_group</vt:lpstr>
      <vt:lpstr>input_gg_vrslcm_release_managers_group</vt:lpstr>
      <vt:lpstr>input_k8s_cluster_name</vt:lpstr>
      <vt:lpstr>input_k8s_ip_prefixlist</vt:lpstr>
      <vt:lpstr>input_k8s_ip_routemap</vt:lpstr>
      <vt:lpstr>input_k8s_kubectl_path</vt:lpstr>
      <vt:lpstr>input_k8s_mgmt_seg</vt:lpstr>
      <vt:lpstr>input_k8s_namepsace</vt:lpstr>
      <vt:lpstr>input_k8s_tanzu_k8s_cluster_pod_pool_cidr</vt:lpstr>
      <vt:lpstr>input_k8s_tanzu_k8s_cluster_service_pool_cidr</vt:lpstr>
      <vt:lpstr>input_k8s_vcenter_category</vt:lpstr>
      <vt:lpstr>input_k8s_vcenter_content_library</vt:lpstr>
      <vt:lpstr>input_k8s_vcenter_storage_policy</vt:lpstr>
      <vt:lpstr>input_k8s_vcenter_tag</vt:lpstr>
      <vt:lpstr>input_k8s_vm_class</vt:lpstr>
      <vt:lpstr>input_mgmt_az1_host_overlay_network_pool_description</vt:lpstr>
      <vt:lpstr>input_mgmt_az1_host_overlay_network_pool_name</vt:lpstr>
      <vt:lpstr>input_mgmt_az1_host1_vrms_ip</vt:lpstr>
      <vt:lpstr>input_mgmt_az1_host10_vrms_ip</vt:lpstr>
      <vt:lpstr>input_mgmt_az1_host11_vrms_ip</vt:lpstr>
      <vt:lpstr>input_mgmt_az1_host12_vrms_ip</vt:lpstr>
      <vt:lpstr>input_mgmt_az1_host13_vrms_ip</vt:lpstr>
      <vt:lpstr>input_mgmt_az1_host14_vrms_ip</vt:lpstr>
      <vt:lpstr>input_mgmt_az1_host15_vrms_ip</vt:lpstr>
      <vt:lpstr>input_mgmt_az1_host16_vrms_ip</vt:lpstr>
      <vt:lpstr>input_mgmt_az1_host2_vrms_ip</vt:lpstr>
      <vt:lpstr>input_mgmt_az1_host3_vrms_ip</vt:lpstr>
      <vt:lpstr>input_mgmt_az1_host4_vrms_ip</vt:lpstr>
      <vt:lpstr>input_mgmt_az1_host5_vrms_ip</vt:lpstr>
      <vt:lpstr>input_mgmt_az1_host6_vrms_ip</vt:lpstr>
      <vt:lpstr>input_mgmt_az1_host7_vrms_ip</vt:lpstr>
      <vt:lpstr>input_mgmt_az1_host8_vrms_ip</vt:lpstr>
      <vt:lpstr>input_mgmt_az1_host9_vrms_ip</vt:lpstr>
      <vt:lpstr>input_mgmt_az1_vrms_mask</vt:lpstr>
      <vt:lpstr>input_mgmt_az1_vrms_mtu</vt:lpstr>
      <vt:lpstr>input_mgmt_az1_vrms_vlan</vt:lpstr>
      <vt:lpstr>input_mgmt_az2_host1_vrms_ip</vt:lpstr>
      <vt:lpstr>input_mgmt_az2_host10_vrms_ip</vt:lpstr>
      <vt:lpstr>input_mgmt_az2_host11_vrms_ip</vt:lpstr>
      <vt:lpstr>input_mgmt_az2_host12_vrms_ip</vt:lpstr>
      <vt:lpstr>input_mgmt_az2_host13_vrms_ip</vt:lpstr>
      <vt:lpstr>input_mgmt_az2_host14_vrms_ip</vt:lpstr>
      <vt:lpstr>input_mgmt_az2_host15_vrms_ip</vt:lpstr>
      <vt:lpstr>input_mgmt_az2_host16_vrms_ip</vt:lpstr>
      <vt:lpstr>input_mgmt_az2_host2_vrms_ip</vt:lpstr>
      <vt:lpstr>input_mgmt_az2_host3_vrms_ip</vt:lpstr>
      <vt:lpstr>input_mgmt_az2_host4_vrms_ip</vt:lpstr>
      <vt:lpstr>input_mgmt_az2_host5_vrms_ip</vt:lpstr>
      <vt:lpstr>input_mgmt_az2_host6_vrms_ip</vt:lpstr>
      <vt:lpstr>input_mgmt_az2_host7_vrms_ip</vt:lpstr>
      <vt:lpstr>input_mgmt_az2_host8_vrms_ip</vt:lpstr>
      <vt:lpstr>input_mgmt_az2_host9_vrms_ip</vt:lpstr>
      <vt:lpstr>input_mgmt_host_overlay_transportzone</vt:lpstr>
      <vt:lpstr>input_mgmt_recovery_lb_creation_method</vt:lpstr>
      <vt:lpstr>input_mgmt_rwr_recovery_site_az1_mgmt_cidr</vt:lpstr>
      <vt:lpstr>input_mgmt_rwr_vc_fqdn</vt:lpstr>
      <vt:lpstr>input_mgmt_srm_admin_email</vt:lpstr>
      <vt:lpstr>input_mgmt_srm_admin_password</vt:lpstr>
      <vt:lpstr>input_mgmt_srm_database_password</vt:lpstr>
      <vt:lpstr>input_mgmt_srm_days</vt:lpstr>
      <vt:lpstr>input_mgmt_srm_instances_per_day</vt:lpstr>
      <vt:lpstr>input_mgmt_srm_ip</vt:lpstr>
      <vt:lpstr>input_mgmt_srm_logs_pg</vt:lpstr>
      <vt:lpstr>input_mgmt_srm_logs_rp</vt:lpstr>
      <vt:lpstr>input_mgmt_srm_net_pg</vt:lpstr>
      <vt:lpstr>input_mgmt_srm_net_rp</vt:lpstr>
      <vt:lpstr>input_mgmt_srm_p12_password</vt:lpstr>
      <vt:lpstr>input_mgmt_srm_recovery_cluster</vt:lpstr>
      <vt:lpstr>input_mgmt_srm_recovery_datastore</vt:lpstr>
      <vt:lpstr>input_mgmt_srm_recovery_gateway</vt:lpstr>
      <vt:lpstr>input_mgmt_srm_recovery_mask</vt:lpstr>
      <vt:lpstr>input_mgmt_srm_recovery_nsx_ec_name</vt:lpstr>
      <vt:lpstr>input_mgmt_srm_recovery_nsx_location</vt:lpstr>
      <vt:lpstr>input_mgmt_srm_recovery_pg</vt:lpstr>
      <vt:lpstr>input_mgmt_srm_recovery_sddc_manager_domain</vt:lpstr>
      <vt:lpstr>input_mgmt_srm_recovery_sddc_manager_fqdn</vt:lpstr>
      <vt:lpstr>input_mgmt_srm_recovery_sddc_manager_password</vt:lpstr>
      <vt:lpstr>input_mgmt_srm_recovery_sddc_manager_username</vt:lpstr>
      <vt:lpstr>input_mgmt_srm_recovery_t1_si_ip</vt:lpstr>
      <vt:lpstr>input_mgmt_srm_recovery_vcenter_fqdn</vt:lpstr>
      <vt:lpstr>input_mgmt_srm_recovery_vcenter_password</vt:lpstr>
      <vt:lpstr>input_mgmt_srm_recovery_vcenter_username</vt:lpstr>
      <vt:lpstr>input_mgmt_srm_root_password</vt:lpstr>
      <vt:lpstr>input_mgmt_srm_rpo</vt:lpstr>
      <vt:lpstr>input_mgmt_srm_site_name</vt:lpstr>
      <vt:lpstr>input_mgmt_srm_sso_domain_membership</vt:lpstr>
      <vt:lpstr>input_mgmt_srm_vm_folder</vt:lpstr>
      <vt:lpstr>input_mgmt_srm_vra_pg</vt:lpstr>
      <vt:lpstr>input_mgmt_srm_vra_rp</vt:lpstr>
      <vt:lpstr>input_mgmt_srm_vrops_pg</vt:lpstr>
      <vt:lpstr>input_mgmt_srm_vrops_rp</vt:lpstr>
      <vt:lpstr>input_mgmt_srm_vrslcm_wsa_pg</vt:lpstr>
      <vt:lpstr>input_mgmt_srm_vrslcm_wsa_rp</vt:lpstr>
      <vt:lpstr>input_mgmt_tier1_name</vt:lpstr>
      <vt:lpstr>input_mgmt_vrms_admin_email</vt:lpstr>
      <vt:lpstr>input_mgmt_vrms_admin_password</vt:lpstr>
      <vt:lpstr>input_mgmt_vrms_hostname</vt:lpstr>
      <vt:lpstr>input_mgmt_vrms_mgmt_ip</vt:lpstr>
      <vt:lpstr>input_mgmt_vrms_p12_password</vt:lpstr>
      <vt:lpstr>input_mgmt_vrms_pg</vt:lpstr>
      <vt:lpstr>input_mgmt_vrms_recovery_replication_cidr</vt:lpstr>
      <vt:lpstr>input_mgmt_vrms_root_password</vt:lpstr>
      <vt:lpstr>input_mgmt_vrms_site_name</vt:lpstr>
      <vt:lpstr>input_mgmt_vrms_vm_folder</vt:lpstr>
      <vt:lpstr>input_mgmt_vrms_vrms_ip</vt:lpstr>
      <vt:lpstr>input_parent_ad_groups_ou</vt:lpstr>
      <vt:lpstr>input_parent_ad_users_ou</vt:lpstr>
      <vt:lpstr>input_parent_gg_wsa_admins_group</vt:lpstr>
      <vt:lpstr>input_parent_gg_wsa_directory_admins_group</vt:lpstr>
      <vt:lpstr>input_parent_gg_wsa_read_only_group</vt:lpstr>
      <vt:lpstr>input_region_ad_child_fqdn</vt:lpstr>
      <vt:lpstr>input_region_ad_child_netbios</vt:lpstr>
      <vt:lpstr>input_region_ad_parent_fqdn</vt:lpstr>
      <vt:lpstr>input_region_ad_parent_netbios</vt:lpstr>
      <vt:lpstr>input_rwr_child_dns_zone</vt:lpstr>
      <vt:lpstr>input_rwr_datacenter</vt:lpstr>
      <vt:lpstr>input_rwr_sso_domain_name</vt:lpstr>
      <vt:lpstr>input_rwr_vlr_replication_password</vt:lpstr>
      <vt:lpstr>input_rwr_vrms_pg</vt:lpstr>
      <vt:lpstr>input_smtp_server</vt:lpstr>
      <vt:lpstr>input_smtp_server_port</vt:lpstr>
      <vt:lpstr>input_svc_cbr_vcdr_vsphere_password</vt:lpstr>
      <vt:lpstr>input_svc_cbr_vcdr_vsphere_user</vt:lpstr>
      <vt:lpstr>input_svc_ccm_hcx_nsx_password</vt:lpstr>
      <vt:lpstr>input_svc_ccm_hcx_nsx_user</vt:lpstr>
      <vt:lpstr>input_svc_ccm_hcx_vsphere_password</vt:lpstr>
      <vt:lpstr>input_svc_ccm_hcx_vsphere_user</vt:lpstr>
      <vt:lpstr>input_svc_hrm_vrops_user</vt:lpstr>
      <vt:lpstr>input_svc_ila_ad_password</vt:lpstr>
      <vt:lpstr>input_svc_ila_ad_user</vt:lpstr>
      <vt:lpstr>input_svc_inv_ad_password</vt:lpstr>
      <vt:lpstr>input_svc_inv_ad_user</vt:lpstr>
      <vt:lpstr>input_svc_inv_vrops_password</vt:lpstr>
      <vt:lpstr>input_svc_inv_vrops_user</vt:lpstr>
      <vt:lpstr>input_svc_inv_vsphere_password</vt:lpstr>
      <vt:lpstr>input_svc_inv_vsphere_user</vt:lpstr>
      <vt:lpstr>input_svc_iom_vcf_password</vt:lpstr>
      <vt:lpstr>input_svc_iom_vcf_user</vt:lpstr>
      <vt:lpstr>input_svc_iom_vsphere_password</vt:lpstr>
      <vt:lpstr>input_svc_iom_vsphere_user</vt:lpstr>
      <vt:lpstr>input_svc_vra_nsx_password</vt:lpstr>
      <vt:lpstr>input_svc_vra_nsx_user</vt:lpstr>
      <vt:lpstr>input_svc_vra_vcf_password</vt:lpstr>
      <vt:lpstr>input_svc_vra_vcf_user</vt:lpstr>
      <vt:lpstr>input_svc_vra_vrops_password</vt:lpstr>
      <vt:lpstr>input_svc_vra_vrops_user</vt:lpstr>
      <vt:lpstr>input_svc_vra_vsphere_password</vt:lpstr>
      <vt:lpstr>input_svc_vra_vsphere_user</vt:lpstr>
      <vt:lpstr>input_svc_vro_vsphere_password</vt:lpstr>
      <vt:lpstr>input_svc_vro_vsphere_user</vt:lpstr>
      <vt:lpstr>input_svc_vrops_vra_password</vt:lpstr>
      <vt:lpstr>input_svc_vrops_vra_user</vt:lpstr>
      <vt:lpstr>input_vcf_automation_additional_vips</vt:lpstr>
      <vt:lpstr>input_vcf_automation_admin_password_alias</vt:lpstr>
      <vt:lpstr>input_vcf_automation_admin_password_description</vt:lpstr>
      <vt:lpstr>input_vcf_automation_admin_username</vt:lpstr>
      <vt:lpstr>input_vcf_automation_cert_alias</vt:lpstr>
      <vt:lpstr>input_vcf_automation_cert_common_name</vt:lpstr>
      <vt:lpstr>input_vcf_automation_cert_country_code</vt:lpstr>
      <vt:lpstr>input_vcf_automation_cert_file</vt:lpstr>
      <vt:lpstr>input_vcf_automation_cert_locality</vt:lpstr>
      <vt:lpstr>input_vcf_automation_cert_organisation</vt:lpstr>
      <vt:lpstr>input_vcf_automation_cert_state</vt:lpstr>
      <vt:lpstr>input_vcf_automation_folder</vt:lpstr>
      <vt:lpstr>input_vcf_automation_gateway_ip</vt:lpstr>
      <vt:lpstr>input_vcf_automation_mask</vt:lpstr>
      <vt:lpstr>input_vcf_automation_nodea_ip</vt:lpstr>
      <vt:lpstr>input_vcf_automation_nodeb_ip</vt:lpstr>
      <vt:lpstr>input_vcf_automation_nodec_ip</vt:lpstr>
      <vt:lpstr>input_vcf_automation_noded_ip</vt:lpstr>
      <vt:lpstr>input_vcf_automation_nodee_ip</vt:lpstr>
      <vt:lpstr>input_vcf_automation_nodeef_ip</vt:lpstr>
      <vt:lpstr>input_vcf_automation_ou_cert</vt:lpstr>
      <vt:lpstr>input_vcf_automation_portgroup</vt:lpstr>
      <vt:lpstr>input_vcf_automation_resource_pool</vt:lpstr>
      <vt:lpstr>input_vcf_automation_root_password</vt:lpstr>
      <vt:lpstr>input_vcf_automation_root_password_alias</vt:lpstr>
      <vt:lpstr>input_vcf_automation_root_password_description</vt:lpstr>
      <vt:lpstr>input_vcf_automation_root_username</vt:lpstr>
      <vt:lpstr>input_vvs_dr_dns1_ip</vt:lpstr>
      <vt:lpstr>input_vvs_dr_dns2_ip</vt:lpstr>
      <vt:lpstr>input_vvs_dr_flt_auto_fqdn</vt:lpstr>
      <vt:lpstr>input_vvs_dr_flt_fleet_manager_fqdn</vt:lpstr>
      <vt:lpstr>input_vvs_dr_flt_logs_nodea_fqdn</vt:lpstr>
      <vt:lpstr>input_vvs_dr_flt_logs_nodeb_fqdn</vt:lpstr>
      <vt:lpstr>input_vvs_dr_flt_logs_nodec_fqdn</vt:lpstr>
      <vt:lpstr>input_vvs_dr_flt_net_nodea_fqdn</vt:lpstr>
      <vt:lpstr>input_vvs_dr_flt_net_nodeb_fqdn</vt:lpstr>
      <vt:lpstr>input_vvs_dr_flt_net_nodec_fqdn</vt:lpstr>
      <vt:lpstr>input_vvs_dr_flt_ops_nodea_fqdn</vt:lpstr>
      <vt:lpstr>input_vvs_dr_flt_ops_nodeb_fqdn</vt:lpstr>
      <vt:lpstr>input_vvs_dr_flt_ops_nodec_fqdn</vt:lpstr>
      <vt:lpstr>input_vvs_dr_mgmt_az1_mgmt_vm_pg</vt:lpstr>
      <vt:lpstr>input_vvs_dr_mgmt_cl01_cluster</vt:lpstr>
      <vt:lpstr>input_vvs_dr_mgmt_cl01_datastore</vt:lpstr>
      <vt:lpstr>input_vvs_dr_mgmt_vc_fqdn</vt:lpstr>
      <vt:lpstr>input_vvs_dr_ntp1_server</vt:lpstr>
      <vt:lpstr>input_vvs_dr_parent_dns_zone</vt:lpstr>
      <vt:lpstr>input_vvs_dr_sso_domain</vt:lpstr>
      <vt:lpstr>input_vvs_dr_vr_password</vt:lpstr>
      <vt:lpstr>input_vvs_dr_vr_username</vt:lpstr>
      <vt:lpstr>input_vvs_mgmt_dr_vlr_fqdn</vt:lpstr>
      <vt:lpstr>input_vvs_mgmt_dr_vlr_hostname</vt:lpstr>
      <vt:lpstr>input_witness_dns_zone</vt:lpstr>
      <vt:lpstr>input_wld_az1_host1_vrms_ip</vt:lpstr>
      <vt:lpstr>input_wld_az1_host10_vrms_ip</vt:lpstr>
      <vt:lpstr>input_wld_az1_host11_vrms_ip</vt:lpstr>
      <vt:lpstr>input_wld_az1_host12_vrms_ip</vt:lpstr>
      <vt:lpstr>input_wld_az1_host13_vrms_ip</vt:lpstr>
      <vt:lpstr>input_wld_az1_host14_vrms_ip</vt:lpstr>
      <vt:lpstr>input_wld_az1_host15_vrms_ip</vt:lpstr>
      <vt:lpstr>input_wld_az1_host16_vrms_ip</vt:lpstr>
      <vt:lpstr>input_wld_az1_host2_vrms_ip</vt:lpstr>
      <vt:lpstr>input_wld_az1_host3_vrms_ip</vt:lpstr>
      <vt:lpstr>input_wld_az1_host4_vrms_ip</vt:lpstr>
      <vt:lpstr>input_wld_az1_host5_vrms_ip</vt:lpstr>
      <vt:lpstr>input_wld_az1_host6_vrms_ip</vt:lpstr>
      <vt:lpstr>input_wld_az1_host7_vrms_ip</vt:lpstr>
      <vt:lpstr>input_wld_az1_host8_vrms_ip</vt:lpstr>
      <vt:lpstr>input_wld_az1_host9_vrms_ip</vt:lpstr>
      <vt:lpstr>input_wld_az1_rack2_edge_overlay_gateway_ip</vt:lpstr>
      <vt:lpstr>input_wld_az1_rack2_edge_overlay_mask</vt:lpstr>
      <vt:lpstr>input_wld_az1_rack2_edge_overlay_mtu</vt:lpstr>
      <vt:lpstr>input_wld_az1_rack2_edge_overlay_network</vt:lpstr>
      <vt:lpstr>input_wld_az1_rack2_edge_overlay_pool_end_ip</vt:lpstr>
      <vt:lpstr>input_wld_az1_rack2_edge_overlay_pool_start_ip</vt:lpstr>
      <vt:lpstr>input_wld_az1_rack2_edge_overlay_vlan</vt:lpstr>
      <vt:lpstr>input_wld_az1_rack2_host_overlay_cidr</vt:lpstr>
      <vt:lpstr>input_wld_az1_rack2_mgmt_vm_cidr</vt:lpstr>
      <vt:lpstr>input_wld_az1_rack2_mgmt_vm_gateway_ip</vt:lpstr>
      <vt:lpstr>input_wld_az1_rack2_mgmt_vm_mtu</vt:lpstr>
      <vt:lpstr>input_wld_az1_rack2_mgmt_vm_vlan</vt:lpstr>
      <vt:lpstr>input_wld_az1_rack2_principal_storage_cidr</vt:lpstr>
      <vt:lpstr>input_wld_az1_rack2_secondary_storage_cidr</vt:lpstr>
      <vt:lpstr>input_wld_az1_rack2_secondary_storage_gateway_ip</vt:lpstr>
      <vt:lpstr>input_wld_az1_rack2_secondary_storage_mask</vt:lpstr>
      <vt:lpstr>input_wld_az1_rack2_secondary_storage_mtu</vt:lpstr>
      <vt:lpstr>input_wld_az1_rack2_secondary_storage_network</vt:lpstr>
      <vt:lpstr>input_wld_az1_rack2_secondary_storage_pool_end_ip</vt:lpstr>
      <vt:lpstr>input_wld_az1_rack2_secondary_storage_pool_start_ip</vt:lpstr>
      <vt:lpstr>input_wld_az1_rack2_secondary_storage_vlan</vt:lpstr>
      <vt:lpstr>input_wld_az1_rack2_tor1_peer_asn</vt:lpstr>
      <vt:lpstr>input_wld_az1_rack2_tor1_peer_bgp_password</vt:lpstr>
      <vt:lpstr>input_wld_az1_rack2_tor1_peer_ip</vt:lpstr>
      <vt:lpstr>input_wld_az1_rack2_tor2_peer_asn</vt:lpstr>
      <vt:lpstr>input_wld_az1_rack2_tor2_peer_bgp_password</vt:lpstr>
      <vt:lpstr>input_wld_az1_rack2_tor2_peer_ip</vt:lpstr>
      <vt:lpstr>input_wld_az1_rack2_uplink01_gateway_ip</vt:lpstr>
      <vt:lpstr>input_wld_az1_rack2_uplink01_mask</vt:lpstr>
      <vt:lpstr>input_wld_az1_rack2_uplink01_mtu</vt:lpstr>
      <vt:lpstr>input_wld_az1_rack2_uplink01_network</vt:lpstr>
      <vt:lpstr>input_wld_az1_rack2_uplink01_vlan</vt:lpstr>
      <vt:lpstr>input_wld_az1_rack2_uplink02_gateway_ip</vt:lpstr>
      <vt:lpstr>input_wld_az1_rack2_uplink02_mask</vt:lpstr>
      <vt:lpstr>input_wld_az1_rack2_uplink02_mtu</vt:lpstr>
      <vt:lpstr>input_wld_az1_rack2_uplink02_network</vt:lpstr>
      <vt:lpstr>input_wld_az1_rack2_uplink02_vlan</vt:lpstr>
      <vt:lpstr>input_wld_az1_rack2_vmotion_cidr</vt:lpstr>
      <vt:lpstr>input_wld_az1_rack3_edge_overlay_gateway_ip</vt:lpstr>
      <vt:lpstr>input_wld_az1_rack3_edge_overlay_mask</vt:lpstr>
      <vt:lpstr>input_wld_az1_rack3_edge_overlay_mtu</vt:lpstr>
      <vt:lpstr>input_wld_az1_rack3_edge_overlay_network</vt:lpstr>
      <vt:lpstr>input_wld_az1_rack3_edge_overlay_pool_end_ip</vt:lpstr>
      <vt:lpstr>input_wld_az1_rack3_edge_overlay_pool_start_ip</vt:lpstr>
      <vt:lpstr>input_wld_az1_rack3_edge_overlay_vlan</vt:lpstr>
      <vt:lpstr>input_wld_az1_rack3_host_overlay_cidr</vt:lpstr>
      <vt:lpstr>input_wld_az1_rack3_mgmt_vm_cidr</vt:lpstr>
      <vt:lpstr>input_wld_az1_rack3_mgmt_vm_gateway_ip</vt:lpstr>
      <vt:lpstr>input_wld_az1_rack3_mgmt_vm_mtu</vt:lpstr>
      <vt:lpstr>input_wld_az1_rack3_mgmt_vm_vlan</vt:lpstr>
      <vt:lpstr>input_wld_az1_rack3_principal_storage_cidr</vt:lpstr>
      <vt:lpstr>input_wld_az1_rack3_secondary_storage_cidr</vt:lpstr>
      <vt:lpstr>input_wld_az1_rack3_secondary_storage_gateway_ip</vt:lpstr>
      <vt:lpstr>input_wld_az1_rack3_secondary_storage_mask</vt:lpstr>
      <vt:lpstr>input_wld_az1_rack3_secondary_storage_mtu</vt:lpstr>
      <vt:lpstr>input_wld_az1_rack3_secondary_storage_network</vt:lpstr>
      <vt:lpstr>input_wld_az1_rack3_secondary_storage_pool_end_ip</vt:lpstr>
      <vt:lpstr>input_wld_az1_rack3_secondary_storage_pool_start_ip</vt:lpstr>
      <vt:lpstr>input_wld_az1_rack3_secondary_storage_vlan</vt:lpstr>
      <vt:lpstr>input_wld_az1_rack3_tor1_peer_asn</vt:lpstr>
      <vt:lpstr>input_wld_az1_rack3_tor1_peer_bgp_password</vt:lpstr>
      <vt:lpstr>input_wld_az1_rack3_tor1_peer_ip</vt:lpstr>
      <vt:lpstr>input_wld_az1_rack3_tor2_peer_asn</vt:lpstr>
      <vt:lpstr>input_wld_az1_rack3_tor2_peer_bgp_password</vt:lpstr>
      <vt:lpstr>input_wld_az1_rack3_tor2_peer_ip</vt:lpstr>
      <vt:lpstr>input_wld_az1_rack3_uplink01_gateway_ip</vt:lpstr>
      <vt:lpstr>input_wld_az1_rack3_uplink01_mask</vt:lpstr>
      <vt:lpstr>input_wld_az1_rack3_uplink01_mtu</vt:lpstr>
      <vt:lpstr>input_wld_az1_rack3_uplink01_network</vt:lpstr>
      <vt:lpstr>input_wld_az1_rack3_uplink01_vlan</vt:lpstr>
      <vt:lpstr>input_wld_az1_rack3_uplink02_gateway_ip</vt:lpstr>
      <vt:lpstr>input_wld_az1_rack3_uplink02_mask</vt:lpstr>
      <vt:lpstr>input_wld_az1_rack3_uplink02_mtu</vt:lpstr>
      <vt:lpstr>input_wld_az1_rack3_uplink02_network</vt:lpstr>
      <vt:lpstr>input_wld_az1_rack3_uplink02_vlan</vt:lpstr>
      <vt:lpstr>input_wld_az1_rack3_vmotion_cidr</vt:lpstr>
      <vt:lpstr>input_wld_az1_rack4_edge_overlay_gateway_ip</vt:lpstr>
      <vt:lpstr>input_wld_az1_rack4_edge_overlay_mask</vt:lpstr>
      <vt:lpstr>input_wld_az1_rack4_edge_overlay_mtu</vt:lpstr>
      <vt:lpstr>input_wld_az1_rack4_edge_overlay_network</vt:lpstr>
      <vt:lpstr>input_wld_az1_rack4_edge_overlay_pool_end_ip</vt:lpstr>
      <vt:lpstr>input_wld_az1_rack4_edge_overlay_pool_start_ip</vt:lpstr>
      <vt:lpstr>input_wld_az1_rack4_edge_overlay_vlan</vt:lpstr>
      <vt:lpstr>input_wld_az1_rack4_host_overlay_cidr</vt:lpstr>
      <vt:lpstr>input_wld_az1_rack4_mgmt_vm_cidr</vt:lpstr>
      <vt:lpstr>input_wld_az1_rack4_mgmt_vm_gateway_ip</vt:lpstr>
      <vt:lpstr>input_wld_az1_rack4_mgmt_vm_mtu</vt:lpstr>
      <vt:lpstr>input_wld_az1_rack4_mgmt_vm_vlan</vt:lpstr>
      <vt:lpstr>input_wld_az1_rack4_principal_storage_cidr</vt:lpstr>
      <vt:lpstr>input_wld_az1_rack4_secondary_storage_cidr</vt:lpstr>
      <vt:lpstr>input_wld_az1_rack4_secondary_storage_gateway_ip</vt:lpstr>
      <vt:lpstr>input_wld_az1_rack4_secondary_storage_mask</vt:lpstr>
      <vt:lpstr>input_wld_az1_rack4_secondary_storage_mtu</vt:lpstr>
      <vt:lpstr>input_wld_az1_rack4_secondary_storage_network</vt:lpstr>
      <vt:lpstr>input_wld_az1_rack4_secondary_storage_pool_end_ip</vt:lpstr>
      <vt:lpstr>input_wld_az1_rack4_secondary_storage_pool_start_ip</vt:lpstr>
      <vt:lpstr>input_wld_az1_rack4_secondary_storage_vlan</vt:lpstr>
      <vt:lpstr>input_wld_az1_rack4_tor1_peer_asn</vt:lpstr>
      <vt:lpstr>input_wld_az1_rack4_tor1_peer_bgp_password</vt:lpstr>
      <vt:lpstr>input_wld_az1_rack4_tor1_peer_ip</vt:lpstr>
      <vt:lpstr>input_wld_az1_rack4_tor2_peer_asn</vt:lpstr>
      <vt:lpstr>input_wld_az1_rack4_tor2_peer_bgp_password</vt:lpstr>
      <vt:lpstr>input_wld_az1_rack4_tor2_peer_ip</vt:lpstr>
      <vt:lpstr>input_wld_az1_rack4_uplink01_gateway_ip</vt:lpstr>
      <vt:lpstr>input_wld_az1_rack4_uplink01_mask</vt:lpstr>
      <vt:lpstr>input_wld_az1_rack4_uplink01_mtu</vt:lpstr>
      <vt:lpstr>input_wld_az1_rack4_uplink01_network</vt:lpstr>
      <vt:lpstr>input_wld_az1_rack4_uplink01_vlan</vt:lpstr>
      <vt:lpstr>input_wld_az1_rack4_uplink02_gateway_ip</vt:lpstr>
      <vt:lpstr>input_wld_az1_rack4_uplink02_mask</vt:lpstr>
      <vt:lpstr>input_wld_az1_rack4_uplink02_mtu</vt:lpstr>
      <vt:lpstr>input_wld_az1_rack4_uplink02_network</vt:lpstr>
      <vt:lpstr>input_wld_az1_rack4_uplink02_vlan</vt:lpstr>
      <vt:lpstr>input_wld_az1_rack4_vmotion_cidr</vt:lpstr>
      <vt:lpstr>input_wld_az1_rack5_edge_overlay_gateway_ip</vt:lpstr>
      <vt:lpstr>input_wld_az1_rack5_edge_overlay_mask</vt:lpstr>
      <vt:lpstr>input_wld_az1_rack5_edge_overlay_mtu</vt:lpstr>
      <vt:lpstr>input_wld_az1_rack5_edge_overlay_network</vt:lpstr>
      <vt:lpstr>input_wld_az1_rack5_edge_overlay_pool_end_ip</vt:lpstr>
      <vt:lpstr>input_wld_az1_rack5_edge_overlay_pool_start_ip</vt:lpstr>
      <vt:lpstr>input_wld_az1_rack5_edge_overlay_vlan</vt:lpstr>
      <vt:lpstr>input_wld_az1_rack5_host_overlay_cidr</vt:lpstr>
      <vt:lpstr>input_wld_az1_rack5_mgmt_vm_cidr</vt:lpstr>
      <vt:lpstr>input_wld_az1_rack5_mgmt_vm_gateway_ip</vt:lpstr>
      <vt:lpstr>input_wld_az1_rack5_mgmt_vm_mtu</vt:lpstr>
      <vt:lpstr>input_wld_az1_rack5_mgmt_vm_vlan</vt:lpstr>
      <vt:lpstr>input_wld_az1_rack5_principal_storage_cidr</vt:lpstr>
      <vt:lpstr>input_wld_az1_rack5_secondary_storage_cidr</vt:lpstr>
      <vt:lpstr>input_wld_az1_rack5_secondary_storage_gateway_ip</vt:lpstr>
      <vt:lpstr>input_wld_az1_rack5_secondary_storage_mask</vt:lpstr>
      <vt:lpstr>input_wld_az1_rack5_secondary_storage_mtu</vt:lpstr>
      <vt:lpstr>input_wld_az1_rack5_secondary_storage_network</vt:lpstr>
      <vt:lpstr>input_wld_az1_rack5_secondary_storage_pool_end_ip</vt:lpstr>
      <vt:lpstr>input_wld_az1_rack5_secondary_storage_pool_start_ip</vt:lpstr>
      <vt:lpstr>input_wld_az1_rack5_secondary_storage_vlan</vt:lpstr>
      <vt:lpstr>input_wld_az1_rack5_tor1_peer_asn</vt:lpstr>
      <vt:lpstr>input_wld_az1_rack5_tor1_peer_bgp_password</vt:lpstr>
      <vt:lpstr>input_wld_az1_rack5_tor1_peer_ip</vt:lpstr>
      <vt:lpstr>input_wld_az1_rack5_tor2_peer_asn</vt:lpstr>
      <vt:lpstr>input_wld_az1_rack5_tor2_peer_bgp_password</vt:lpstr>
      <vt:lpstr>input_wld_az1_rack5_tor2_peer_ip</vt:lpstr>
      <vt:lpstr>input_wld_az1_rack5_uplink01_gateway_ip</vt:lpstr>
      <vt:lpstr>input_wld_az1_rack5_uplink01_mask</vt:lpstr>
      <vt:lpstr>input_wld_az1_rack5_uplink01_mtu</vt:lpstr>
      <vt:lpstr>input_wld_az1_rack5_uplink01_network</vt:lpstr>
      <vt:lpstr>input_wld_az1_rack5_uplink01_vlan</vt:lpstr>
      <vt:lpstr>input_wld_az1_rack5_uplink02_gateway_ip</vt:lpstr>
      <vt:lpstr>input_wld_az1_rack5_uplink02_mask</vt:lpstr>
      <vt:lpstr>input_wld_az1_rack5_uplink02_mtu</vt:lpstr>
      <vt:lpstr>input_wld_az1_rack5_uplink02_network</vt:lpstr>
      <vt:lpstr>input_wld_az1_rack5_uplink02_vlan</vt:lpstr>
      <vt:lpstr>input_wld_az1_rack5_vmotion_cidr</vt:lpstr>
      <vt:lpstr>input_wld_az1_rack6_edge_overlay_gateway_ip</vt:lpstr>
      <vt:lpstr>input_wld_az1_rack6_edge_overlay_mask</vt:lpstr>
      <vt:lpstr>input_wld_az1_rack6_edge_overlay_mtu</vt:lpstr>
      <vt:lpstr>input_wld_az1_rack6_edge_overlay_network</vt:lpstr>
      <vt:lpstr>input_wld_az1_rack6_edge_overlay_pool_end_ip</vt:lpstr>
      <vt:lpstr>input_wld_az1_rack6_edge_overlay_pool_start_ip</vt:lpstr>
      <vt:lpstr>input_wld_az1_rack6_edge_overlay_vlan</vt:lpstr>
      <vt:lpstr>input_wld_az1_rack6_host_overlay_cidr</vt:lpstr>
      <vt:lpstr>input_wld_az1_rack6_mgmt_vm_cidr</vt:lpstr>
      <vt:lpstr>input_wld_az1_rack6_mgmt_vm_gateway_ip</vt:lpstr>
      <vt:lpstr>input_wld_az1_rack6_mgmt_vm_mtu</vt:lpstr>
      <vt:lpstr>input_wld_az1_rack6_mgmt_vm_vlan</vt:lpstr>
      <vt:lpstr>input_wld_az1_rack6_principal_storage_cidr</vt:lpstr>
      <vt:lpstr>input_wld_az1_rack6_secondary_storage_cidr</vt:lpstr>
      <vt:lpstr>input_wld_az1_rack6_secondary_storage_gateway_ip</vt:lpstr>
      <vt:lpstr>input_wld_az1_rack6_secondary_storage_mask</vt:lpstr>
      <vt:lpstr>input_wld_az1_rack6_secondary_storage_mtu</vt:lpstr>
      <vt:lpstr>input_wld_az1_rack6_secondary_storage_network</vt:lpstr>
      <vt:lpstr>input_wld_az1_rack6_secondary_storage_pool_end_ip</vt:lpstr>
      <vt:lpstr>input_wld_az1_rack6_secondary_storage_pool_start_ip</vt:lpstr>
      <vt:lpstr>input_wld_az1_rack6_secondary_storage_vlan</vt:lpstr>
      <vt:lpstr>input_wld_az1_rack6_tor1_peer_asn</vt:lpstr>
      <vt:lpstr>input_wld_az1_rack6_tor1_peer_bgp_password</vt:lpstr>
      <vt:lpstr>input_wld_az1_rack6_tor1_peer_ip</vt:lpstr>
      <vt:lpstr>input_wld_az1_rack6_tor2_peer_asn</vt:lpstr>
      <vt:lpstr>input_wld_az1_rack6_tor2_peer_bgp_password</vt:lpstr>
      <vt:lpstr>input_wld_az1_rack6_tor2_peer_ip</vt:lpstr>
      <vt:lpstr>input_wld_az1_rack6_uplink01_gateway_ip</vt:lpstr>
      <vt:lpstr>input_wld_az1_rack6_uplink01_mask</vt:lpstr>
      <vt:lpstr>input_wld_az1_rack6_uplink01_mtu</vt:lpstr>
      <vt:lpstr>input_wld_az1_rack6_uplink01_network</vt:lpstr>
      <vt:lpstr>input_wld_az1_rack6_uplink01_vlan</vt:lpstr>
      <vt:lpstr>input_wld_az1_rack6_uplink02_gateway_ip</vt:lpstr>
      <vt:lpstr>input_wld_az1_rack6_uplink02_mask</vt:lpstr>
      <vt:lpstr>input_wld_az1_rack6_uplink02_mtu</vt:lpstr>
      <vt:lpstr>input_wld_az1_rack6_uplink02_network</vt:lpstr>
      <vt:lpstr>input_wld_az1_rack6_uplink02_vlan</vt:lpstr>
      <vt:lpstr>input_wld_az1_rack6_vmotion_cidr</vt:lpstr>
      <vt:lpstr>input_wld_az1_rack7_edge_overlay_gateway_ip</vt:lpstr>
      <vt:lpstr>input_wld_az1_rack7_edge_overlay_mask</vt:lpstr>
      <vt:lpstr>input_wld_az1_rack7_edge_overlay_mtu</vt:lpstr>
      <vt:lpstr>input_wld_az1_rack7_edge_overlay_network</vt:lpstr>
      <vt:lpstr>input_wld_az1_rack7_edge_overlay_pool_end_ip</vt:lpstr>
      <vt:lpstr>input_wld_az1_rack7_edge_overlay_pool_start_ip</vt:lpstr>
      <vt:lpstr>input_wld_az1_rack7_edge_overlay_vlan</vt:lpstr>
      <vt:lpstr>input_wld_az1_rack7_host_overlay_cidr</vt:lpstr>
      <vt:lpstr>input_wld_az1_rack7_mgmt_vm_cidr</vt:lpstr>
      <vt:lpstr>input_wld_az1_rack7_mgmt_vm_gateway_ip</vt:lpstr>
      <vt:lpstr>input_wld_az1_rack7_mgmt_vm_mtu</vt:lpstr>
      <vt:lpstr>input_wld_az1_rack7_mgmt_vm_vlan</vt:lpstr>
      <vt:lpstr>input_wld_az1_rack7_principal_storage_cidr</vt:lpstr>
      <vt:lpstr>input_wld_az1_rack7_secondary_storage_cidr</vt:lpstr>
      <vt:lpstr>input_wld_az1_rack7_secondary_storage_gateway_ip</vt:lpstr>
      <vt:lpstr>input_wld_az1_rack7_secondary_storage_mask</vt:lpstr>
      <vt:lpstr>input_wld_az1_rack7_secondary_storage_mtu</vt:lpstr>
      <vt:lpstr>input_wld_az1_rack7_secondary_storage_network</vt:lpstr>
      <vt:lpstr>input_wld_az1_rack7_secondary_storage_pool_end_ip</vt:lpstr>
      <vt:lpstr>input_wld_az1_rack7_secondary_storage_pool_start_ip</vt:lpstr>
      <vt:lpstr>input_wld_az1_rack7_secondary_storage_vlan</vt:lpstr>
      <vt:lpstr>input_wld_az1_rack7_tor1_peer_asn</vt:lpstr>
      <vt:lpstr>input_wld_az1_rack7_tor1_peer_bgp_password</vt:lpstr>
      <vt:lpstr>input_wld_az1_rack7_tor1_peer_ip</vt:lpstr>
      <vt:lpstr>input_wld_az1_rack7_tor2_peer_asn</vt:lpstr>
      <vt:lpstr>input_wld_az1_rack7_tor2_peer_bgp_password</vt:lpstr>
      <vt:lpstr>input_wld_az1_rack7_tor2_peer_ip</vt:lpstr>
      <vt:lpstr>input_wld_az1_rack7_uplink01_gateway_ip</vt:lpstr>
      <vt:lpstr>input_wld_az1_rack7_uplink01_mask</vt:lpstr>
      <vt:lpstr>input_wld_az1_rack7_uplink01_mtu</vt:lpstr>
      <vt:lpstr>input_wld_az1_rack7_uplink01_network</vt:lpstr>
      <vt:lpstr>input_wld_az1_rack7_uplink01_vlan</vt:lpstr>
      <vt:lpstr>input_wld_az1_rack7_uplink02_gateway_ip</vt:lpstr>
      <vt:lpstr>input_wld_az1_rack7_uplink02_mask</vt:lpstr>
      <vt:lpstr>input_wld_az1_rack7_uplink02_mtu</vt:lpstr>
      <vt:lpstr>input_wld_az1_rack7_uplink02_network</vt:lpstr>
      <vt:lpstr>input_wld_az1_rack7_uplink02_vlan</vt:lpstr>
      <vt:lpstr>input_wld_az1_rack7_vmotion_cidr</vt:lpstr>
      <vt:lpstr>input_wld_az1_rack8_edge_overlay_gateway_ip</vt:lpstr>
      <vt:lpstr>input_wld_az1_rack8_edge_overlay_mask</vt:lpstr>
      <vt:lpstr>input_wld_az1_rack8_edge_overlay_mtu</vt:lpstr>
      <vt:lpstr>input_wld_az1_rack8_edge_overlay_network</vt:lpstr>
      <vt:lpstr>input_wld_az1_rack8_edge_overlay_pool_end_ip</vt:lpstr>
      <vt:lpstr>input_wld_az1_rack8_edge_overlay_pool_start_ip</vt:lpstr>
      <vt:lpstr>input_wld_az1_rack8_edge_overlay_vlan</vt:lpstr>
      <vt:lpstr>input_wld_az1_rack8_host_overlay_cidr</vt:lpstr>
      <vt:lpstr>input_wld_az1_rack8_mgmt_vm_cidr</vt:lpstr>
      <vt:lpstr>input_wld_az1_rack8_mgmt_vm_gateway_ip</vt:lpstr>
      <vt:lpstr>input_wld_az1_rack8_mgmt_vm_mtu</vt:lpstr>
      <vt:lpstr>input_wld_az1_rack8_mgmt_vm_vlan</vt:lpstr>
      <vt:lpstr>input_wld_az1_rack8_principal_storage_cidr</vt:lpstr>
      <vt:lpstr>input_wld_az1_rack8_secondary_storage_cidr</vt:lpstr>
      <vt:lpstr>input_wld_az1_rack8_secondary_storage_gateway_ip</vt:lpstr>
      <vt:lpstr>input_wld_az1_rack8_secondary_storage_mask</vt:lpstr>
      <vt:lpstr>input_wld_az1_rack8_secondary_storage_mtu</vt:lpstr>
      <vt:lpstr>input_wld_az1_rack8_secondary_storage_network</vt:lpstr>
      <vt:lpstr>input_wld_az1_rack8_secondary_storage_pool_end_ip</vt:lpstr>
      <vt:lpstr>input_wld_az1_rack8_secondary_storage_pool_start_ip</vt:lpstr>
      <vt:lpstr>input_wld_az1_rack8_secondary_storage_vlan</vt:lpstr>
      <vt:lpstr>input_wld_az1_rack8_tor1_peer_asn</vt:lpstr>
      <vt:lpstr>input_wld_az1_rack8_tor1_peer_bgp_password</vt:lpstr>
      <vt:lpstr>input_wld_az1_rack8_tor1_peer_ip</vt:lpstr>
      <vt:lpstr>input_wld_az1_rack8_tor2_peer_asn</vt:lpstr>
      <vt:lpstr>input_wld_az1_rack8_tor2_peer_bgp_password</vt:lpstr>
      <vt:lpstr>input_wld_az1_rack8_tor2_peer_ip</vt:lpstr>
      <vt:lpstr>input_wld_az1_rack8_uplink01_gateway_ip</vt:lpstr>
      <vt:lpstr>input_wld_az1_rack8_uplink01_mask</vt:lpstr>
      <vt:lpstr>input_wld_az1_rack8_uplink01_mtu</vt:lpstr>
      <vt:lpstr>input_wld_az1_rack8_uplink01_network</vt:lpstr>
      <vt:lpstr>input_wld_az1_rack8_uplink01_vlan</vt:lpstr>
      <vt:lpstr>input_wld_az1_rack8_uplink02_gateway_ip</vt:lpstr>
      <vt:lpstr>input_wld_az1_rack8_uplink02_mask</vt:lpstr>
      <vt:lpstr>input_wld_az1_rack8_uplink02_mtu</vt:lpstr>
      <vt:lpstr>input_wld_az1_rack8_uplink02_network</vt:lpstr>
      <vt:lpstr>input_wld_az1_rack8_uplink02_vlan</vt:lpstr>
      <vt:lpstr>input_wld_az1_rack8_vmotion_cidr</vt:lpstr>
      <vt:lpstr>input_wld_az1_vrms_cidr</vt:lpstr>
      <vt:lpstr>input_wld_az1_vrms_gateway_ip</vt:lpstr>
      <vt:lpstr>input_wld_az1_vrms_mtu</vt:lpstr>
      <vt:lpstr>input_wld_az1_vrms_vlan</vt:lpstr>
      <vt:lpstr>input_wld_az2_host1_vrms_ip</vt:lpstr>
      <vt:lpstr>input_wld_az2_host10_vrms_ip</vt:lpstr>
      <vt:lpstr>input_wld_az2_host11_vrms_ip</vt:lpstr>
      <vt:lpstr>input_wld_az2_host12_vrms_ip</vt:lpstr>
      <vt:lpstr>input_wld_az2_host13_vrms_ip</vt:lpstr>
      <vt:lpstr>input_wld_az2_host14_vrms_ip</vt:lpstr>
      <vt:lpstr>input_wld_az2_host15_vrms_ip</vt:lpstr>
      <vt:lpstr>input_wld_az2_host16_vrms_ip</vt:lpstr>
      <vt:lpstr>input_wld_az2_host2_vrms_ip</vt:lpstr>
      <vt:lpstr>input_wld_az2_host3_vrms_ip</vt:lpstr>
      <vt:lpstr>input_wld_az2_host4_vrms_ip</vt:lpstr>
      <vt:lpstr>input_wld_az2_host5_vrms_ip</vt:lpstr>
      <vt:lpstr>input_wld_az2_host6_vrms_ip</vt:lpstr>
      <vt:lpstr>input_wld_az2_host7_vrms_ip</vt:lpstr>
      <vt:lpstr>input_wld_az2_host8_vrms_ip</vt:lpstr>
      <vt:lpstr>input_wld_az2_host9_vrms_ip</vt:lpstr>
      <vt:lpstr>input_wld_cl01_evc_mode</vt:lpstr>
      <vt:lpstr>input_wld_rack2_en_asn</vt:lpstr>
      <vt:lpstr>input_wld_rack3_en_asn</vt:lpstr>
      <vt:lpstr>input_wld_rack4_en_asn</vt:lpstr>
      <vt:lpstr>input_wld_rack5_en_asn</vt:lpstr>
      <vt:lpstr>input_wld_rack6_en_asn</vt:lpstr>
      <vt:lpstr>input_wld_rack7_en_asn</vt:lpstr>
      <vt:lpstr>input_wld_rack8_en_asn</vt:lpstr>
      <vt:lpstr>input_wld_rwr_az1_vrms_gateway_ip</vt:lpstr>
      <vt:lpstr>input_wld_rwr_az1_vrms_gateway_mask</vt:lpstr>
      <vt:lpstr>input_wld_rwr_cl02_cluster</vt:lpstr>
      <vt:lpstr>input_wld_rwr_cl02_vds01</vt:lpstr>
      <vt:lpstr>input_wld_rwr_recovery_site_az1_vrms_cidr</vt:lpstr>
      <vt:lpstr>input_wld_rwr_recovery_site_vc_fqdn</vt:lpstr>
      <vt:lpstr>input_wld_rwr_recoverysite_fd</vt:lpstr>
      <vt:lpstr>input_wld_rwr_vc_fqdn</vt:lpstr>
      <vt:lpstr>input_wld_rwr_vcfops_vlsr_username</vt:lpstr>
      <vt:lpstr>input_wld_rwr_vcfops_vr_username</vt:lpstr>
      <vt:lpstr>input_wld_srm_admin_email</vt:lpstr>
      <vt:lpstr>input_wld_srm_admin_password</vt:lpstr>
      <vt:lpstr>input_wld_srm_database_password</vt:lpstr>
      <vt:lpstr>input_wld_srm_hostname</vt:lpstr>
      <vt:lpstr>input_wld_srm_ip</vt:lpstr>
      <vt:lpstr>input_wld_srm_p12_password</vt:lpstr>
      <vt:lpstr>input_wld_srm_recovery_vcenter_fqdn</vt:lpstr>
      <vt:lpstr>input_wld_srm_recovery_vcenter_password</vt:lpstr>
      <vt:lpstr>input_wld_srm_recovery_vcenter_username</vt:lpstr>
      <vt:lpstr>input_wld_srm_root_password</vt:lpstr>
      <vt:lpstr>input_wld_srm_site_name</vt:lpstr>
      <vt:lpstr>input_wld_srm_sso_domain_membership</vt:lpstr>
      <vt:lpstr>input_wld_srm_vm_folder</vt:lpstr>
      <vt:lpstr>input_wld_vlr_hostname</vt:lpstr>
      <vt:lpstr>input_wld_vlr_replication_user</vt:lpstr>
      <vt:lpstr>input_wld_vrms_admin_email</vt:lpstr>
      <vt:lpstr>input_wld_vrms_admin_password</vt:lpstr>
      <vt:lpstr>input_wld_vrms_hostname</vt:lpstr>
      <vt:lpstr>input_wld_vrms_mgmt_ip</vt:lpstr>
      <vt:lpstr>input_wld_vrms_p12_password</vt:lpstr>
      <vt:lpstr>input_wld_vrms_pg</vt:lpstr>
      <vt:lpstr>input_wld_vrms_recovery_replication_cidr</vt:lpstr>
      <vt:lpstr>input_wld_vrms_root_password</vt:lpstr>
      <vt:lpstr>input_wld_vrms_site_name</vt:lpstr>
      <vt:lpstr>input_wld_vrms_vm_folder</vt:lpstr>
      <vt:lpstr>input_wld_vrms_vrms_ip</vt:lpstr>
      <vt:lpstr>input_xreg_vrops_srm_sso_password</vt:lpstr>
      <vt:lpstr>input_xreg_vrops_srm_sso_username</vt:lpstr>
      <vt:lpstr>input_xreg_vrops_vrms_sso_password</vt:lpstr>
      <vt:lpstr>input_xreg_vrops_vrms_sso_username</vt:lpstr>
      <vt:lpstr>input_xregion_dns1_ip</vt:lpstr>
      <vt:lpstr>input_xregion_dns2_ip</vt:lpstr>
      <vt:lpstr>input_xregion_ntp1_server</vt:lpstr>
      <vt:lpstr>input_xregion_ntp2_server</vt:lpstr>
      <vt:lpstr>k8s_cluster_endpoint_fqdn</vt:lpstr>
      <vt:lpstr>k8s_harbor_fqdn</vt:lpstr>
      <vt:lpstr>k8s_harbor_hostname</vt:lpstr>
      <vt:lpstr>k8s_harbor_ip</vt:lpstr>
      <vt:lpstr>k8s_ip_prefixlist</vt:lpstr>
      <vt:lpstr>k8s_ip_routemap</vt:lpstr>
      <vt:lpstr>k8s_kubectl_path</vt:lpstr>
      <vt:lpstr>k8s_mgmt_pool_start_ip</vt:lpstr>
      <vt:lpstr>k8s_mgmt_seg</vt:lpstr>
      <vt:lpstr>k8s_namepsace</vt:lpstr>
      <vt:lpstr>k8s_segment_gateway_ip</vt:lpstr>
      <vt:lpstr>k8s_segment_pg</vt:lpstr>
      <vt:lpstr>k8s_tanzu_k8s_cluster_pod_pool_cidr</vt:lpstr>
      <vt:lpstr>k8s_tanzu_k8s_cluster_service_pool_cidr</vt:lpstr>
      <vt:lpstr>k8s_vcenter_category</vt:lpstr>
      <vt:lpstr>k8s_vcenter_content_library</vt:lpstr>
      <vt:lpstr>k8s_vcenter_storage_policy</vt:lpstr>
      <vt:lpstr>k8s_vcenter_tag</vt:lpstr>
      <vt:lpstr>k8s_vm_class</vt:lpstr>
      <vt:lpstr>lag_load_balancing</vt:lpstr>
      <vt:lpstr>mgmt_avilb_cluster_name</vt:lpstr>
      <vt:lpstr>mgmt_avilb_cluster_version</vt:lpstr>
      <vt:lpstr>mgmt_avilb_fqdn</vt:lpstr>
      <vt:lpstr>mgmt_avilb_hostname</vt:lpstr>
      <vt:lpstr>mgmt_avilb_ip</vt:lpstr>
      <vt:lpstr>mgmt_avilb_mgra_ip</vt:lpstr>
      <vt:lpstr>mgmt_avilb_mgrb_ip</vt:lpstr>
      <vt:lpstr>mgmt_avilb_mgrc_ip</vt:lpstr>
      <vt:lpstr>mgmt_az1_edge_overlay_cidr</vt:lpstr>
      <vt:lpstr>mgmt_az1_edge_overlay_gateway_ip</vt:lpstr>
      <vt:lpstr>mgmt_az1_edge_overlay_mask</vt:lpstr>
      <vt:lpstr>mgmt_az1_edge_overlay_mtu</vt:lpstr>
      <vt:lpstr>mgmt_az1_edge_overlay_network</vt:lpstr>
      <vt:lpstr>mgmt_az1_edge_overlay_network_pool_name</vt:lpstr>
      <vt:lpstr>mgmt_az1_edge_overlay_pg</vt:lpstr>
      <vt:lpstr>mgmt_az1_edge_overlay_pool_end_ip</vt:lpstr>
      <vt:lpstr>mgmt_az1_edge_overlay_pool_start_ip</vt:lpstr>
      <vt:lpstr>mgmt_az1_edge_overlay_vlan</vt:lpstr>
      <vt:lpstr>mgmt_az1_en1_edge_overlay_interface_ip_1_ip</vt:lpstr>
      <vt:lpstr>mgmt_az1_en1_edge_overlay_interface_ip_2_ip</vt:lpstr>
      <vt:lpstr>mgmt_az1_en1_eth0_uplink0</vt:lpstr>
      <vt:lpstr>mgmt_az1_en1_eth0_uplink1</vt:lpstr>
      <vt:lpstr>mgmt_az1_en1_eth1_uplink0</vt:lpstr>
      <vt:lpstr>mgmt_az1_en1_eth1_uplink1</vt:lpstr>
      <vt:lpstr>mgmt_az1_en1_fqdn</vt:lpstr>
      <vt:lpstr>mgmt_az1_en1_hostname</vt:lpstr>
      <vt:lpstr>mgmt_az1_en1_mgmt_cidr</vt:lpstr>
      <vt:lpstr>mgmt_az1_en1_mgmt_ip</vt:lpstr>
      <vt:lpstr>mgmt_az1_en1_uplink01_interface_cidr</vt:lpstr>
      <vt:lpstr>mgmt_az1_en1_uplink02_interface_cidr</vt:lpstr>
      <vt:lpstr>mgmt_az1_en2_edge_overlay_interface_ip_1_ip</vt:lpstr>
      <vt:lpstr>mgmt_az1_en2_edge_overlay_interface_ip_2_ip</vt:lpstr>
      <vt:lpstr>mgmt_az1_en2_eth0_uplink0</vt:lpstr>
      <vt:lpstr>mgmt_az1_en2_eth0_uplink1</vt:lpstr>
      <vt:lpstr>mgmt_az1_en2_eth1_uplink0</vt:lpstr>
      <vt:lpstr>mgmt_az1_en2_eth1_uplink1</vt:lpstr>
      <vt:lpstr>mgmt_az1_en2_fqdn</vt:lpstr>
      <vt:lpstr>mgmt_az1_en2_hostname</vt:lpstr>
      <vt:lpstr>mgmt_az1_en2_mgmt_cidr</vt:lpstr>
      <vt:lpstr>mgmt_az1_en2_mgmt_ip</vt:lpstr>
      <vt:lpstr>mgmt_az1_en2_uplink01_interface_cidr</vt:lpstr>
      <vt:lpstr>mgmt_az1_en2_uplink02_interface_cidr</vt:lpstr>
      <vt:lpstr>mgmt_az1_host_fqdns</vt:lpstr>
      <vt:lpstr>mgmt_az1_host_hostnames</vt:lpstr>
      <vt:lpstr>mgmt_az1_host_mgmt_ips</vt:lpstr>
      <vt:lpstr>mgmt_az1_host_overlay_cidr</vt:lpstr>
      <vt:lpstr>mgmt_az1_host_overlay_gateway_cidr</vt:lpstr>
      <vt:lpstr>mgmt_az1_host_overlay_gateway_ip</vt:lpstr>
      <vt:lpstr>mgmt_az1_host_overlay_mask</vt:lpstr>
      <vt:lpstr>mgmt_az1_host_overlay_mtu</vt:lpstr>
      <vt:lpstr>mgmt_az1_host_overlay_network</vt:lpstr>
      <vt:lpstr>mgmt_az1_host_overlay_network_pool_description</vt:lpstr>
      <vt:lpstr>mgmt_az1_host_overlay_network_pool_name</vt:lpstr>
      <vt:lpstr>mgmt_az1_host_overlay_network_profile_name</vt:lpstr>
      <vt:lpstr>mgmt_az1_host_overlay_pg</vt:lpstr>
      <vt:lpstr>mgmt_az1_host_overlay_pool_end_ip</vt:lpstr>
      <vt:lpstr>mgmt_az1_host_overlay_pool_start_ip</vt:lpstr>
      <vt:lpstr>mgmt_az1_host_overlay_transport_zone</vt:lpstr>
      <vt:lpstr>mgmt_az1_host_overlay_vlan</vt:lpstr>
      <vt:lpstr>mgmt_az1_host1_fqdn</vt:lpstr>
      <vt:lpstr>mgmt_az1_host1_hostname</vt:lpstr>
      <vt:lpstr>mgmt_az1_host1_mgmt_ip</vt:lpstr>
      <vt:lpstr>mgmt_az1_host1_vrms_ip</vt:lpstr>
      <vt:lpstr>mgmt_az1_host10_fqdn</vt:lpstr>
      <vt:lpstr>mgmt_az1_host10_hostname</vt:lpstr>
      <vt:lpstr>mgmt_az1_host10_mgmt_ip</vt:lpstr>
      <vt:lpstr>mgmt_az1_host10_vrms_ip</vt:lpstr>
      <vt:lpstr>mgmt_az1_host11_fqdn</vt:lpstr>
      <vt:lpstr>mgmt_az1_host11_hostname</vt:lpstr>
      <vt:lpstr>mgmt_az1_host11_mgmt_ip</vt:lpstr>
      <vt:lpstr>mgmt_az1_host11_vrms_ip</vt:lpstr>
      <vt:lpstr>mgmt_az1_host12_fqdn</vt:lpstr>
      <vt:lpstr>mgmt_az1_host12_hostname</vt:lpstr>
      <vt:lpstr>mgmt_az1_host12_mgmt_ip</vt:lpstr>
      <vt:lpstr>mgmt_az1_host12_vrms_ip</vt:lpstr>
      <vt:lpstr>mgmt_az1_host13_fqdn</vt:lpstr>
      <vt:lpstr>mgmt_az1_host13_hostname</vt:lpstr>
      <vt:lpstr>mgmt_az1_host13_mgmt_ip</vt:lpstr>
      <vt:lpstr>mgmt_az1_host13_vrms_ip</vt:lpstr>
      <vt:lpstr>mgmt_az1_host14_fqdn</vt:lpstr>
      <vt:lpstr>mgmt_az1_host14_hostname</vt:lpstr>
      <vt:lpstr>mgmt_az1_host14_mgmt_ip</vt:lpstr>
      <vt:lpstr>mgmt_az1_host14_vrms_ip</vt:lpstr>
      <vt:lpstr>mgmt_az1_host15_fqdn</vt:lpstr>
      <vt:lpstr>mgmt_az1_host15_hostname</vt:lpstr>
      <vt:lpstr>mgmt_az1_host15_mgmt_ip</vt:lpstr>
      <vt:lpstr>mgmt_az1_host15_vrms_ip</vt:lpstr>
      <vt:lpstr>mgmt_az1_host16_fqdn</vt:lpstr>
      <vt:lpstr>mgmt_az1_host16_hostname</vt:lpstr>
      <vt:lpstr>mgmt_az1_host16_mgmt_ip</vt:lpstr>
      <vt:lpstr>mgmt_az1_host16_vrms_ip</vt:lpstr>
      <vt:lpstr>mgmt_az1_host2_fqdn</vt:lpstr>
      <vt:lpstr>mgmt_az1_host2_hostname</vt:lpstr>
      <vt:lpstr>mgmt_az1_host2_mgmt_ip</vt:lpstr>
      <vt:lpstr>mgmt_az1_host2_vrms_ip</vt:lpstr>
      <vt:lpstr>mgmt_az1_host3_fqdn</vt:lpstr>
      <vt:lpstr>mgmt_az1_host3_hostname</vt:lpstr>
      <vt:lpstr>mgmt_az1_host3_mgmt_ip</vt:lpstr>
      <vt:lpstr>mgmt_az1_host3_vrms_ip</vt:lpstr>
      <vt:lpstr>mgmt_az1_host4_fqdn</vt:lpstr>
      <vt:lpstr>mgmt_az1_host4_hostname</vt:lpstr>
      <vt:lpstr>mgmt_az1_host4_mgmt_ip</vt:lpstr>
      <vt:lpstr>mgmt_az1_host4_vrms_ip</vt:lpstr>
      <vt:lpstr>mgmt_az1_host5_fqdn</vt:lpstr>
      <vt:lpstr>mgmt_az1_host5_hostname</vt:lpstr>
      <vt:lpstr>mgmt_az1_host5_mgmt_ip</vt:lpstr>
      <vt:lpstr>mgmt_az1_host5_vrms_ip</vt:lpstr>
      <vt:lpstr>mgmt_az1_host6_fqdn</vt:lpstr>
      <vt:lpstr>mgmt_az1_host6_hostname</vt:lpstr>
      <vt:lpstr>mgmt_az1_host6_mgmt_ip</vt:lpstr>
      <vt:lpstr>mgmt_az1_host6_vrms_ip</vt:lpstr>
      <vt:lpstr>mgmt_az1_host7_fqdn</vt:lpstr>
      <vt:lpstr>mgmt_az1_host7_hostname</vt:lpstr>
      <vt:lpstr>mgmt_az1_host7_mgmt_ip</vt:lpstr>
      <vt:lpstr>mgmt_az1_host7_vrms_ip</vt:lpstr>
      <vt:lpstr>mgmt_az1_host8_fqdn</vt:lpstr>
      <vt:lpstr>mgmt_az1_host8_hostname</vt:lpstr>
      <vt:lpstr>mgmt_az1_host8_mgmt_ip</vt:lpstr>
      <vt:lpstr>mgmt_az1_host8_vrms_ip</vt:lpstr>
      <vt:lpstr>mgmt_az1_host9_fqdn</vt:lpstr>
      <vt:lpstr>mgmt_az1_host9_hostname</vt:lpstr>
      <vt:lpstr>mgmt_az1_host9_mgmt_ip</vt:lpstr>
      <vt:lpstr>mgmt_az1_host9_vrms_ip</vt:lpstr>
      <vt:lpstr>mgmt_az1_mgmt_cidr</vt:lpstr>
      <vt:lpstr>mgmt_az1_mgmt_gateway_cidr</vt:lpstr>
      <vt:lpstr>mgmt_az1_mgmt_gateway_ip</vt:lpstr>
      <vt:lpstr>mgmt_az1_mgmt_mask</vt:lpstr>
      <vt:lpstr>mgmt_az1_mgmt_mtu</vt:lpstr>
      <vt:lpstr>mgmt_az1_mgmt_network</vt:lpstr>
      <vt:lpstr>mgmt_az1_mgmt_vlan</vt:lpstr>
      <vt:lpstr>mgmt_az1_mgmt_vm_cidr</vt:lpstr>
      <vt:lpstr>mgmt_az1_mgmt_vm_gateway_cidr</vt:lpstr>
      <vt:lpstr>mgmt_az1_mgmt_vm_gateway_ip</vt:lpstr>
      <vt:lpstr>mgmt_az1_mgmt_vm_mask</vt:lpstr>
      <vt:lpstr>mgmt_az1_mgmt_vm_mtu</vt:lpstr>
      <vt:lpstr>mgmt_az1_mgmt_vm_network</vt:lpstr>
      <vt:lpstr>mgmt_az1_mgmt_vm_vlan</vt:lpstr>
      <vt:lpstr>mgmt_az1_pool_name</vt:lpstr>
      <vt:lpstr>mgmt_az1_rtep_ip_pool_name</vt:lpstr>
      <vt:lpstr>mgmt_az1_rtep_overlay_cidr</vt:lpstr>
      <vt:lpstr>mgmt_az1_rtep_overlay_gateway_ip</vt:lpstr>
      <vt:lpstr>mgmt_az1_rtep_overlay_mtu</vt:lpstr>
      <vt:lpstr>mgmt_az1_rtep_overlay_network</vt:lpstr>
      <vt:lpstr>mgmt_az1_rtep_overlay_pg</vt:lpstr>
      <vt:lpstr>mgmt_az1_rtep_overlay_vlan</vt:lpstr>
      <vt:lpstr>mgmt_az1_secondary_storage_cidr</vt:lpstr>
      <vt:lpstr>mgmt_az1_secondary_storage_gateway_cidr</vt:lpstr>
      <vt:lpstr>mgmt_az1_secondary_storage_gateway_ip</vt:lpstr>
      <vt:lpstr>mgmt_az1_secondary_storage_mask</vt:lpstr>
      <vt:lpstr>mgmt_az1_secondary_storage_mtu</vt:lpstr>
      <vt:lpstr>mgmt_az1_secondary_storage_network</vt:lpstr>
      <vt:lpstr>mgmt_az1_secondary_storage_pool_end_ip</vt:lpstr>
      <vt:lpstr>mgmt_az1_secondary_storage_pool_start_ip</vt:lpstr>
      <vt:lpstr>mgmt_az1_secondary_storage_vlan</vt:lpstr>
      <vt:lpstr>mgmt_az1_tor1_peer_asn</vt:lpstr>
      <vt:lpstr>mgmt_az1_tor1_peer_bgp_password</vt:lpstr>
      <vt:lpstr>mgmt_az1_tor1_peer_ip</vt:lpstr>
      <vt:lpstr>mgmt_az1_tor2_peer_asn</vt:lpstr>
      <vt:lpstr>mgmt_az1_tor2_peer_bgp_password</vt:lpstr>
      <vt:lpstr>mgmt_az1_tor2_peer_ip</vt:lpstr>
      <vt:lpstr>mgmt_az1_uplink01_cidr</vt:lpstr>
      <vt:lpstr>mgmt_az1_uplink01_gateway_ip</vt:lpstr>
      <vt:lpstr>mgmt_az1_uplink01_mask</vt:lpstr>
      <vt:lpstr>mgmt_az1_uplink01_mtu</vt:lpstr>
      <vt:lpstr>mgmt_az1_uplink01_network</vt:lpstr>
      <vt:lpstr>mgmt_az1_uplink01_vlan</vt:lpstr>
      <vt:lpstr>mgmt_az1_uplink02_cidr</vt:lpstr>
      <vt:lpstr>mgmt_az1_uplink02_gateway_ip</vt:lpstr>
      <vt:lpstr>mgmt_az1_uplink02_mask</vt:lpstr>
      <vt:lpstr>mgmt_az1_uplink02_mtu</vt:lpstr>
      <vt:lpstr>mgmt_az1_uplink02_network</vt:lpstr>
      <vt:lpstr>mgmt_az1_uplink02_vlan</vt:lpstr>
      <vt:lpstr>mgmt_az1_vcf_mgmt_cidr</vt:lpstr>
      <vt:lpstr>mgmt_az1_vcf_mgmt_gateway_cidr</vt:lpstr>
      <vt:lpstr>mgmt_az1_vcf_mgmt_gateway_ip</vt:lpstr>
      <vt:lpstr>mgmt_az1_vcf_mgmt_mask</vt:lpstr>
      <vt:lpstr>mgmt_az1_vcf_mgmt_mtu</vt:lpstr>
      <vt:lpstr>mgmt_az1_vcf_mgmt_network</vt:lpstr>
      <vt:lpstr>mgmt_az1_vcf_mgmt_vlan</vt:lpstr>
      <vt:lpstr>mgmt_az1_vm_cidr</vt:lpstr>
      <vt:lpstr>mgmt_az1_vm_gateway_ip</vt:lpstr>
      <vt:lpstr>mgmt_az1_vm_mtu</vt:lpstr>
      <vt:lpstr>mgmt_az1_vm_vlan</vt:lpstr>
      <vt:lpstr>mgmt_az1_vmotion_cidr</vt:lpstr>
      <vt:lpstr>mgmt_az1_vmotion_gateway_cidr</vt:lpstr>
      <vt:lpstr>mgmt_az1_vmotion_gateway_ip</vt:lpstr>
      <vt:lpstr>mgmt_az1_vmotion_mask</vt:lpstr>
      <vt:lpstr>mgmt_az1_vmotion_mtu</vt:lpstr>
      <vt:lpstr>mgmt_az1_vmotion_network</vt:lpstr>
      <vt:lpstr>mgmt_az1_vmotion_pool_end_ip</vt:lpstr>
      <vt:lpstr>mgmt_az1_vmotion_pool_start_ip</vt:lpstr>
      <vt:lpstr>mgmt_az1_vmotion_vlan</vt:lpstr>
      <vt:lpstr>mgmt_az1_vrms_cidr</vt:lpstr>
      <vt:lpstr>mgmt_az1_vrms_gateway_ip</vt:lpstr>
      <vt:lpstr>mgmt_az1_vrms_mtu</vt:lpstr>
      <vt:lpstr>mgmt_az1_vrms_network</vt:lpstr>
      <vt:lpstr>mgmt_az1_vrms_vlan</vt:lpstr>
      <vt:lpstr>mgmt_az1_vsan_cidr</vt:lpstr>
      <vt:lpstr>mgmt_az1_vsan_gateway_cidr</vt:lpstr>
      <vt:lpstr>mgmt_az1_vsan_gateway_ip</vt:lpstr>
      <vt:lpstr>mgmt_az1_vsan_mask</vt:lpstr>
      <vt:lpstr>mgmt_az1_vsan_mtu</vt:lpstr>
      <vt:lpstr>mgmt_az1_vsan_network</vt:lpstr>
      <vt:lpstr>mgmt_az1_vsan_pool_end_ip</vt:lpstr>
      <vt:lpstr>mgmt_az1_vsan_pool_start_ip</vt:lpstr>
      <vt:lpstr>mgmt_az1_vsan_vlan</vt:lpstr>
      <vt:lpstr>mgmt_az2_edge_overlay_cidr</vt:lpstr>
      <vt:lpstr>mgmt_az2_edge_overlay_gateway_ip</vt:lpstr>
      <vt:lpstr>mgmt_az2_edge_overlay_mask</vt:lpstr>
      <vt:lpstr>mgmt_az2_edge_overlay_mtu</vt:lpstr>
      <vt:lpstr>mgmt_az2_edge_overlay_network</vt:lpstr>
      <vt:lpstr>mgmt_az2_edge_overlay_pg</vt:lpstr>
      <vt:lpstr>mgmt_az2_edge_overlay_vlan</vt:lpstr>
      <vt:lpstr>mgmt_az2_host_fqdns</vt:lpstr>
      <vt:lpstr>mgmt_az2_host_hostnames</vt:lpstr>
      <vt:lpstr>mgmt_az2_host_mgmt_ips</vt:lpstr>
      <vt:lpstr>mgmt_az2_host_overlay_cidr</vt:lpstr>
      <vt:lpstr>mgmt_az2_host_overlay_gateway_ip</vt:lpstr>
      <vt:lpstr>mgmt_az2_host_overlay_mask</vt:lpstr>
      <vt:lpstr>mgmt_az2_host_overlay_mtu</vt:lpstr>
      <vt:lpstr>mgmt_az2_host_overlay_network</vt:lpstr>
      <vt:lpstr>mgmt_az2_host_overlay_network_pool_name</vt:lpstr>
      <vt:lpstr>mgmt_az2_host_overlay_network_profile_name</vt:lpstr>
      <vt:lpstr>mgmt_az2_host_overlay_pg</vt:lpstr>
      <vt:lpstr>mgmt_az2_host_overlay_pool_end_ip</vt:lpstr>
      <vt:lpstr>mgmt_az2_host_overlay_pool_name</vt:lpstr>
      <vt:lpstr>mgmt_az2_host_overlay_pool_start_ip</vt:lpstr>
      <vt:lpstr>mgmt_az2_host_overlay_uplink_profile_name</vt:lpstr>
      <vt:lpstr>mgmt_az2_host_overlay_vlan</vt:lpstr>
      <vt:lpstr>mgmt_az2_host_vrms_ips</vt:lpstr>
      <vt:lpstr>mgmt_az2_host1_fqdn</vt:lpstr>
      <vt:lpstr>mgmt_az2_host1_hostname</vt:lpstr>
      <vt:lpstr>mgmt_az2_host1_mgmt_ip</vt:lpstr>
      <vt:lpstr>mgmt_az2_host1_sddc_id</vt:lpstr>
      <vt:lpstr>mgmt_az2_host1_vrms_ip</vt:lpstr>
      <vt:lpstr>mgmt_az2_host10_fqdn</vt:lpstr>
      <vt:lpstr>mgmt_az2_host10_hostname</vt:lpstr>
      <vt:lpstr>mgmt_az2_host10_mgmt_ip</vt:lpstr>
      <vt:lpstr>mgmt_az2_host10_vrms_ip</vt:lpstr>
      <vt:lpstr>mgmt_az2_host11_fqdn</vt:lpstr>
      <vt:lpstr>mgmt_az2_host11_hostname</vt:lpstr>
      <vt:lpstr>mgmt_az2_host11_mgmt_ip</vt:lpstr>
      <vt:lpstr>mgmt_az2_host11_vrms_ip</vt:lpstr>
      <vt:lpstr>mgmt_az2_host12_fqdn</vt:lpstr>
      <vt:lpstr>mgmt_az2_host12_hostname</vt:lpstr>
      <vt:lpstr>mgmt_az2_host12_mgmt_ip</vt:lpstr>
      <vt:lpstr>mgmt_az2_host12_vrms_ip</vt:lpstr>
      <vt:lpstr>mgmt_az2_host13_fqdn</vt:lpstr>
      <vt:lpstr>mgmt_az2_host13_hostname</vt:lpstr>
      <vt:lpstr>mgmt_az2_host13_mgmt_ip</vt:lpstr>
      <vt:lpstr>mgmt_az2_host13_vrms_ip</vt:lpstr>
      <vt:lpstr>mgmt_az2_host14_fqdn</vt:lpstr>
      <vt:lpstr>mgmt_az2_host14_hostname</vt:lpstr>
      <vt:lpstr>mgmt_az2_host14_mgmt_ip</vt:lpstr>
      <vt:lpstr>mgmt_az2_host14_vrms_ip</vt:lpstr>
      <vt:lpstr>mgmt_az2_host15_fqdn</vt:lpstr>
      <vt:lpstr>mgmt_az2_host15_hostname</vt:lpstr>
      <vt:lpstr>mgmt_az2_host15_mgmt_ip</vt:lpstr>
      <vt:lpstr>mgmt_az2_host15_vrms_ip</vt:lpstr>
      <vt:lpstr>mgmt_az2_host16_fqdn</vt:lpstr>
      <vt:lpstr>mgmt_az2_host16_hostname</vt:lpstr>
      <vt:lpstr>mgmt_az2_host16_mgmt_ip</vt:lpstr>
      <vt:lpstr>mgmt_az2_host16_vrms_ip</vt:lpstr>
      <vt:lpstr>mgmt_az2_host2_fqdn</vt:lpstr>
      <vt:lpstr>mgmt_az2_host2_hostname</vt:lpstr>
      <vt:lpstr>mgmt_az2_host2_mgmt_ip</vt:lpstr>
      <vt:lpstr>mgmt_az2_host2_sddc_id</vt:lpstr>
      <vt:lpstr>mgmt_az2_host2_vrms_ip</vt:lpstr>
      <vt:lpstr>mgmt_az2_host3_fqdn</vt:lpstr>
      <vt:lpstr>mgmt_az2_host3_hostname</vt:lpstr>
      <vt:lpstr>mgmt_az2_host3_mgmt_ip</vt:lpstr>
      <vt:lpstr>mgmt_az2_host3_sddc_id</vt:lpstr>
      <vt:lpstr>mgmt_az2_host3_vrms_ip</vt:lpstr>
      <vt:lpstr>mgmt_az2_host4_fqdn</vt:lpstr>
      <vt:lpstr>mgmt_az2_host4_hostname</vt:lpstr>
      <vt:lpstr>mgmt_az2_host4_mgmt_ip</vt:lpstr>
      <vt:lpstr>mgmt_az2_host4_sddc_id</vt:lpstr>
      <vt:lpstr>mgmt_az2_host4_vrms_ip</vt:lpstr>
      <vt:lpstr>mgmt_az2_host5_fqdn</vt:lpstr>
      <vt:lpstr>mgmt_az2_host5_hostname</vt:lpstr>
      <vt:lpstr>mgmt_az2_host5_mgmt_ip</vt:lpstr>
      <vt:lpstr>mgmt_az2_host5_vrms_ip</vt:lpstr>
      <vt:lpstr>mgmt_az2_host6_fqdn</vt:lpstr>
      <vt:lpstr>mgmt_az2_host6_hostname</vt:lpstr>
      <vt:lpstr>mgmt_az2_host6_mgmt_ip</vt:lpstr>
      <vt:lpstr>mgmt_az2_host6_vrms_ip</vt:lpstr>
      <vt:lpstr>mgmt_az2_host7_fqdn</vt:lpstr>
      <vt:lpstr>mgmt_az2_host7_hostname</vt:lpstr>
      <vt:lpstr>mgmt_az2_host7_mgmt_ip</vt:lpstr>
      <vt:lpstr>mgmt_az2_host7_vrms_ip</vt:lpstr>
      <vt:lpstr>mgmt_az2_host8_fqdn</vt:lpstr>
      <vt:lpstr>mgmt_az2_host8_hostname</vt:lpstr>
      <vt:lpstr>mgmt_az2_host8_mgmt_ip</vt:lpstr>
      <vt:lpstr>mgmt_az2_host8_vrms_ip</vt:lpstr>
      <vt:lpstr>mgmt_az2_host9_fqdn</vt:lpstr>
      <vt:lpstr>mgmt_az2_host9_hostname</vt:lpstr>
      <vt:lpstr>mgmt_az2_host9_mgmt_ip</vt:lpstr>
      <vt:lpstr>mgmt_az2_host9_vrms_ip</vt:lpstr>
      <vt:lpstr>mgmt_az2_mgmt_cidr</vt:lpstr>
      <vt:lpstr>mgmt_az2_mgmt_gateway_ip</vt:lpstr>
      <vt:lpstr>mgmt_az2_mgmt_mask</vt:lpstr>
      <vt:lpstr>mgmt_az2_mgmt_mtu</vt:lpstr>
      <vt:lpstr>mgmt_az2_mgmt_network</vt:lpstr>
      <vt:lpstr>mgmt_az2_mgmt_vlan</vt:lpstr>
      <vt:lpstr>mgmt_az2_mgmt_vm_cidr</vt:lpstr>
      <vt:lpstr>mgmt_az2_mgmt_vm_gateway_ip</vt:lpstr>
      <vt:lpstr>mgmt_az2_mgmt_vm_mtu</vt:lpstr>
      <vt:lpstr>mgmt_az2_mgmt_vm_vlan</vt:lpstr>
      <vt:lpstr>mgmt_az2_pool_name</vt:lpstr>
      <vt:lpstr>mgmt_az2_rtep_overlay_cidr</vt:lpstr>
      <vt:lpstr>mgmt_az2_rtep_overlay_gateway_ip</vt:lpstr>
      <vt:lpstr>mgmt_az2_rtep_overlay_mask</vt:lpstr>
      <vt:lpstr>mgmt_az2_rtep_overlay_mtu</vt:lpstr>
      <vt:lpstr>mgmt_az2_rtep_overlay_network</vt:lpstr>
      <vt:lpstr>mgmt_az2_rtep_overlay_pg</vt:lpstr>
      <vt:lpstr>mgmt_az2_rtep_overlay_vlan</vt:lpstr>
      <vt:lpstr>mgmt_az2_secondary_storage_cidr</vt:lpstr>
      <vt:lpstr>mgmt_az2_secondary_storage_gateway_ip</vt:lpstr>
      <vt:lpstr>mgmt_az2_secondary_storage_mask</vt:lpstr>
      <vt:lpstr>mgmt_az2_secondary_storage_mtu</vt:lpstr>
      <vt:lpstr>mgmt_az2_secondary_storage_network</vt:lpstr>
      <vt:lpstr>mgmt_az2_secondary_storage_pool_end_ip</vt:lpstr>
      <vt:lpstr>mgmt_az2_secondary_storage_pool_start_ip</vt:lpstr>
      <vt:lpstr>mgmt_az2_secondary_storage_vlan</vt:lpstr>
      <vt:lpstr>mgmt_az2_tor1_peer_asn</vt:lpstr>
      <vt:lpstr>mgmt_az2_tor1_peer_bgp_password</vt:lpstr>
      <vt:lpstr>mgmt_az2_tor1_peer_ip</vt:lpstr>
      <vt:lpstr>mgmt_az2_tor2_peer_asn</vt:lpstr>
      <vt:lpstr>mgmt_az2_tor2_peer_bgp_password</vt:lpstr>
      <vt:lpstr>mgmt_az2_tor2_peer_ip</vt:lpstr>
      <vt:lpstr>mgmt_az2_uplink01_cidr</vt:lpstr>
      <vt:lpstr>mgmt_az2_uplink01_gateway_ip</vt:lpstr>
      <vt:lpstr>mgmt_az2_uplink01_mask</vt:lpstr>
      <vt:lpstr>mgmt_az2_uplink01_mtu</vt:lpstr>
      <vt:lpstr>mgmt_az2_uplink01_network</vt:lpstr>
      <vt:lpstr>mgmt_az2_uplink01_vlan</vt:lpstr>
      <vt:lpstr>mgmt_az2_uplink02_cidr</vt:lpstr>
      <vt:lpstr>mgmt_az2_uplink02_gateway_ip</vt:lpstr>
      <vt:lpstr>mgmt_az2_uplink02_mask</vt:lpstr>
      <vt:lpstr>mgmt_az2_uplink02_mtu</vt:lpstr>
      <vt:lpstr>mgmt_az2_uplink02_network</vt:lpstr>
      <vt:lpstr>mgmt_az2_uplink02_vlan</vt:lpstr>
      <vt:lpstr>mgmt_az2_vm_cidr</vt:lpstr>
      <vt:lpstr>mgmt_az2_vm_gateway_ip</vt:lpstr>
      <vt:lpstr>mgmt_az2_vm_mtu</vt:lpstr>
      <vt:lpstr>mgmt_az2_vm_vlan</vt:lpstr>
      <vt:lpstr>mgmt_az2_vmotion_cidr</vt:lpstr>
      <vt:lpstr>mgmt_az2_vmotion_gateway_ip</vt:lpstr>
      <vt:lpstr>mgmt_az2_vmotion_mask</vt:lpstr>
      <vt:lpstr>mgmt_az2_vmotion_mtu</vt:lpstr>
      <vt:lpstr>mgmt_az2_vmotion_network</vt:lpstr>
      <vt:lpstr>mgmt_az2_vmotion_pool_end_ip</vt:lpstr>
      <vt:lpstr>mgmt_az2_vmotion_pool_start_ip</vt:lpstr>
      <vt:lpstr>mgmt_az2_vmotion_vlan</vt:lpstr>
      <vt:lpstr>mgmt_az2_vrms_cidr</vt:lpstr>
      <vt:lpstr>mgmt_az2_vrms_gateway_ip</vt:lpstr>
      <vt:lpstr>mgmt_az2_vrms_mask</vt:lpstr>
      <vt:lpstr>mgmt_az2_vrms_mtu</vt:lpstr>
      <vt:lpstr>mgmt_az2_vrms_network</vt:lpstr>
      <vt:lpstr>mgmt_az2_vrms_vlan</vt:lpstr>
      <vt:lpstr>mgmt_az2_vsan_cidr</vt:lpstr>
      <vt:lpstr>mgmt_az2_vsan_gateway_ip</vt:lpstr>
      <vt:lpstr>mgmt_az2_vsan_mask</vt:lpstr>
      <vt:lpstr>mgmt_az2_vsan_mtu</vt:lpstr>
      <vt:lpstr>mgmt_az2_vsan_network</vt:lpstr>
      <vt:lpstr>mgmt_az2_vsan_pool_end_ip</vt:lpstr>
      <vt:lpstr>mgmt_az2_vsan_pool_start_ip</vt:lpstr>
      <vt:lpstr>mgmt_az2_vsan_vlan</vt:lpstr>
      <vt:lpstr>mgmt_cl01_az1_mgmt_pg</vt:lpstr>
      <vt:lpstr>mgmt_cl01_az1_mgmt_vm_pg</vt:lpstr>
      <vt:lpstr>mgmt_cl01_az1_nfs_pg</vt:lpstr>
      <vt:lpstr>mgmt_cl01_az1_uplink01_pg</vt:lpstr>
      <vt:lpstr>mgmt_cl01_az1_uplink02_pg</vt:lpstr>
      <vt:lpstr>mgmt_cl01_az1_vcf_mgmt_pg</vt:lpstr>
      <vt:lpstr>mgmt_cl01_az1_vmotion_pg</vt:lpstr>
      <vt:lpstr>mgmt_cl01_az1_vsan_pg</vt:lpstr>
      <vt:lpstr>mgmt_cl01_az2_mgmt_pg</vt:lpstr>
      <vt:lpstr>mgmt_cl01_az2_mgmt_vm_pg</vt:lpstr>
      <vt:lpstr>mgmt_cl01_az2_uplink01_pg</vt:lpstr>
      <vt:lpstr>mgmt_cl01_az2_uplink02_pg</vt:lpstr>
      <vt:lpstr>mgmt_cl01_az2_vmotion_pg</vt:lpstr>
      <vt:lpstr>mgmt_cl01_az2_vsan_pg</vt:lpstr>
      <vt:lpstr>mgmt_cl01_cluster</vt:lpstr>
      <vt:lpstr>mgmt_cl01_cluster_sddc_id</vt:lpstr>
      <vt:lpstr>mgmt_cl01_nfs_server_ip</vt:lpstr>
      <vt:lpstr>mgmt_cl01_nfs_share</vt:lpstr>
      <vt:lpstr>mgmt_cl01_vds01_lag_name</vt:lpstr>
      <vt:lpstr>mgmt_cl01_vds01_mtu</vt:lpstr>
      <vt:lpstr>mgmt_cl01_vds01_name</vt:lpstr>
      <vt:lpstr>mgmt_cl01_vds01_pnics</vt:lpstr>
      <vt:lpstr>mgmt_cl01_vds01_uplink_count</vt:lpstr>
      <vt:lpstr>mgmt_cl01_vds01_uplink1</vt:lpstr>
      <vt:lpstr>mgmt_cl01_vds01_uplink2</vt:lpstr>
      <vt:lpstr>mgmt_cl01_vds02_lag_name</vt:lpstr>
      <vt:lpstr>mgmt_cl01_vds02_mtu</vt:lpstr>
      <vt:lpstr>mgmt_cl01_vds02_name</vt:lpstr>
      <vt:lpstr>mgmt_cl01_vds02_pnics</vt:lpstr>
      <vt:lpstr>mgmt_cl01_vds02_uplink_count</vt:lpstr>
      <vt:lpstr>mgmt_cl01_vds02_uplink1</vt:lpstr>
      <vt:lpstr>mgmt_cl01_vds02_uplink2</vt:lpstr>
      <vt:lpstr>mgmt_cl01_vds03_lag_name</vt:lpstr>
      <vt:lpstr>mgmt_cl01_vds03_mtu</vt:lpstr>
      <vt:lpstr>mgmt_cl01_vds03_name</vt:lpstr>
      <vt:lpstr>mgmt_cl01_vds03_pnics</vt:lpstr>
      <vt:lpstr>mgmt_cl01_vds03_uplink_count</vt:lpstr>
      <vt:lpstr>mgmt_cl01_vds03_uplink1</vt:lpstr>
      <vt:lpstr>mgmt_cl01_vds03_uplink2</vt:lpstr>
      <vt:lpstr>mgmt_cl01_vsan_datastore</vt:lpstr>
      <vt:lpstr>mgmt_consolidated_result</vt:lpstr>
      <vt:lpstr>mgmt_datacenter</vt:lpstr>
      <vt:lpstr>mgmt_dpg_reuse_result</vt:lpstr>
      <vt:lpstr>mgmt_ec_gateway_type</vt:lpstr>
      <vt:lpstr>mgmt_ec_mtu</vt:lpstr>
      <vt:lpstr>mgmt_ec_name</vt:lpstr>
      <vt:lpstr>mgmt_ec_rp_name</vt:lpstr>
      <vt:lpstr>mgmt_ec01_en01_host_group_affinity_rule_name</vt:lpstr>
      <vt:lpstr>mgmt_ec01_en02_host_group_affinity_rule_name</vt:lpstr>
      <vt:lpstr>mgmt_edge_vm_folder</vt:lpstr>
      <vt:lpstr>mgmt_en_asn</vt:lpstr>
      <vt:lpstr>mgmt_existing_active_nsx_gm</vt:lpstr>
      <vt:lpstr>mgmt_existing_cross_instance_t0_name</vt:lpstr>
      <vt:lpstr>mgmt_flt_fm_reuse_password_chosen</vt:lpstr>
      <vt:lpstr>mgmt_internet_proxy_address</vt:lpstr>
      <vt:lpstr>mgmt_internet_proxy_email</vt:lpstr>
      <vt:lpstr>mgmt_internet_proxy_password</vt:lpstr>
      <vt:lpstr>mgmt_internet_proxy_port</vt:lpstr>
      <vt:lpstr>mgmt_mgmt_rp</vt:lpstr>
      <vt:lpstr>mgmt_mgmt_vm_folder</vt:lpstr>
      <vt:lpstr>mgmt_nsx_rp</vt:lpstr>
      <vt:lpstr>mgmt_nsx_vm_folder</vt:lpstr>
      <vt:lpstr>mgmt_nsxt_en_admin_password</vt:lpstr>
      <vt:lpstr>mgmt_nsxt_en_root_password</vt:lpstr>
      <vt:lpstr>mgmt_nsxt_federation_global_manager_name</vt:lpstr>
      <vt:lpstr>mgmt_nsxt_federation_location_name</vt:lpstr>
      <vt:lpstr>mgmt_nsxt_global_mgr_anti_affinity_rule_name</vt:lpstr>
      <vt:lpstr>mgmt_nsxt_global_mgr_certificate_id</vt:lpstr>
      <vt:lpstr>mgmt_nsxt_global_mgr_cluster_id</vt:lpstr>
      <vt:lpstr>mgmt_nsxt_global_mgr_vmca_signed_thumbprint</vt:lpstr>
      <vt:lpstr>mgmt_nsxt_global_mgra_fqdn</vt:lpstr>
      <vt:lpstr>mgmt_nsxt_global_mgra_hostname</vt:lpstr>
      <vt:lpstr>mgmt_nsxt_global_mgra_ip</vt:lpstr>
      <vt:lpstr>mgmt_nsxt_global_mgrb_fqdn</vt:lpstr>
      <vt:lpstr>mgmt_nsxt_global_mgrb_hostname</vt:lpstr>
      <vt:lpstr>mgmt_nsxt_global_mgrb_ip</vt:lpstr>
      <vt:lpstr>mgmt_nsxt_global_mgrc_fqdn</vt:lpstr>
      <vt:lpstr>mgmt_nsxt_global_mgrc_hostname</vt:lpstr>
      <vt:lpstr>mgmt_nsxt_global_mgrc_ip</vt:lpstr>
      <vt:lpstr>mgmt_nsxt_gm_fingerprint</vt:lpstr>
      <vt:lpstr>mgmt_nsxt_gm_hostname</vt:lpstr>
      <vt:lpstr>mgmt_nsxt_gm_vip_fqdn</vt:lpstr>
      <vt:lpstr>mgmt_nsxt_gm_vip_ip</vt:lpstr>
      <vt:lpstr>mgmt_nsxt_hostname</vt:lpstr>
      <vt:lpstr>mgmt_nsxt_lm_fingerprint</vt:lpstr>
      <vt:lpstr>mgmt_nsxt_mgr_formfactor</vt:lpstr>
      <vt:lpstr>mgmt_nsxt_mgra_fqdn</vt:lpstr>
      <vt:lpstr>mgmt_nsxt_mgra_hostname</vt:lpstr>
      <vt:lpstr>mgmt_nsxt_mgra_ip</vt:lpstr>
      <vt:lpstr>mgmt_nsxt_mgrb_fqdn</vt:lpstr>
      <vt:lpstr>mgmt_nsxt_mgrb_hostname</vt:lpstr>
      <vt:lpstr>mgmt_nsxt_mgrb_ip</vt:lpstr>
      <vt:lpstr>mgmt_nsxt_mgrc_fqdn</vt:lpstr>
      <vt:lpstr>mgmt_nsxt_mgrc_hostname</vt:lpstr>
      <vt:lpstr>mgmt_nsxt_mgrc_ip</vt:lpstr>
      <vt:lpstr>mgmt_nsxt_vip_fqdn</vt:lpstr>
      <vt:lpstr>mgmt_nsxt_vip_ip</vt:lpstr>
      <vt:lpstr>mgmt_nsxt_xreg_t1_name</vt:lpstr>
      <vt:lpstr>mgmt_offline_depot_fqdn</vt:lpstr>
      <vt:lpstr>mgmt_offline_depot_port</vt:lpstr>
      <vt:lpstr>mgmt_recovery_lb_creation_method</vt:lpstr>
      <vt:lpstr>mgmt_rtep_overlay_pool_end_ip</vt:lpstr>
      <vt:lpstr>mgmt_rtep_overlay_pool_start_ip</vt:lpstr>
      <vt:lpstr>mgmt_rwr_recovery_site_az1_mgmt_cidr</vt:lpstr>
      <vt:lpstr>mgmt_rwr_vc_fqdn</vt:lpstr>
      <vt:lpstr>mgmt_sddc_domain</vt:lpstr>
      <vt:lpstr>mgmt_srm_admin_email</vt:lpstr>
      <vt:lpstr>mgmt_srm_admin_password</vt:lpstr>
      <vt:lpstr>mgmt_srm_database_password</vt:lpstr>
      <vt:lpstr>mgmt_srm_days</vt:lpstr>
      <vt:lpstr>mgmt_srm_fqdn</vt:lpstr>
      <vt:lpstr>mgmt_srm_instances_per_day</vt:lpstr>
      <vt:lpstr>mgmt_srm_ip</vt:lpstr>
      <vt:lpstr>mgmt_srm_logs_rp</vt:lpstr>
      <vt:lpstr>mgmt_srm_net_rp</vt:lpstr>
      <vt:lpstr>mgmt_srm_p12_password</vt:lpstr>
      <vt:lpstr>mgmt_srm_recovery_cluster</vt:lpstr>
      <vt:lpstr>mgmt_srm_recovery_datastore</vt:lpstr>
      <vt:lpstr>mgmt_srm_recovery_gateway</vt:lpstr>
      <vt:lpstr>mgmt_srm_recovery_mask</vt:lpstr>
      <vt:lpstr>mgmt_srm_recovery_nsx_ec_name</vt:lpstr>
      <vt:lpstr>mgmt_srm_recovery_nsx_location</vt:lpstr>
      <vt:lpstr>mgmt_srm_recovery_pg</vt:lpstr>
      <vt:lpstr>mgmt_srm_recovery_sddc_manager_domain</vt:lpstr>
      <vt:lpstr>mgmt_srm_recovery_sddc_manager_fqdn</vt:lpstr>
      <vt:lpstr>mgmt_srm_recovery_sddc_manager_password</vt:lpstr>
      <vt:lpstr>mgmt_srm_recovery_sddc_manager_username</vt:lpstr>
      <vt:lpstr>mgmt_srm_recovery_t1_si_ip</vt:lpstr>
      <vt:lpstr>mgmt_srm_recovery_vcenter_fqdn</vt:lpstr>
      <vt:lpstr>mgmt_srm_recovery_vcenter_password</vt:lpstr>
      <vt:lpstr>mgmt_srm_recovery_vcenter_username</vt:lpstr>
      <vt:lpstr>mgmt_srm_root_password</vt:lpstr>
      <vt:lpstr>mgmt_srm_rpo</vt:lpstr>
      <vt:lpstr>mgmt_srm_site_name</vt:lpstr>
      <vt:lpstr>mgmt_srm_sso_domain_membership</vt:lpstr>
      <vt:lpstr>mgmt_srm_vm_folder</vt:lpstr>
      <vt:lpstr>mgmt_srm_vm_size</vt:lpstr>
      <vt:lpstr>mgmt_srm_vra_pg</vt:lpstr>
      <vt:lpstr>mgmt_srm_vra_rp</vt:lpstr>
      <vt:lpstr>mgmt_srm_vrops_pg</vt:lpstr>
      <vt:lpstr>mgmt_srm_vrops_rp</vt:lpstr>
      <vt:lpstr>mgmt_srm_vrslcm_wsa_pg</vt:lpstr>
      <vt:lpstr>mgmt_srm_vrslcm_wsa_rp</vt:lpstr>
      <vt:lpstr>mgmt_sso_domain</vt:lpstr>
      <vt:lpstr>mgmt_sso_domain_username</vt:lpstr>
      <vt:lpstr>mgmt_supvr_api_server_fqdn</vt:lpstr>
      <vt:lpstr>mgmt_supvr_cp_storage_policy</vt:lpstr>
      <vt:lpstr>mgmt_supvr_ed_storage_policy</vt:lpstr>
      <vt:lpstr>mgmt_supvr_ic_storage_policy</vt:lpstr>
      <vt:lpstr>mgmt_supvr_ip_address_range</vt:lpstr>
      <vt:lpstr>mgmt_supvr_mgmt_dns_server</vt:lpstr>
      <vt:lpstr>mgmt_supvr_mgmt_dns_zones</vt:lpstr>
      <vt:lpstr>mgmt_supvr_mgmt_ntp_server</vt:lpstr>
      <vt:lpstr>mgmt_supvr_name</vt:lpstr>
      <vt:lpstr>mgmt_supvr_nsx_project</vt:lpstr>
      <vt:lpstr>mgmt_supvr_vpc_connectivity_profile</vt:lpstr>
      <vt:lpstr>mgmt_supvr_vpc_ext_ip_blocks_name</vt:lpstr>
      <vt:lpstr>mgmt_supvr_vpc_priv_cidr</vt:lpstr>
      <vt:lpstr>mgmt_supvr_vpc_priv_ip_blocks_name</vt:lpstr>
      <vt:lpstr>mgmt_supvr_vpc_service_cidr</vt:lpstr>
      <vt:lpstr>mgmt_supvr_wld_dns_server</vt:lpstr>
      <vt:lpstr>mgmt_supvr_wld_ntp_server</vt:lpstr>
      <vt:lpstr>mgmt_supvr_zone_name</vt:lpstr>
      <vt:lpstr>mgmt_tier0_name</vt:lpstr>
      <vt:lpstr>mgmt_tier1_name</vt:lpstr>
      <vt:lpstr>mgmt_user_edge_rp</vt:lpstr>
      <vt:lpstr>mgmt_user_vm_rp</vt:lpstr>
      <vt:lpstr>mgmt_vc_fqdn</vt:lpstr>
      <vt:lpstr>mgmt_vc_hostname</vt:lpstr>
      <vt:lpstr>mgmt_vc_ip</vt:lpstr>
      <vt:lpstr>mgmt_vc_size</vt:lpstr>
      <vt:lpstr>mgmt_vc_storage_size</vt:lpstr>
      <vt:lpstr>mgmt_vna_rp_name</vt:lpstr>
      <vt:lpstr>mgmt_vnaa_cidr</vt:lpstr>
      <vt:lpstr>mgmt_vnaa_fqdn</vt:lpstr>
      <vt:lpstr>mgmt_vnab_cidr</vt:lpstr>
      <vt:lpstr>mgmt_vnab_fqdn</vt:lpstr>
      <vt:lpstr>mgmt_vpc_ext_ip_blocks</vt:lpstr>
      <vt:lpstr>mgmt_vpc_ext_ip_blocks_cidr</vt:lpstr>
      <vt:lpstr>mgmt_vpc_ext_ip_blocks_excluded_ips</vt:lpstr>
      <vt:lpstr>mgmt_vpc_ext_ip_blocks_name</vt:lpstr>
      <vt:lpstr>mgmt_vpc_ext_ip_blocks_reserved</vt:lpstr>
      <vt:lpstr>mgmt_vpc_ext_ip_blocks_visability</vt:lpstr>
      <vt:lpstr>mgmt_vpc_priv_ip_blocks_excluded_ips</vt:lpstr>
      <vt:lpstr>mgmt_vpc_priv_ip_blocks_name</vt:lpstr>
      <vt:lpstr>mgmt_vpc_priv_ip_blocks_reserved</vt:lpstr>
      <vt:lpstr>mgmt_vpc_priv_ip_blocks_visability</vt:lpstr>
      <vt:lpstr>mgmt_vpc_transit_gateway_ip_blocks</vt:lpstr>
      <vt:lpstr>mgmt_vpc_transit_gateway_ip_blocks_cidr</vt:lpstr>
      <vt:lpstr>mgmt_vpc_vna_cluster_name</vt:lpstr>
      <vt:lpstr>mgmt_vrms_admin_email</vt:lpstr>
      <vt:lpstr>mgmt_vrms_admin_password</vt:lpstr>
      <vt:lpstr>mgmt_vrms_hostname</vt:lpstr>
      <vt:lpstr>mgmt_vrms_mgmt_ip</vt:lpstr>
      <vt:lpstr>mgmt_vrms_p12_password</vt:lpstr>
      <vt:lpstr>mgmt_vrms_pg</vt:lpstr>
      <vt:lpstr>mgmt_vrms_recovery_replication_cidr</vt:lpstr>
      <vt:lpstr>mgmt_vrms_root_password</vt:lpstr>
      <vt:lpstr>mgmt_vrms_site_name</vt:lpstr>
      <vt:lpstr>mgmt_vrms_vm_folder</vt:lpstr>
      <vt:lpstr>mgmt_vrms_vrms_ip</vt:lpstr>
      <vt:lpstr>mgmt_witness_az_mgmt_mask</vt:lpstr>
      <vt:lpstr>mgmt_witness_cluster</vt:lpstr>
      <vt:lpstr>mgmt_witness_dns1_ip</vt:lpstr>
      <vt:lpstr>mgmt_witness_dns2_ip</vt:lpstr>
      <vt:lpstr>mgmt_witness_fqdn</vt:lpstr>
      <vt:lpstr>mgmt_witness_hostname</vt:lpstr>
      <vt:lpstr>mgmt_witness_ip</vt:lpstr>
      <vt:lpstr>mgmt_witness_mgmt_ip</vt:lpstr>
      <vt:lpstr>mgmt_witness_mgmt_pg</vt:lpstr>
      <vt:lpstr>mgmt_witness_ntp1_server</vt:lpstr>
      <vt:lpstr>mgmt_witness_ntp2_server</vt:lpstr>
      <vt:lpstr>mgmt_witness_root_password</vt:lpstr>
      <vt:lpstr>mgmt_witness_sddc_domain</vt:lpstr>
      <vt:lpstr>mgmt_witness_vc_fqdn</vt:lpstr>
      <vt:lpstr>mgmt_witness_vcenter_fqdn</vt:lpstr>
      <vt:lpstr>mgmt_witness_vcenter_hostname</vt:lpstr>
      <vt:lpstr>mgmt_witness_vm_folder</vt:lpstr>
      <vt:lpstr>mgmt_witness_vsan_datastore</vt:lpstr>
      <vt:lpstr>mgmt_witness_zone_vc_fqdn</vt:lpstr>
      <vt:lpstr>mgmt_witness_zone_vc_hostname</vt:lpstr>
      <vt:lpstr>mgmt_witness_zone_vc_ip</vt:lpstr>
      <vt:lpstr>mgmt_witnessaz_cidr</vt:lpstr>
      <vt:lpstr>mgmt_witnessaz_gateway_ip</vt:lpstr>
      <vt:lpstr>mgmt_witnessaz_mgmt_cidr</vt:lpstr>
      <vt:lpstr>mgmt_witnessaz_mgmt_gateway_ip</vt:lpstr>
      <vt:lpstr>mgmt_witnessaz_mgmt_mask</vt:lpstr>
      <vt:lpstr>mgmt_witnessaz_mgmt_mtu</vt:lpstr>
      <vt:lpstr>mgmt_witnessaz_mgmt_network</vt:lpstr>
      <vt:lpstr>mgmt_witnessaz_mgmt_vlan</vt:lpstr>
      <vt:lpstr>mgmt_witnessaz_mtu</vt:lpstr>
      <vt:lpstr>mgmt_witnessaz_vlan</vt:lpstr>
      <vt:lpstr>navigation_site_protection_mgmt</vt:lpstr>
      <vt:lpstr>navigation_site_protection_solution_interop</vt:lpstr>
      <vt:lpstr>navigation_site_protection_wld</vt:lpstr>
      <vt:lpstr>non_first_domain_mgmt_only_viable</vt:lpstr>
      <vt:lpstr>non_first_domain_mgmt_vi_viable</vt:lpstr>
      <vt:lpstr>nsx_sizing_limits</vt:lpstr>
      <vt:lpstr>nsxt_en_admin_password</vt:lpstr>
      <vt:lpstr>nsxt_en_root_password</vt:lpstr>
      <vt:lpstr>nsxt_gm_admin_password</vt:lpstr>
      <vt:lpstr>nsxt_gm_audit_password</vt:lpstr>
      <vt:lpstr>nsxt_gm_root_password</vt:lpstr>
      <vt:lpstr>nsxt_lm_admin_password</vt:lpstr>
      <vt:lpstr>nsxt_lm_audit_password</vt:lpstr>
      <vt:lpstr>nsxt_lm_root_password</vt:lpstr>
      <vt:lpstr>other_instance</vt:lpstr>
      <vt:lpstr>parent_ad_groups_ou</vt:lpstr>
      <vt:lpstr>parent_ad_users_ou</vt:lpstr>
      <vt:lpstr>parent_dns_zone</vt:lpstr>
      <vt:lpstr>pnp_version_history</vt:lpstr>
      <vt:lpstr>pnp_version_number</vt:lpstr>
      <vt:lpstr>prefix_flt_shared_cidr</vt:lpstr>
      <vt:lpstr>prefix_mgmt_az1_cidr</vt:lpstr>
      <vt:lpstr>prefix_mgmt_az1_vlan</vt:lpstr>
      <vt:lpstr>prefix_mgmt_az2_cidr</vt:lpstr>
      <vt:lpstr>prefix_mgmt_az2_vlan</vt:lpstr>
      <vt:lpstr>prefix_mgmt_ipv6_cidr</vt:lpstr>
      <vt:lpstr>prefix_mgmt_tor_asn</vt:lpstr>
      <vt:lpstr>prefix_mgmt_witness_cidr</vt:lpstr>
      <vt:lpstr>prefix_mgmt_witness_vlan</vt:lpstr>
      <vt:lpstr>prefix_other_region_az1_cidr</vt:lpstr>
      <vt:lpstr>prefix_portable_component</vt:lpstr>
      <vt:lpstr>prefix_reg_cidr</vt:lpstr>
      <vt:lpstr>prefix_wld_az1_cidr</vt:lpstr>
      <vt:lpstr>prefix_wld_az1_rack_cidr</vt:lpstr>
      <vt:lpstr>prefix_wld_az1_rack_vlan</vt:lpstr>
      <vt:lpstr>prefix_wld_az1_vlan</vt:lpstr>
      <vt:lpstr>prefix_wld_az2_cidr</vt:lpstr>
      <vt:lpstr>prefix_wld_az2_rack_cidr</vt:lpstr>
      <vt:lpstr>prefix_wld_az2_rack_vlan</vt:lpstr>
      <vt:lpstr>prefix_wld_az2_vlan</vt:lpstr>
      <vt:lpstr>prefix_wld_k8s_cidr</vt:lpstr>
      <vt:lpstr>prefix_wld_tor_asn</vt:lpstr>
      <vt:lpstr>prefix_wld_witness_cidr</vt:lpstr>
      <vt:lpstr>prefix_wld_witness_vlan</vt:lpstr>
      <vt:lpstr>prefix_xreg_cidr</vt:lpstr>
      <vt:lpstr>prefix_xreg_vlan</vt:lpstr>
      <vt:lpstr>protected_mgmt_result</vt:lpstr>
      <vt:lpstr>protected_wld_result</vt:lpstr>
      <vt:lpstr>recovery_mgmt_result</vt:lpstr>
      <vt:lpstr>region_ad_child_fqdn</vt:lpstr>
      <vt:lpstr>region_ad_child_netbios</vt:lpstr>
      <vt:lpstr>region_ad_parent_fqdn</vt:lpstr>
      <vt:lpstr>region_ad_parent_netbios</vt:lpstr>
      <vt:lpstr>region_dns1_ip</vt:lpstr>
      <vt:lpstr>region_dns2_ip</vt:lpstr>
      <vt:lpstr>region_ntp_servers_array</vt:lpstr>
      <vt:lpstr>region_ntp1_server</vt:lpstr>
      <vt:lpstr>region_ntp2_server</vt:lpstr>
      <vt:lpstr>region_vrli_nodea_fqdn</vt:lpstr>
      <vt:lpstr>region_vrli_nodea_hostname</vt:lpstr>
      <vt:lpstr>region_vrli_nodea_ip</vt:lpstr>
      <vt:lpstr>region_vrli_nodeb_fqdn</vt:lpstr>
      <vt:lpstr>region_vrli_nodeb_hostname</vt:lpstr>
      <vt:lpstr>region_vrli_nodeb_ip</vt:lpstr>
      <vt:lpstr>region_vrli_nodec_fqdn</vt:lpstr>
      <vt:lpstr>region_vrli_nodec_hostname</vt:lpstr>
      <vt:lpstr>region_vrli_nodec_ip</vt:lpstr>
      <vt:lpstr>region_vrli_virtual_fqdn</vt:lpstr>
      <vt:lpstr>region_vrli_virtual_hostname</vt:lpstr>
      <vt:lpstr>region_vrli_virtual_ip</vt:lpstr>
      <vt:lpstr>region_vrni_nodea_hostname</vt:lpstr>
      <vt:lpstr>region_vrni_nodea_ip</vt:lpstr>
      <vt:lpstr>rwr_child_dns_zone</vt:lpstr>
      <vt:lpstr>rwr_datacenter</vt:lpstr>
      <vt:lpstr>rwr_sso_domain_name</vt:lpstr>
      <vt:lpstr>rwr_vlr_replication_password</vt:lpstr>
      <vt:lpstr>rwr_vrms_pg</vt:lpstr>
      <vt:lpstr>sample_air_GPU_network_operator_namespace</vt:lpstr>
      <vt:lpstr>sample_air_GPU_operator_namespace</vt:lpstr>
      <vt:lpstr>sample_air_GPU_VM_class</vt:lpstr>
      <vt:lpstr>sample_air_license</vt:lpstr>
      <vt:lpstr>sample_cbr_aria_logs_key</vt:lpstr>
      <vt:lpstr>sample_cbr_aria_logs_url</vt:lpstr>
      <vt:lpstr>sample_cbr_firewall_group</vt:lpstr>
      <vt:lpstr>sample_cbr_firewall_ip_addresses</vt:lpstr>
      <vt:lpstr>sample_cbr_firewall_rule_vcenter</vt:lpstr>
      <vt:lpstr>sample_cbr_recovery_host_count</vt:lpstr>
      <vt:lpstr>sample_cbr_recovery_host_type</vt:lpstr>
      <vt:lpstr>sample_cbr_recovery_management_subnet</vt:lpstr>
      <vt:lpstr>sample_cbr_recovery_region</vt:lpstr>
      <vt:lpstr>sample_cbr_recovery_sddc_name</vt:lpstr>
      <vt:lpstr>sample_cbr_recovery_subnet</vt:lpstr>
      <vt:lpstr>sample_cbr_recovery_vpc</vt:lpstr>
      <vt:lpstr>sample_cbr_vcdr_anti_affinity</vt:lpstr>
      <vt:lpstr>sample_cbr_vcdr_cdp1_hostname</vt:lpstr>
      <vt:lpstr>sample_cbr_vcdr_cdp1_ip</vt:lpstr>
      <vt:lpstr>sample_cbr_vcdr_cdp2_hostname</vt:lpstr>
      <vt:lpstr>sample_cbr_vcdr_cdp2_ip</vt:lpstr>
      <vt:lpstr>sample_cbr_vcdr_cloud_file_system</vt:lpstr>
      <vt:lpstr>sample_cbr_vcdr_email_recipient</vt:lpstr>
      <vt:lpstr>sample_cbr_vcdr_email_sender</vt:lpstr>
      <vt:lpstr>sample_cbr_vcdr_label</vt:lpstr>
      <vt:lpstr>sample_cbr_vcdr_orchestrator_fqdn</vt:lpstr>
      <vt:lpstr>sample_cbr_vcdr_ova</vt:lpstr>
      <vt:lpstr>sample_cbr_vcdr_passcode</vt:lpstr>
      <vt:lpstr>sample_cbr_vcdr_site_name</vt:lpstr>
      <vt:lpstr>sample_cbr_vcdr_timezone</vt:lpstr>
      <vt:lpstr>sample_cbr_vcdr_vsphere_role</vt:lpstr>
      <vt:lpstr>sample_cbr_vm_folder</vt:lpstr>
      <vt:lpstr>sample_cbw_hcx_cdp_fqdn</vt:lpstr>
      <vt:lpstr>sample_ccm_aws_admin_password</vt:lpstr>
      <vt:lpstr>sample_ccm_aws_admin_ssouser</vt:lpstr>
      <vt:lpstr>sample_ccm_aws_host_count</vt:lpstr>
      <vt:lpstr>sample_ccm_aws_host_type</vt:lpstr>
      <vt:lpstr>sample_ccm_aws_management_subnet</vt:lpstr>
      <vt:lpstr>sample_ccm_aws_region</vt:lpstr>
      <vt:lpstr>sample_ccm_aws_sddc_name</vt:lpstr>
      <vt:lpstr>sample_ccm_aws_subnet</vt:lpstr>
      <vt:lpstr>sample_ccm_aws_vpc</vt:lpstr>
      <vt:lpstr>sample_ccm_firewall_group</vt:lpstr>
      <vt:lpstr>sample_ccm_firewall_ip_addresses</vt:lpstr>
      <vt:lpstr>sample_ccm_firewall_rule_hcx</vt:lpstr>
      <vt:lpstr>sample_ccm_firewall_rule_vcenter</vt:lpstr>
      <vt:lpstr>sample_ccm_hcx_admin_password</vt:lpstr>
      <vt:lpstr>sample_ccm_hcx_cdp_hostname</vt:lpstr>
      <vt:lpstr>sample_ccm_hcx_cdp_ip</vt:lpstr>
      <vt:lpstr>sample_ccm_hcx_compute_profile</vt:lpstr>
      <vt:lpstr>sample_ccm_hcx_dc_location</vt:lpstr>
      <vt:lpstr>sample_ccm_hcx_license</vt:lpstr>
      <vt:lpstr>sample_ccm_hcx_mgmt_network_ip_range</vt:lpstr>
      <vt:lpstr>sample_ccm_hcx_remote_url</vt:lpstr>
      <vt:lpstr>sample_ccm_hcx_resource_pool</vt:lpstr>
      <vt:lpstr>sample_ccm_hcx_root_password</vt:lpstr>
      <vt:lpstr>sample_ccm_hcx_service_mesh</vt:lpstr>
      <vt:lpstr>sample_ccm_hcx_vm_folder</vt:lpstr>
      <vt:lpstr>sample_ccm_hcx_vmotion_network_ip_range</vt:lpstr>
      <vt:lpstr>sample_ccm_hcx_vsphere_role</vt:lpstr>
      <vt:lpstr>sample_ccm_vm_folder</vt:lpstr>
      <vt:lpstr>sample_child_ad_groups_ou</vt:lpstr>
      <vt:lpstr>sample_child_ad_users_ou</vt:lpstr>
      <vt:lpstr>sample_child_dns_zone</vt:lpstr>
      <vt:lpstr>sample_child_svc_nsx_ad_password</vt:lpstr>
      <vt:lpstr>sample_child_svc_nsx_ad_user</vt:lpstr>
      <vt:lpstr>sample_child_svc_vsphere_ad_password</vt:lpstr>
      <vt:lpstr>sample_child_svc_vsphere_ad_user</vt:lpstr>
      <vt:lpstr>sample_domain_controller_hostname</vt:lpstr>
      <vt:lpstr>sample_gg_kub_admins_group</vt:lpstr>
      <vt:lpstr>sample_gg_kub_readonly_group</vt:lpstr>
      <vt:lpstr>sample_gg_nsx_auditors_group</vt:lpstr>
      <vt:lpstr>sample_gg_nsx_enterprise_admins_group</vt:lpstr>
      <vt:lpstr>sample_gg_nsx_network_admins_group</vt:lpstr>
      <vt:lpstr>sample_gg_sso_admins_group</vt:lpstr>
      <vt:lpstr>sample_gg_vc_admins_group</vt:lpstr>
      <vt:lpstr>sample_gg_vc_read_only_group</vt:lpstr>
      <vt:lpstr>sample_gg_vcf_admins_group</vt:lpstr>
      <vt:lpstr>sample_gg_vcf_operators_group</vt:lpstr>
      <vt:lpstr>sample_gg_vcf_viewers_group</vt:lpstr>
      <vt:lpstr>sample_gg_vra_cloud_assembly_admins_group</vt:lpstr>
      <vt:lpstr>sample_gg_vra_cloud_assembly_users_group</vt:lpstr>
      <vt:lpstr>sample_gg_vra_cloud_assembly_viewers_group</vt:lpstr>
      <vt:lpstr>sample_gg_vra_orchestrator_admins_group</vt:lpstr>
      <vt:lpstr>sample_gg_vra_orchestrator_designers_group</vt:lpstr>
      <vt:lpstr>sample_gg_vra_orchestrator_viewers_group</vt:lpstr>
      <vt:lpstr>sample_gg_vra_org_owners_group</vt:lpstr>
      <vt:lpstr>sample_gg_vra_project_admins_sample_group</vt:lpstr>
      <vt:lpstr>sample_gg_vra_project_users_sample_group</vt:lpstr>
      <vt:lpstr>sample_gg_vra_service_broker_admins_group</vt:lpstr>
      <vt:lpstr>sample_gg_vra_service_broker_users_group</vt:lpstr>
      <vt:lpstr>sample_gg_vra_service_broker_viewers_group</vt:lpstr>
      <vt:lpstr>sample_gg_vrli_admins_group</vt:lpstr>
      <vt:lpstr>sample_gg_vrli_users_group</vt:lpstr>
      <vt:lpstr>sample_gg_vrli_viewers_group</vt:lpstr>
      <vt:lpstr>sample_gg_vrni_admin_group</vt:lpstr>
      <vt:lpstr>sample_gg_vrni_auditor_group</vt:lpstr>
      <vt:lpstr>sample_gg_vrni_member_group</vt:lpstr>
      <vt:lpstr>sample_gg_vrops_admins_group</vt:lpstr>
      <vt:lpstr>sample_gg_vrops_content_admins_group</vt:lpstr>
      <vt:lpstr>sample_gg_vrops_read_only_group</vt:lpstr>
      <vt:lpstr>sample_gg_vrslcm_admins_group</vt:lpstr>
      <vt:lpstr>sample_gg_vrslcm_content_developers_group</vt:lpstr>
      <vt:lpstr>sample_gg_vrslcm_release_managers_group</vt:lpstr>
      <vt:lpstr>sample_k8s_cluster_name</vt:lpstr>
      <vt:lpstr>sample_k8s_ip_prefixlist</vt:lpstr>
      <vt:lpstr>sample_k8s_ip_routemap</vt:lpstr>
      <vt:lpstr>sample_k8s_kubectl_path</vt:lpstr>
      <vt:lpstr>sample_k8s_mgmt_seg</vt:lpstr>
      <vt:lpstr>sample_k8s_namepsace</vt:lpstr>
      <vt:lpstr>sample_k8s_tanzu_k8s_cluster_pod_pool_cidr</vt:lpstr>
      <vt:lpstr>sample_k8s_tanzu_k8s_cluster_service_pool_cidr</vt:lpstr>
      <vt:lpstr>sample_k8s_vcenter_category</vt:lpstr>
      <vt:lpstr>sample_k8s_vcenter_content_library</vt:lpstr>
      <vt:lpstr>sample_k8s_vcenter_storage_policy</vt:lpstr>
      <vt:lpstr>sample_k8s_vcenter_tag</vt:lpstr>
      <vt:lpstr>sample_k8s_vm_class</vt:lpstr>
      <vt:lpstr>sample_mgmt_az1_host_overlay_network_pool_description</vt:lpstr>
      <vt:lpstr>sample_mgmt_az1_host_overlay_network_pool_name</vt:lpstr>
      <vt:lpstr>sample_mgmt_az1_host1_vrms_ip</vt:lpstr>
      <vt:lpstr>sample_mgmt_az1_host10_vrms_ip</vt:lpstr>
      <vt:lpstr>sample_mgmt_az1_host11_vrms_ip</vt:lpstr>
      <vt:lpstr>sample_mgmt_az1_host12_vrms_ip</vt:lpstr>
      <vt:lpstr>sample_mgmt_az1_host13_vrms_ip</vt:lpstr>
      <vt:lpstr>sample_mgmt_az1_host14_vrms_ip</vt:lpstr>
      <vt:lpstr>sample_mgmt_az1_host15_vrms_ip</vt:lpstr>
      <vt:lpstr>sample_mgmt_az1_host16_vrms_ip</vt:lpstr>
      <vt:lpstr>sample_mgmt_az1_host2_vrms_ip</vt:lpstr>
      <vt:lpstr>sample_mgmt_az1_host3_vrms_ip</vt:lpstr>
      <vt:lpstr>sample_mgmt_az1_host4_vrms_ip</vt:lpstr>
      <vt:lpstr>sample_mgmt_az1_host5_vrms_ip</vt:lpstr>
      <vt:lpstr>sample_mgmt_az1_host6_vrms_ip</vt:lpstr>
      <vt:lpstr>sample_mgmt_az1_host7_vrms_ip</vt:lpstr>
      <vt:lpstr>sample_mgmt_az1_host8_vrms_ip</vt:lpstr>
      <vt:lpstr>sample_mgmt_az1_host9_vrms_ip</vt:lpstr>
      <vt:lpstr>sample_mgmt_az1_mgmt_vm_prefix</vt:lpstr>
      <vt:lpstr>sample_mgmt_az1_vrms_cidr</vt:lpstr>
      <vt:lpstr>sample_mgmt_az1_vrms_gateway_ip</vt:lpstr>
      <vt:lpstr>sample_mgmt_az1_vrms_mask</vt:lpstr>
      <vt:lpstr>sample_mgmt_az1_vrms_mtu</vt:lpstr>
      <vt:lpstr>sample_mgmt_az1_vrms_vlan</vt:lpstr>
      <vt:lpstr>sample_mgmt_az2_host1_vrms_ip</vt:lpstr>
      <vt:lpstr>sample_mgmt_az2_host10_vrms_ip</vt:lpstr>
      <vt:lpstr>sample_mgmt_az2_host11_vrms_ip</vt:lpstr>
      <vt:lpstr>sample_mgmt_az2_host12_vrms_ip</vt:lpstr>
      <vt:lpstr>sample_mgmt_az2_host13_vrms_ip</vt:lpstr>
      <vt:lpstr>sample_mgmt_az2_host14_vrms_ip</vt:lpstr>
      <vt:lpstr>sample_mgmt_az2_host15_vrms_ip</vt:lpstr>
      <vt:lpstr>sample_mgmt_az2_host16_vrms_ip</vt:lpstr>
      <vt:lpstr>sample_mgmt_az2_host2_vrms_ip</vt:lpstr>
      <vt:lpstr>sample_mgmt_az2_host3_vrms_ip</vt:lpstr>
      <vt:lpstr>sample_mgmt_az2_host4_vrms_ip</vt:lpstr>
      <vt:lpstr>sample_mgmt_az2_host5_vrms_ip</vt:lpstr>
      <vt:lpstr>sample_mgmt_az2_host6_vrms_ip</vt:lpstr>
      <vt:lpstr>sample_mgmt_az2_host7_vrms_ip</vt:lpstr>
      <vt:lpstr>sample_mgmt_az2_host8_vrms_ip</vt:lpstr>
      <vt:lpstr>sample_mgmt_az2_host9_vrms_ip</vt:lpstr>
      <vt:lpstr>sample_mgmt_host_overlay_transportzone</vt:lpstr>
      <vt:lpstr>sample_mgmt_recovery_lb_creation_method</vt:lpstr>
      <vt:lpstr>sample_mgmt_rwr_recovery_site_az1_mgmt_cidr</vt:lpstr>
      <vt:lpstr>sample_mgmt_rwr_vc_fqdn</vt:lpstr>
      <vt:lpstr>sample_mgmt_srm_admin_email</vt:lpstr>
      <vt:lpstr>sample_mgmt_srm_admin_password</vt:lpstr>
      <vt:lpstr>sample_mgmt_srm_database_password</vt:lpstr>
      <vt:lpstr>sample_mgmt_srm_days</vt:lpstr>
      <vt:lpstr>sample_mgmt_srm_instances_per_day</vt:lpstr>
      <vt:lpstr>sample_mgmt_srm_ip</vt:lpstr>
      <vt:lpstr>sample_mgmt_srm_logs_pg</vt:lpstr>
      <vt:lpstr>sample_mgmt_srm_logs_rp</vt:lpstr>
      <vt:lpstr>sample_mgmt_srm_net_pg</vt:lpstr>
      <vt:lpstr>sample_mgmt_srm_net_rp</vt:lpstr>
      <vt:lpstr>sample_mgmt_srm_p12_password</vt:lpstr>
      <vt:lpstr>sample_mgmt_srm_recovery_cluster</vt:lpstr>
      <vt:lpstr>sample_mgmt_srm_recovery_datastore</vt:lpstr>
      <vt:lpstr>sample_mgmt_srm_recovery_gateway</vt:lpstr>
      <vt:lpstr>sample_mgmt_srm_recovery_mask</vt:lpstr>
      <vt:lpstr>sample_mgmt_srm_recovery_nsx_ec_name</vt:lpstr>
      <vt:lpstr>sample_mgmt_srm_recovery_nsx_location</vt:lpstr>
      <vt:lpstr>sample_mgmt_srm_recovery_pg</vt:lpstr>
      <vt:lpstr>sample_mgmt_srm_recovery_sddc_manager_domain</vt:lpstr>
      <vt:lpstr>sample_mgmt_srm_recovery_sddc_manager_fqdn</vt:lpstr>
      <vt:lpstr>sample_mgmt_srm_recovery_sddc_manager_password</vt:lpstr>
      <vt:lpstr>sample_mgmt_srm_recovery_sddc_manager_username</vt:lpstr>
      <vt:lpstr>sample_mgmt_srm_recovery_t1_si_ip</vt:lpstr>
      <vt:lpstr>sample_mgmt_srm_recovery_vcenter_fqdn</vt:lpstr>
      <vt:lpstr>sample_mgmt_srm_recovery_vcenter_password</vt:lpstr>
      <vt:lpstr>sample_mgmt_srm_recovery_vcenter_username</vt:lpstr>
      <vt:lpstr>sample_mgmt_srm_root_password</vt:lpstr>
      <vt:lpstr>sample_mgmt_srm_rpo</vt:lpstr>
      <vt:lpstr>sample_mgmt_srm_site_name</vt:lpstr>
      <vt:lpstr>sample_mgmt_srm_sso_domain_membership</vt:lpstr>
      <vt:lpstr>sample_mgmt_srm_vm_folder</vt:lpstr>
      <vt:lpstr>sample_mgmt_srm_vra_pg</vt:lpstr>
      <vt:lpstr>sample_mgmt_srm_vra_rp</vt:lpstr>
      <vt:lpstr>sample_mgmt_srm_vrops_pg</vt:lpstr>
      <vt:lpstr>sample_mgmt_srm_vrops_rp</vt:lpstr>
      <vt:lpstr>sample_mgmt_srm_vrslcm_wsa_pg</vt:lpstr>
      <vt:lpstr>sample_mgmt_srm_vrslcm_wsa_rp</vt:lpstr>
      <vt:lpstr>sample_mgmt_tier1_name</vt:lpstr>
      <vt:lpstr>sample_mgmt_vrms_admin_email</vt:lpstr>
      <vt:lpstr>sample_mgmt_vrms_admin_password</vt:lpstr>
      <vt:lpstr>sample_mgmt_vrms_hostname</vt:lpstr>
      <vt:lpstr>sample_mgmt_vrms_mgmt_ip</vt:lpstr>
      <vt:lpstr>sample_mgmt_vrms_p12_password</vt:lpstr>
      <vt:lpstr>sample_mgmt_vrms_pg</vt:lpstr>
      <vt:lpstr>sample_mgmt_vrms_recovery_replication_cidr</vt:lpstr>
      <vt:lpstr>sample_mgmt_vrms_root_password</vt:lpstr>
      <vt:lpstr>sample_mgmt_vrms_site_name</vt:lpstr>
      <vt:lpstr>sample_mgmt_vrms_vm_folder</vt:lpstr>
      <vt:lpstr>sample_mgmt_vrms_vrms_ip</vt:lpstr>
      <vt:lpstr>sample_parent_ad_groups_ou</vt:lpstr>
      <vt:lpstr>sample_parent_ad_users_ou</vt:lpstr>
      <vt:lpstr>sample_parent_gg_wsa_admins_group</vt:lpstr>
      <vt:lpstr>sample_parent_gg_wsa_directory_admins_group</vt:lpstr>
      <vt:lpstr>sample_parent_gg_wsa_read_only_group</vt:lpstr>
      <vt:lpstr>sample_region_ad_child_fqdn</vt:lpstr>
      <vt:lpstr>sample_region_ad_child_netbios</vt:lpstr>
      <vt:lpstr>sample_region_ad_parent_fqdn</vt:lpstr>
      <vt:lpstr>sample_region_ad_parent_netbios</vt:lpstr>
      <vt:lpstr>sample_rwr_cert_country_code</vt:lpstr>
      <vt:lpstr>sample_rwr_cert_file</vt:lpstr>
      <vt:lpstr>sample_rwr_cert_locality</vt:lpstr>
      <vt:lpstr>sample_rwr_cert_organisation</vt:lpstr>
      <vt:lpstr>sample_rwr_cert_ou</vt:lpstr>
      <vt:lpstr>sample_rwr_cert_state</vt:lpstr>
      <vt:lpstr>sample_rwr_child_dns_zone</vt:lpstr>
      <vt:lpstr>sample_rwr_datacenter</vt:lpstr>
      <vt:lpstr>sample_rwr_sso_domain_name</vt:lpstr>
      <vt:lpstr>sample_rwr_vlr_replication_password</vt:lpstr>
      <vt:lpstr>sample_rwr_vrms_pg</vt:lpstr>
      <vt:lpstr>sample_smtp_server</vt:lpstr>
      <vt:lpstr>sample_smtp_server_port</vt:lpstr>
      <vt:lpstr>sample_svc_cbr_vcdr_vsphere_password</vt:lpstr>
      <vt:lpstr>sample_svc_cbr_vcdr_vsphere_user</vt:lpstr>
      <vt:lpstr>sample_svc_ccm_hcx_nsx_password</vt:lpstr>
      <vt:lpstr>sample_svc_ccm_hcx_nsx_user</vt:lpstr>
      <vt:lpstr>sample_svc_ccm_hcx_vsphere_password</vt:lpstr>
      <vt:lpstr>sample_svc_ccm_hcx_vsphere_user</vt:lpstr>
      <vt:lpstr>sample_svc_hrm_vcf_password</vt:lpstr>
      <vt:lpstr>sample_svc_ila_ad_password</vt:lpstr>
      <vt:lpstr>sample_svc_ila_ad_user</vt:lpstr>
      <vt:lpstr>sample_svc_inv_ad_password</vt:lpstr>
      <vt:lpstr>sample_svc_inv_ad_user</vt:lpstr>
      <vt:lpstr>sample_svc_inv_vrops_password</vt:lpstr>
      <vt:lpstr>sample_svc_inv_vrops_user</vt:lpstr>
      <vt:lpstr>sample_svc_inv_vsphere_password</vt:lpstr>
      <vt:lpstr>sample_svc_inv_vsphere_user</vt:lpstr>
      <vt:lpstr>sample_svc_iom_vcf_password</vt:lpstr>
      <vt:lpstr>sample_svc_iom_vcf_user</vt:lpstr>
      <vt:lpstr>sample_svc_iom_vsphere_password</vt:lpstr>
      <vt:lpstr>sample_svc_iom_vsphere_user</vt:lpstr>
      <vt:lpstr>sample_svc_vra_nsx_password</vt:lpstr>
      <vt:lpstr>sample_svc_vra_nsx_user</vt:lpstr>
      <vt:lpstr>sample_svc_vra_vcf_password</vt:lpstr>
      <vt:lpstr>sample_svc_vra_vcf_user</vt:lpstr>
      <vt:lpstr>sample_svc_vra_vrops_password</vt:lpstr>
      <vt:lpstr>sample_svc_vra_vrops_user</vt:lpstr>
      <vt:lpstr>sample_svc_vra_vsphere_password</vt:lpstr>
      <vt:lpstr>sample_svc_vra_vsphere_user</vt:lpstr>
      <vt:lpstr>sample_svc_vro_vsphere_password</vt:lpstr>
      <vt:lpstr>sample_svc_vro_vsphere_user</vt:lpstr>
      <vt:lpstr>sample_svc_vrops_vra_password</vt:lpstr>
      <vt:lpstr>sample_svc_vrops_vra_user</vt:lpstr>
      <vt:lpstr>sample_vcf_automation_additional_vips</vt:lpstr>
      <vt:lpstr>sample_vcf_automation_admin_password_alias</vt:lpstr>
      <vt:lpstr>sample_vcf_automation_admin_password_description</vt:lpstr>
      <vt:lpstr>sample_vcf_automation_admin_username</vt:lpstr>
      <vt:lpstr>sample_vcf_automation_cert_alias</vt:lpstr>
      <vt:lpstr>sample_vcf_automation_cert_common_name</vt:lpstr>
      <vt:lpstr>sample_vcf_automation_cert_country_code</vt:lpstr>
      <vt:lpstr>sample_vcf_automation_cert_file</vt:lpstr>
      <vt:lpstr>sample_vcf_automation_cert_locality</vt:lpstr>
      <vt:lpstr>sample_vcf_automation_cert_organisation</vt:lpstr>
      <vt:lpstr>sample_vcf_automation_cert_state</vt:lpstr>
      <vt:lpstr>sample_vcf_automation_folder</vt:lpstr>
      <vt:lpstr>sample_vcf_automation_gateway_ip</vt:lpstr>
      <vt:lpstr>sample_vcf_automation_mask</vt:lpstr>
      <vt:lpstr>sample_vcf_automation_nodea_ip</vt:lpstr>
      <vt:lpstr>sample_vcf_automation_nodeb_ip</vt:lpstr>
      <vt:lpstr>sample_vcf_automation_nodec_ip</vt:lpstr>
      <vt:lpstr>sample_vcf_automation_noded_ip</vt:lpstr>
      <vt:lpstr>sample_vcf_automation_nodee_ip</vt:lpstr>
      <vt:lpstr>sample_vcf_automation_nodeef_ip</vt:lpstr>
      <vt:lpstr>sample_vcf_automation_ou_cert</vt:lpstr>
      <vt:lpstr>sample_vcf_automation_portgroup</vt:lpstr>
      <vt:lpstr>sample_vcf_automation_resource_pool</vt:lpstr>
      <vt:lpstr>sample_vcf_automation_root_password</vt:lpstr>
      <vt:lpstr>sample_vcf_automation_root_password_alias</vt:lpstr>
      <vt:lpstr>sample_vcf_automation_root_password_description</vt:lpstr>
      <vt:lpstr>sample_vcf_automation_root_username</vt:lpstr>
      <vt:lpstr>sample_vcf_installer_fqdn</vt:lpstr>
      <vt:lpstr>sample_vrslcm_xreg_vm_folder</vt:lpstr>
      <vt:lpstr>sample_vvs_dr_dns1_ip</vt:lpstr>
      <vt:lpstr>sample_vvs_dr_dns2_ip</vt:lpstr>
      <vt:lpstr>sample_vvs_dr_flt_auto_fqdn</vt:lpstr>
      <vt:lpstr>sample_vvs_dr_flt_fleet_manager_fqdn</vt:lpstr>
      <vt:lpstr>sample_vvs_dr_flt_fleet_manager_hostname</vt:lpstr>
      <vt:lpstr>sample_vvs_dr_flt_logs_nodea_fqdn</vt:lpstr>
      <vt:lpstr>sample_vvs_dr_flt_logs_nodeb_fqdn</vt:lpstr>
      <vt:lpstr>sample_vvs_dr_flt_logs_nodec_fqdn</vt:lpstr>
      <vt:lpstr>sample_vvs_dr_flt_net_nodea_fqdn</vt:lpstr>
      <vt:lpstr>sample_vvs_dr_flt_net_nodeb_fqdn</vt:lpstr>
      <vt:lpstr>sample_vvs_dr_flt_net_nodec_fqdn</vt:lpstr>
      <vt:lpstr>sample_vvs_dr_flt_ops_nodea_fqdn</vt:lpstr>
      <vt:lpstr>sample_vvs_dr_flt_ops_nodea_hostname</vt:lpstr>
      <vt:lpstr>sample_vvs_dr_flt_ops_nodeb_fqdn</vt:lpstr>
      <vt:lpstr>sample_vvs_dr_flt_ops_nodeb_hostname</vt:lpstr>
      <vt:lpstr>sample_vvs_dr_flt_ops_nodec_fqdn</vt:lpstr>
      <vt:lpstr>sample_vvs_dr_flt_ops_nodec_hostname</vt:lpstr>
      <vt:lpstr>sample_vvs_dr_mgmt_az1_mgmt_vm_pg</vt:lpstr>
      <vt:lpstr>sample_vvs_dr_mgmt_cl01_cluster</vt:lpstr>
      <vt:lpstr>sample_vvs_dr_mgmt_cl01_datastore</vt:lpstr>
      <vt:lpstr>sample_vvs_dr_mgmt_vc_fqdn</vt:lpstr>
      <vt:lpstr>sample_vvs_dr_ntp1_server</vt:lpstr>
      <vt:lpstr>sample_vvs_dr_parent_dns_zone</vt:lpstr>
      <vt:lpstr>sample_vvs_dr_sso_domain</vt:lpstr>
      <vt:lpstr>sample_vvs_dr_vr_password</vt:lpstr>
      <vt:lpstr>sample_vvs_dr_vr_username</vt:lpstr>
      <vt:lpstr>sample_vvs_mgmt_dr_vlr_fqdn</vt:lpstr>
      <vt:lpstr>sample_vvs_mgmt_dr_vlr_hostname</vt:lpstr>
      <vt:lpstr>sample_witness_dns_zone</vt:lpstr>
      <vt:lpstr>sample_wld_az1_host1_vrms_ip</vt:lpstr>
      <vt:lpstr>sample_wld_az1_host10_vrms_ip</vt:lpstr>
      <vt:lpstr>sample_wld_az1_host11_vrms_ip</vt:lpstr>
      <vt:lpstr>sample_wld_az1_host12_vrms_ip</vt:lpstr>
      <vt:lpstr>sample_wld_az1_host13_vrms_ip</vt:lpstr>
      <vt:lpstr>sample_wld_az1_host14_vrms_ip</vt:lpstr>
      <vt:lpstr>sample_wld_az1_host15_vrms_ip</vt:lpstr>
      <vt:lpstr>sample_wld_az1_host16_vrms_ip</vt:lpstr>
      <vt:lpstr>sample_wld_az1_host2_vrms_ip</vt:lpstr>
      <vt:lpstr>sample_wld_az1_host3_vrms_ip</vt:lpstr>
      <vt:lpstr>sample_wld_az1_host4_vrms_ip</vt:lpstr>
      <vt:lpstr>sample_wld_az1_host5_vrms_ip</vt:lpstr>
      <vt:lpstr>sample_wld_az1_host6_vrms_ip</vt:lpstr>
      <vt:lpstr>sample_wld_az1_host7_vrms_ip</vt:lpstr>
      <vt:lpstr>sample_wld_az1_host8_vrms_ip</vt:lpstr>
      <vt:lpstr>sample_wld_az1_host9_vrms_ip</vt:lpstr>
      <vt:lpstr>sample_wld_az1_rack2_edge_overlay_gateway_ip</vt:lpstr>
      <vt:lpstr>sample_wld_az1_rack2_edge_overlay_mask</vt:lpstr>
      <vt:lpstr>sample_wld_az1_rack2_edge_overlay_mtu</vt:lpstr>
      <vt:lpstr>sample_wld_az1_rack2_edge_overlay_network</vt:lpstr>
      <vt:lpstr>sample_wld_az1_rack2_edge_overlay_pool_end_ip</vt:lpstr>
      <vt:lpstr>sample_wld_az1_rack2_edge_overlay_pool_start_ip</vt:lpstr>
      <vt:lpstr>sample_wld_az1_rack2_edge_overlay_vlan</vt:lpstr>
      <vt:lpstr>sample_wld_az1_rack2_host_overlay_cidr</vt:lpstr>
      <vt:lpstr>sample_wld_az1_rack2_mgmt_vm_cidr</vt:lpstr>
      <vt:lpstr>sample_wld_az1_rack2_mgmt_vm_gateway_ip</vt:lpstr>
      <vt:lpstr>sample_wld_az1_rack2_mgmt_vm_mtu</vt:lpstr>
      <vt:lpstr>sample_wld_az1_rack2_mgmt_vm_vlan</vt:lpstr>
      <vt:lpstr>sample_wld_az1_rack2_principal_storage_cidr</vt:lpstr>
      <vt:lpstr>sample_wld_az1_rack2_secondary_storage_cidr</vt:lpstr>
      <vt:lpstr>sample_wld_az1_rack2_secondary_storage_gateway_ip</vt:lpstr>
      <vt:lpstr>sample_wld_az1_rack2_secondary_storage_mask</vt:lpstr>
      <vt:lpstr>sample_wld_az1_rack2_secondary_storage_mtu</vt:lpstr>
      <vt:lpstr>sample_wld_az1_rack2_secondary_storage_network</vt:lpstr>
      <vt:lpstr>sample_wld_az1_rack2_secondary_storage_pool_end_ip</vt:lpstr>
      <vt:lpstr>sample_wld_az1_rack2_secondary_storage_pool_start_ip</vt:lpstr>
      <vt:lpstr>sample_wld_az1_rack2_secondary_storage_vlan</vt:lpstr>
      <vt:lpstr>sample_wld_az1_rack2_tor1_peer_asn</vt:lpstr>
      <vt:lpstr>sample_wld_az1_rack2_tor1_peer_bgp_password</vt:lpstr>
      <vt:lpstr>sample_wld_az1_rack2_tor1_peer_ip</vt:lpstr>
      <vt:lpstr>sample_wld_az1_rack2_tor2_peer_asn</vt:lpstr>
      <vt:lpstr>sample_wld_az1_rack2_tor2_peer_bgp_password</vt:lpstr>
      <vt:lpstr>sample_wld_az1_rack2_tor2_peer_ip</vt:lpstr>
      <vt:lpstr>sample_wld_az1_rack2_uplink01_gateway_ip</vt:lpstr>
      <vt:lpstr>sample_wld_az1_rack2_uplink01_mask</vt:lpstr>
      <vt:lpstr>sample_wld_az1_rack2_uplink01_mtu</vt:lpstr>
      <vt:lpstr>sample_wld_az1_rack2_uplink01_network</vt:lpstr>
      <vt:lpstr>sample_wld_az1_rack2_uplink01_vlan</vt:lpstr>
      <vt:lpstr>sample_wld_az1_rack2_uplink02_gateway_ip</vt:lpstr>
      <vt:lpstr>sample_wld_az1_rack2_uplink02_mask</vt:lpstr>
      <vt:lpstr>sample_wld_az1_rack2_uplink02_mtu</vt:lpstr>
      <vt:lpstr>sample_wld_az1_rack2_uplink02_network</vt:lpstr>
      <vt:lpstr>sample_wld_az1_rack2_uplink02_vlan</vt:lpstr>
      <vt:lpstr>sample_wld_az1_rack2_vmotion_cidr</vt:lpstr>
      <vt:lpstr>sample_wld_az1_rack3_edge_overlay_gateway_ip</vt:lpstr>
      <vt:lpstr>sample_wld_az1_rack3_edge_overlay_mask</vt:lpstr>
      <vt:lpstr>sample_wld_az1_rack3_edge_overlay_mtu</vt:lpstr>
      <vt:lpstr>sample_wld_az1_rack3_edge_overlay_network</vt:lpstr>
      <vt:lpstr>sample_wld_az1_rack3_edge_overlay_pool_end_ip</vt:lpstr>
      <vt:lpstr>sample_wld_az1_rack3_edge_overlay_pool_start_ip</vt:lpstr>
      <vt:lpstr>sample_wld_az1_rack3_edge_overlay_vlan</vt:lpstr>
      <vt:lpstr>sample_wld_az1_rack3_host_overlay_cidr</vt:lpstr>
      <vt:lpstr>sample_wld_az1_rack3_mgmt_vm_cidr</vt:lpstr>
      <vt:lpstr>sample_wld_az1_rack3_mgmt_vm_gateway_ip</vt:lpstr>
      <vt:lpstr>sample_wld_az1_rack3_mgmt_vm_mtu</vt:lpstr>
      <vt:lpstr>sample_wld_az1_rack3_mgmt_vm_vlan</vt:lpstr>
      <vt:lpstr>sample_wld_az1_rack3_principal_storage_cidr</vt:lpstr>
      <vt:lpstr>sample_wld_az1_rack3_secondary_storage_cidr</vt:lpstr>
      <vt:lpstr>sample_wld_az1_rack3_secondary_storage_gateway_ip</vt:lpstr>
      <vt:lpstr>sample_wld_az1_rack3_secondary_storage_mask</vt:lpstr>
      <vt:lpstr>sample_wld_az1_rack3_secondary_storage_mtu</vt:lpstr>
      <vt:lpstr>sample_wld_az1_rack3_secondary_storage_network</vt:lpstr>
      <vt:lpstr>sample_wld_az1_rack3_secondary_storage_pool_end_ip</vt:lpstr>
      <vt:lpstr>sample_wld_az1_rack3_secondary_storage_pool_start_ip</vt:lpstr>
      <vt:lpstr>sample_wld_az1_rack3_secondary_storage_vlan</vt:lpstr>
      <vt:lpstr>sample_wld_az1_rack3_tor1_peer_asn</vt:lpstr>
      <vt:lpstr>sample_wld_az1_rack3_tor1_peer_bgp_password</vt:lpstr>
      <vt:lpstr>sample_wld_az1_rack3_tor1_peer_ip</vt:lpstr>
      <vt:lpstr>sample_wld_az1_rack3_tor2_peer_asn</vt:lpstr>
      <vt:lpstr>sample_wld_az1_rack3_tor2_peer_bgp_password</vt:lpstr>
      <vt:lpstr>sample_wld_az1_rack3_tor2_peer_ip</vt:lpstr>
      <vt:lpstr>sample_wld_az1_rack3_uplink01_gateway_ip</vt:lpstr>
      <vt:lpstr>sample_wld_az1_rack3_uplink01_mask</vt:lpstr>
      <vt:lpstr>sample_wld_az1_rack3_uplink01_mtu</vt:lpstr>
      <vt:lpstr>sample_wld_az1_rack3_uplink01_network</vt:lpstr>
      <vt:lpstr>sample_wld_az1_rack3_uplink01_vlan</vt:lpstr>
      <vt:lpstr>sample_wld_az1_rack3_uplink02_gateway_ip</vt:lpstr>
      <vt:lpstr>sample_wld_az1_rack3_uplink02_mask</vt:lpstr>
      <vt:lpstr>sample_wld_az1_rack3_uplink02_mtu</vt:lpstr>
      <vt:lpstr>sample_wld_az1_rack3_uplink02_network</vt:lpstr>
      <vt:lpstr>sample_wld_az1_rack3_uplink02_vlan</vt:lpstr>
      <vt:lpstr>sample_wld_az1_rack3_vmotion_cidr</vt:lpstr>
      <vt:lpstr>sample_wld_az1_rack4_edge_overlay_gateway_ip</vt:lpstr>
      <vt:lpstr>sample_wld_az1_rack4_edge_overlay_mask</vt:lpstr>
      <vt:lpstr>sample_wld_az1_rack4_edge_overlay_mtu</vt:lpstr>
      <vt:lpstr>sample_wld_az1_rack4_edge_overlay_network</vt:lpstr>
      <vt:lpstr>sample_wld_az1_rack4_edge_overlay_pool_end_ip</vt:lpstr>
      <vt:lpstr>sample_wld_az1_rack4_edge_overlay_pool_start_ip</vt:lpstr>
      <vt:lpstr>sample_wld_az1_rack4_edge_overlay_vlan</vt:lpstr>
      <vt:lpstr>sample_wld_az1_rack4_host_overlay_cidr</vt:lpstr>
      <vt:lpstr>sample_wld_az1_rack4_mgmt_vm_cidr</vt:lpstr>
      <vt:lpstr>sample_wld_az1_rack4_mgmt_vm_gateway_ip</vt:lpstr>
      <vt:lpstr>sample_wld_az1_rack4_mgmt_vm_mtu</vt:lpstr>
      <vt:lpstr>sample_wld_az1_rack4_mgmt_vm_vlan</vt:lpstr>
      <vt:lpstr>sample_wld_az1_rack4_principal_storage_cidr</vt:lpstr>
      <vt:lpstr>sample_wld_az1_rack4_secondary_storage_cidr</vt:lpstr>
      <vt:lpstr>sample_wld_az1_rack4_secondary_storage_gateway_ip</vt:lpstr>
      <vt:lpstr>sample_wld_az1_rack4_secondary_storage_mask</vt:lpstr>
      <vt:lpstr>sample_wld_az1_rack4_secondary_storage_mtu</vt:lpstr>
      <vt:lpstr>sample_wld_az1_rack4_secondary_storage_network</vt:lpstr>
      <vt:lpstr>sample_wld_az1_rack4_secondary_storage_pool_end_ip</vt:lpstr>
      <vt:lpstr>sample_wld_az1_rack4_secondary_storage_pool_start_ip</vt:lpstr>
      <vt:lpstr>sample_wld_az1_rack4_secondary_storage_vlan</vt:lpstr>
      <vt:lpstr>sample_wld_az1_rack4_tor1_peer_asn</vt:lpstr>
      <vt:lpstr>sample_wld_az1_rack4_tor1_peer_bgp_password</vt:lpstr>
      <vt:lpstr>sample_wld_az1_rack4_tor1_peer_ip</vt:lpstr>
      <vt:lpstr>sample_wld_az1_rack4_tor2_peer_asn</vt:lpstr>
      <vt:lpstr>sample_wld_az1_rack4_tor2_peer_bgp_password</vt:lpstr>
      <vt:lpstr>sample_wld_az1_rack4_tor2_peer_ip</vt:lpstr>
      <vt:lpstr>sample_wld_az1_rack4_uplink01_gateway_ip</vt:lpstr>
      <vt:lpstr>sample_wld_az1_rack4_uplink01_mask</vt:lpstr>
      <vt:lpstr>sample_wld_az1_rack4_uplink01_mtu</vt:lpstr>
      <vt:lpstr>sample_wld_az1_rack4_uplink01_network</vt:lpstr>
      <vt:lpstr>sample_wld_az1_rack4_uplink01_vlan</vt:lpstr>
      <vt:lpstr>sample_wld_az1_rack4_uplink02_gateway_ip</vt:lpstr>
      <vt:lpstr>sample_wld_az1_rack4_uplink02_mask</vt:lpstr>
      <vt:lpstr>sample_wld_az1_rack4_uplink02_mtu</vt:lpstr>
      <vt:lpstr>sample_wld_az1_rack4_uplink02_network</vt:lpstr>
      <vt:lpstr>sample_wld_az1_rack4_uplink02_vlan</vt:lpstr>
      <vt:lpstr>sample_wld_az1_rack4_vmotion_cidr</vt:lpstr>
      <vt:lpstr>sample_wld_az1_rack5_edge_overlay_gateway_ip</vt:lpstr>
      <vt:lpstr>sample_wld_az1_rack5_edge_overlay_mask</vt:lpstr>
      <vt:lpstr>sample_wld_az1_rack5_edge_overlay_mtu</vt:lpstr>
      <vt:lpstr>sample_wld_az1_rack5_edge_overlay_network</vt:lpstr>
      <vt:lpstr>sample_wld_az1_rack5_edge_overlay_pool_end_ip</vt:lpstr>
      <vt:lpstr>sample_wld_az1_rack5_edge_overlay_pool_start_ip</vt:lpstr>
      <vt:lpstr>sample_wld_az1_rack5_edge_overlay_vlan</vt:lpstr>
      <vt:lpstr>sample_wld_az1_rack5_host_overlay_cidr</vt:lpstr>
      <vt:lpstr>sample_wld_az1_rack5_mgmt_vm_cidr</vt:lpstr>
      <vt:lpstr>sample_wld_az1_rack5_mgmt_vm_gateway_ip</vt:lpstr>
      <vt:lpstr>sample_wld_az1_rack5_mgmt_vm_mtu</vt:lpstr>
      <vt:lpstr>sample_wld_az1_rack5_mgmt_vm_vlan</vt:lpstr>
      <vt:lpstr>sample_wld_az1_rack5_principal_storage_cidr</vt:lpstr>
      <vt:lpstr>sample_wld_az1_rack5_secondary_storage_cidr</vt:lpstr>
      <vt:lpstr>sample_wld_az1_rack5_secondary_storage_gateway_ip</vt:lpstr>
      <vt:lpstr>sample_wld_az1_rack5_secondary_storage_mask</vt:lpstr>
      <vt:lpstr>sample_wld_az1_rack5_secondary_storage_mtu</vt:lpstr>
      <vt:lpstr>sample_wld_az1_rack5_secondary_storage_network</vt:lpstr>
      <vt:lpstr>sample_wld_az1_rack5_secondary_storage_pool_end_ip</vt:lpstr>
      <vt:lpstr>sample_wld_az1_rack5_secondary_storage_pool_start_ip</vt:lpstr>
      <vt:lpstr>sample_wld_az1_rack5_secondary_storage_vlan</vt:lpstr>
      <vt:lpstr>sample_wld_az1_rack5_tor1_peer_asn</vt:lpstr>
      <vt:lpstr>sample_wld_az1_rack5_tor1_peer_bgp_password</vt:lpstr>
      <vt:lpstr>sample_wld_az1_rack5_tor1_peer_ip</vt:lpstr>
      <vt:lpstr>sample_wld_az1_rack5_tor2_peer_asn</vt:lpstr>
      <vt:lpstr>sample_wld_az1_rack5_tor2_peer_bgp_password</vt:lpstr>
      <vt:lpstr>sample_wld_az1_rack5_tor2_peer_ip</vt:lpstr>
      <vt:lpstr>sample_wld_az1_rack5_uplink01_gateway_ip</vt:lpstr>
      <vt:lpstr>sample_wld_az1_rack5_uplink01_mask</vt:lpstr>
      <vt:lpstr>sample_wld_az1_rack5_uplink01_mtu</vt:lpstr>
      <vt:lpstr>sample_wld_az1_rack5_uplink01_network</vt:lpstr>
      <vt:lpstr>sample_wld_az1_rack5_uplink01_vlan</vt:lpstr>
      <vt:lpstr>sample_wld_az1_rack5_uplink02_gateway_ip</vt:lpstr>
      <vt:lpstr>sample_wld_az1_rack5_uplink02_mask</vt:lpstr>
      <vt:lpstr>sample_wld_az1_rack5_uplink02_mtu</vt:lpstr>
      <vt:lpstr>sample_wld_az1_rack5_uplink02_network</vt:lpstr>
      <vt:lpstr>sample_wld_az1_rack5_uplink02_vlan</vt:lpstr>
      <vt:lpstr>sample_wld_az1_rack5_vmotion_cidr</vt:lpstr>
      <vt:lpstr>sample_wld_az1_rack6_edge_overlay_gateway_ip</vt:lpstr>
      <vt:lpstr>sample_wld_az1_rack6_edge_overlay_mask</vt:lpstr>
      <vt:lpstr>sample_wld_az1_rack6_edge_overlay_mtu</vt:lpstr>
      <vt:lpstr>sample_wld_az1_rack6_edge_overlay_network</vt:lpstr>
      <vt:lpstr>sample_wld_az1_rack6_edge_overlay_pool_end_ip</vt:lpstr>
      <vt:lpstr>sample_wld_az1_rack6_edge_overlay_pool_start_ip</vt:lpstr>
      <vt:lpstr>sample_wld_az1_rack6_edge_overlay_vlan</vt:lpstr>
      <vt:lpstr>sample_wld_az1_rack6_host_overlay_cidr</vt:lpstr>
      <vt:lpstr>sample_wld_az1_rack6_mgmt_vm_cidr</vt:lpstr>
      <vt:lpstr>sample_wld_az1_rack6_mgmt_vm_gateway_ip</vt:lpstr>
      <vt:lpstr>sample_wld_az1_rack6_mgmt_vm_mtu</vt:lpstr>
      <vt:lpstr>sample_wld_az1_rack6_mgmt_vm_vlan</vt:lpstr>
      <vt:lpstr>sample_wld_az1_rack6_principal_storage_cidr</vt:lpstr>
      <vt:lpstr>sample_wld_az1_rack6_secondary_storage_cidr</vt:lpstr>
      <vt:lpstr>sample_wld_az1_rack6_secondary_storage_gateway_ip</vt:lpstr>
      <vt:lpstr>sample_wld_az1_rack6_secondary_storage_mask</vt:lpstr>
      <vt:lpstr>sample_wld_az1_rack6_secondary_storage_mtu</vt:lpstr>
      <vt:lpstr>sample_wld_az1_rack6_secondary_storage_network</vt:lpstr>
      <vt:lpstr>sample_wld_az1_rack6_secondary_storage_pool_end_ip</vt:lpstr>
      <vt:lpstr>sample_wld_az1_rack6_secondary_storage_pool_start_ip</vt:lpstr>
      <vt:lpstr>sample_wld_az1_rack6_secondary_storage_vlan</vt:lpstr>
      <vt:lpstr>sample_wld_az1_rack6_tor1_peer_asn</vt:lpstr>
      <vt:lpstr>sample_wld_az1_rack6_tor1_peer_bgp_password</vt:lpstr>
      <vt:lpstr>sample_wld_az1_rack6_tor1_peer_ip</vt:lpstr>
      <vt:lpstr>sample_wld_az1_rack6_tor2_peer_asn</vt:lpstr>
      <vt:lpstr>sample_wld_az1_rack6_tor2_peer_bgp_password</vt:lpstr>
      <vt:lpstr>sample_wld_az1_rack6_tor2_peer_ip</vt:lpstr>
      <vt:lpstr>sample_wld_az1_rack6_uplink01_gateway_ip</vt:lpstr>
      <vt:lpstr>sample_wld_az1_rack6_uplink01_mask</vt:lpstr>
      <vt:lpstr>sample_wld_az1_rack6_uplink01_mtu</vt:lpstr>
      <vt:lpstr>sample_wld_az1_rack6_uplink01_network</vt:lpstr>
      <vt:lpstr>sample_wld_az1_rack6_uplink01_vlan</vt:lpstr>
      <vt:lpstr>sample_wld_az1_rack6_uplink02_gateway_ip</vt:lpstr>
      <vt:lpstr>sample_wld_az1_rack6_uplink02_mask</vt:lpstr>
      <vt:lpstr>sample_wld_az1_rack6_uplink02_mtu</vt:lpstr>
      <vt:lpstr>sample_wld_az1_rack6_uplink02_network</vt:lpstr>
      <vt:lpstr>sample_wld_az1_rack6_uplink02_vlan</vt:lpstr>
      <vt:lpstr>sample_wld_az1_rack6_vmotion_cidr</vt:lpstr>
      <vt:lpstr>sample_wld_az1_rack7_edge_overlay_gateway_ip</vt:lpstr>
      <vt:lpstr>sample_wld_az1_rack7_edge_overlay_mask</vt:lpstr>
      <vt:lpstr>sample_wld_az1_rack7_edge_overlay_mtu</vt:lpstr>
      <vt:lpstr>sample_wld_az1_rack7_edge_overlay_network</vt:lpstr>
      <vt:lpstr>sample_wld_az1_rack7_edge_overlay_pool_end_ip</vt:lpstr>
      <vt:lpstr>sample_wld_az1_rack7_edge_overlay_pool_start_ip</vt:lpstr>
      <vt:lpstr>sample_wld_az1_rack7_edge_overlay_vlan</vt:lpstr>
      <vt:lpstr>sample_wld_az1_rack7_host_overlay_cidr</vt:lpstr>
      <vt:lpstr>sample_wld_az1_rack7_mgmt_vm_cidr</vt:lpstr>
      <vt:lpstr>sample_wld_az1_rack7_mgmt_vm_gateway_ip</vt:lpstr>
      <vt:lpstr>sample_wld_az1_rack7_mgmt_vm_mtu</vt:lpstr>
      <vt:lpstr>sample_wld_az1_rack7_mgmt_vm_vlan</vt:lpstr>
      <vt:lpstr>sample_wld_az1_rack7_principal_storage_cidr</vt:lpstr>
      <vt:lpstr>sample_wld_az1_rack7_secondary_storage_cidr</vt:lpstr>
      <vt:lpstr>sample_wld_az1_rack7_secondary_storage_gateway_ip</vt:lpstr>
      <vt:lpstr>sample_wld_az1_rack7_secondary_storage_mask</vt:lpstr>
      <vt:lpstr>sample_wld_az1_rack7_secondary_storage_mtu</vt:lpstr>
      <vt:lpstr>sample_wld_az1_rack7_secondary_storage_network</vt:lpstr>
      <vt:lpstr>sample_wld_az1_rack7_secondary_storage_pool_end_ip</vt:lpstr>
      <vt:lpstr>sample_wld_az1_rack7_secondary_storage_pool_start_ip</vt:lpstr>
      <vt:lpstr>sample_wld_az1_rack7_secondary_storage_vlan</vt:lpstr>
      <vt:lpstr>sample_wld_az1_rack7_tor1_peer_asn</vt:lpstr>
      <vt:lpstr>sample_wld_az1_rack7_tor1_peer_bgp_password</vt:lpstr>
      <vt:lpstr>sample_wld_az1_rack7_tor1_peer_ip</vt:lpstr>
      <vt:lpstr>sample_wld_az1_rack7_tor2_peer_asn</vt:lpstr>
      <vt:lpstr>sample_wld_az1_rack7_tor2_peer_bgp_password</vt:lpstr>
      <vt:lpstr>sample_wld_az1_rack7_tor2_peer_ip</vt:lpstr>
      <vt:lpstr>sample_wld_az1_rack7_uplink01_gateway_ip</vt:lpstr>
      <vt:lpstr>sample_wld_az1_rack7_uplink01_mask</vt:lpstr>
      <vt:lpstr>sample_wld_az1_rack7_uplink01_mtu</vt:lpstr>
      <vt:lpstr>sample_wld_az1_rack7_uplink01_network</vt:lpstr>
      <vt:lpstr>sample_wld_az1_rack7_uplink01_vlan</vt:lpstr>
      <vt:lpstr>sample_wld_az1_rack7_uplink02_gateway_ip</vt:lpstr>
      <vt:lpstr>sample_wld_az1_rack7_uplink02_mask</vt:lpstr>
      <vt:lpstr>sample_wld_az1_rack7_uplink02_mtu</vt:lpstr>
      <vt:lpstr>sample_wld_az1_rack7_uplink02_network</vt:lpstr>
      <vt:lpstr>sample_wld_az1_rack7_uplink02_vlan</vt:lpstr>
      <vt:lpstr>sample_wld_az1_rack7_vmotion_cidr</vt:lpstr>
      <vt:lpstr>sample_wld_az1_rack8_edge_overlay_gateway_ip</vt:lpstr>
      <vt:lpstr>sample_wld_az1_rack8_edge_overlay_mask</vt:lpstr>
      <vt:lpstr>sample_wld_az1_rack8_edge_overlay_mtu</vt:lpstr>
      <vt:lpstr>sample_wld_az1_rack8_edge_overlay_network</vt:lpstr>
      <vt:lpstr>sample_wld_az1_rack8_edge_overlay_pool_end_ip</vt:lpstr>
      <vt:lpstr>sample_wld_az1_rack8_edge_overlay_pool_start_ip</vt:lpstr>
      <vt:lpstr>sample_wld_az1_rack8_edge_overlay_vlan</vt:lpstr>
      <vt:lpstr>sample_wld_az1_rack8_host_overlay_cidr</vt:lpstr>
      <vt:lpstr>sample_wld_az1_rack8_mgmt_vm_cidr</vt:lpstr>
      <vt:lpstr>sample_wld_az1_rack8_mgmt_vm_gateway_ip</vt:lpstr>
      <vt:lpstr>sample_wld_az1_rack8_mgmt_vm_mtu</vt:lpstr>
      <vt:lpstr>sample_wld_az1_rack8_mgmt_vm_vlan</vt:lpstr>
      <vt:lpstr>sample_wld_az1_rack8_principal_storage_cidr</vt:lpstr>
      <vt:lpstr>sample_wld_az1_rack8_secondary_storage_cidr</vt:lpstr>
      <vt:lpstr>sample_wld_az1_rack8_secondary_storage_gateway_ip</vt:lpstr>
      <vt:lpstr>sample_wld_az1_rack8_secondary_storage_mask</vt:lpstr>
      <vt:lpstr>sample_wld_az1_rack8_secondary_storage_mtu</vt:lpstr>
      <vt:lpstr>sample_wld_az1_rack8_secondary_storage_network</vt:lpstr>
      <vt:lpstr>sample_wld_az1_rack8_secondary_storage_pool_end_ip</vt:lpstr>
      <vt:lpstr>sample_wld_az1_rack8_secondary_storage_pool_start_ip</vt:lpstr>
      <vt:lpstr>sample_wld_az1_rack8_secondary_storage_vlan</vt:lpstr>
      <vt:lpstr>sample_wld_az1_rack8_tor1_peer_asn</vt:lpstr>
      <vt:lpstr>sample_wld_az1_rack8_tor1_peer_bgp_password</vt:lpstr>
      <vt:lpstr>sample_wld_az1_rack8_tor1_peer_ip</vt:lpstr>
      <vt:lpstr>sample_wld_az1_rack8_tor2_peer_asn</vt:lpstr>
      <vt:lpstr>sample_wld_az1_rack8_tor2_peer_bgp_password</vt:lpstr>
      <vt:lpstr>sample_wld_az1_rack8_tor2_peer_ip</vt:lpstr>
      <vt:lpstr>sample_wld_az1_rack8_uplink01_gateway_ip</vt:lpstr>
      <vt:lpstr>sample_wld_az1_rack8_uplink01_mask</vt:lpstr>
      <vt:lpstr>sample_wld_az1_rack8_uplink01_mtu</vt:lpstr>
      <vt:lpstr>sample_wld_az1_rack8_uplink01_network</vt:lpstr>
      <vt:lpstr>sample_wld_az1_rack8_uplink01_vlan</vt:lpstr>
      <vt:lpstr>sample_wld_az1_rack8_uplink02_gateway_ip</vt:lpstr>
      <vt:lpstr>sample_wld_az1_rack8_uplink02_mask</vt:lpstr>
      <vt:lpstr>sample_wld_az1_rack8_uplink02_mtu</vt:lpstr>
      <vt:lpstr>sample_wld_az1_rack8_uplink02_network</vt:lpstr>
      <vt:lpstr>sample_wld_az1_rack8_uplink02_vlan</vt:lpstr>
      <vt:lpstr>sample_wld_az1_rack8_vmotion_cidr</vt:lpstr>
      <vt:lpstr>sample_wld_az1_vrms_cidr</vt:lpstr>
      <vt:lpstr>sample_wld_az1_vrms_gateway_ip</vt:lpstr>
      <vt:lpstr>sample_wld_az1_vrms_mask</vt:lpstr>
      <vt:lpstr>sample_wld_az1_vrms_mtu</vt:lpstr>
      <vt:lpstr>sample_wld_az1_vrms_vlan</vt:lpstr>
      <vt:lpstr>sample_wld_az2_host1_vrms_ip</vt:lpstr>
      <vt:lpstr>sample_wld_az2_host10_vrms_ip</vt:lpstr>
      <vt:lpstr>sample_wld_az2_host11_vrms_ip</vt:lpstr>
      <vt:lpstr>sample_wld_az2_host12_vrms_ip</vt:lpstr>
      <vt:lpstr>sample_wld_az2_host13_vrms_ip</vt:lpstr>
      <vt:lpstr>sample_wld_az2_host14_vrms_ip</vt:lpstr>
      <vt:lpstr>sample_wld_az2_host15_vrms_ip</vt:lpstr>
      <vt:lpstr>sample_wld_az2_host16_vrms_ip</vt:lpstr>
      <vt:lpstr>sample_wld_az2_host2_vrms_ip</vt:lpstr>
      <vt:lpstr>sample_wld_az2_host3_vrms_ip</vt:lpstr>
      <vt:lpstr>sample_wld_az2_host4_vrms_ip</vt:lpstr>
      <vt:lpstr>sample_wld_az2_host5_vrms_ip</vt:lpstr>
      <vt:lpstr>sample_wld_az2_host6_vrms_ip</vt:lpstr>
      <vt:lpstr>sample_wld_az2_host7_vrms_ip</vt:lpstr>
      <vt:lpstr>sample_wld_az2_host8_vrms_ip</vt:lpstr>
      <vt:lpstr>sample_wld_az2_host9_vrms_ip</vt:lpstr>
      <vt:lpstr>sample_wld_cl01_evc_mode</vt:lpstr>
      <vt:lpstr>sample_wld_rack2_en_asn</vt:lpstr>
      <vt:lpstr>sample_wld_rack3_en_asn</vt:lpstr>
      <vt:lpstr>sample_wld_rack4_en_asn</vt:lpstr>
      <vt:lpstr>sample_wld_rack5_en_asn</vt:lpstr>
      <vt:lpstr>sample_wld_rack6_en_asn</vt:lpstr>
      <vt:lpstr>sample_wld_rack7_en_asn</vt:lpstr>
      <vt:lpstr>sample_wld_rack8_en_asn</vt:lpstr>
      <vt:lpstr>sample_wld_rwr_az1_vrms_gateway_ip</vt:lpstr>
      <vt:lpstr>sample_wld_rwr_az1_vrms_gateway_mask</vt:lpstr>
      <vt:lpstr>sample_wld_rwr_cl02_cluster</vt:lpstr>
      <vt:lpstr>sample_wld_rwr_cl02_vds01</vt:lpstr>
      <vt:lpstr>sample_wld_rwr_recovery_site_az1_vrms_cidr</vt:lpstr>
      <vt:lpstr>sample_wld_rwr_recovery_site_nsx_ec_name</vt:lpstr>
      <vt:lpstr>sample_wld_rwr_recovery_site_nsx_ec_t0_name</vt:lpstr>
      <vt:lpstr>sample_wld_rwr_recovery_site_nsx_ec_t1_name</vt:lpstr>
      <vt:lpstr>sample_wld_rwr_recovery_site_nsx_fqdn</vt:lpstr>
      <vt:lpstr>sample_wld_rwr_recovery_site_vc_fqdn</vt:lpstr>
      <vt:lpstr>sample_wld_rwr_recoverysite_fd</vt:lpstr>
      <vt:lpstr>sample_wld_rwr_vc_fqdn</vt:lpstr>
      <vt:lpstr>sample_wld_rwr_vcfops_vlsr_username</vt:lpstr>
      <vt:lpstr>sample_wld_rwr_vcfops_vr_username</vt:lpstr>
      <vt:lpstr>sample_wld_srm_admin_email</vt:lpstr>
      <vt:lpstr>sample_wld_srm_admin_password</vt:lpstr>
      <vt:lpstr>sample_wld_srm_database_password</vt:lpstr>
      <vt:lpstr>sample_wld_srm_hostname</vt:lpstr>
      <vt:lpstr>sample_wld_srm_ip</vt:lpstr>
      <vt:lpstr>sample_wld_srm_p12_password</vt:lpstr>
      <vt:lpstr>sample_wld_srm_recovery_vcenter_fqdn</vt:lpstr>
      <vt:lpstr>sample_wld_srm_recovery_vcenter_password</vt:lpstr>
      <vt:lpstr>sample_wld_srm_recovery_vcenter_username</vt:lpstr>
      <vt:lpstr>sample_wld_srm_root_password</vt:lpstr>
      <vt:lpstr>sample_wld_srm_site_name</vt:lpstr>
      <vt:lpstr>sample_wld_srm_sso_domain_membership</vt:lpstr>
      <vt:lpstr>sample_wld_srm_vm_folder</vt:lpstr>
      <vt:lpstr>sample_wld_vlr_admin_password</vt:lpstr>
      <vt:lpstr>sample_wld_vlr_fqdn</vt:lpstr>
      <vt:lpstr>sample_wld_vlr_hostname</vt:lpstr>
      <vt:lpstr>sample_wld_vlr_mgmt_ip</vt:lpstr>
      <vt:lpstr>sample_wld_vlr_replication_user</vt:lpstr>
      <vt:lpstr>sample_wld_vlr_root_password</vt:lpstr>
      <vt:lpstr>sample_wld_vrms_admin_email</vt:lpstr>
      <vt:lpstr>sample_wld_vrms_admin_password</vt:lpstr>
      <vt:lpstr>sample_wld_vrms_hostname</vt:lpstr>
      <vt:lpstr>sample_wld_vrms_mgmt_ip</vt:lpstr>
      <vt:lpstr>sample_wld_vrms_p12_password</vt:lpstr>
      <vt:lpstr>sample_wld_vrms_pg</vt:lpstr>
      <vt:lpstr>sample_wld_vrms_recovery_replication_cidr</vt:lpstr>
      <vt:lpstr>sample_wld_vrms_root_password</vt:lpstr>
      <vt:lpstr>sample_wld_vrms_site_name</vt:lpstr>
      <vt:lpstr>sample_wld_vrms_vm_folder</vt:lpstr>
      <vt:lpstr>sample_wld_vrms_vrms_ip</vt:lpstr>
      <vt:lpstr>sample_xreg_vra_vm_folder</vt:lpstr>
      <vt:lpstr>sample_xreg_vrops_srm_sso_password</vt:lpstr>
      <vt:lpstr>sample_xreg_vrops_srm_sso_username</vt:lpstr>
      <vt:lpstr>sample_xreg_vrops_vm_folder</vt:lpstr>
      <vt:lpstr>sample_xreg_vrops_vrms_sso_password</vt:lpstr>
      <vt:lpstr>sample_xreg_vrops_vrms_sso_username</vt:lpstr>
      <vt:lpstr>sample_xreg_wsa_vm_folder</vt:lpstr>
      <vt:lpstr>sample_xregion_dns1_ip</vt:lpstr>
      <vt:lpstr>sample_xregion_dns2_ip</vt:lpstr>
      <vt:lpstr>sample_xregion_ntp1_server</vt:lpstr>
      <vt:lpstr>sample_xregion_ntp2_server</vt:lpstr>
      <vt:lpstr>sddc_mgr_admin_local_password</vt:lpstr>
      <vt:lpstr>sddc_mgr_fqdn</vt:lpstr>
      <vt:lpstr>sddc_mgr_hostname</vt:lpstr>
      <vt:lpstr>sddc_mgr_ip</vt:lpstr>
      <vt:lpstr>sddc_mgr_root_password</vt:lpstr>
      <vt:lpstr>sddc_mgr_vcf_password</vt:lpstr>
      <vt:lpstr>sddc_mgr_vcf_username</vt:lpstr>
      <vt:lpstr>sftp_server</vt:lpstr>
      <vt:lpstr>sftp_server_backup_dir</vt:lpstr>
      <vt:lpstr>sftp_server_ip</vt:lpstr>
      <vt:lpstr>sftp_server_passphrase</vt:lpstr>
      <vt:lpstr>sftp_server_port</vt:lpstr>
      <vt:lpstr>sftp_server_protocol</vt:lpstr>
      <vt:lpstr>sftp_server_sshfingerprint</vt:lpstr>
      <vt:lpstr>shared_edge_and_compute</vt:lpstr>
      <vt:lpstr>sizing_cbr_cpu</vt:lpstr>
      <vt:lpstr>sizing_cbr_disk</vt:lpstr>
      <vt:lpstr>sizing_cbr_ram</vt:lpstr>
      <vt:lpstr>sizing_ccm_hcx_cpu</vt:lpstr>
      <vt:lpstr>sizing_ccm_hcx_disk</vt:lpstr>
      <vt:lpstr>sizing_ccm_hcx_ram</vt:lpstr>
      <vt:lpstr>sizing_hrm_hvm_cpu</vt:lpstr>
      <vt:lpstr>sizing_hrm_hvm_disk</vt:lpstr>
      <vt:lpstr>sizing_hrm_hvm_ram</vt:lpstr>
      <vt:lpstr>sizing_inv_cpu</vt:lpstr>
      <vt:lpstr>sizing_inv_platform_node_cpu</vt:lpstr>
      <vt:lpstr>sizing_log_replicas_large</vt:lpstr>
      <vt:lpstr>sizing_log_replicas_medium</vt:lpstr>
      <vt:lpstr>sizing_log_replicas_small</vt:lpstr>
      <vt:lpstr>sizing_nsxt_edge_sizing_list</vt:lpstr>
      <vt:lpstr>sizing_nsxt_manager_size_list</vt:lpstr>
      <vt:lpstr>sizing_sddc_manager_cpu</vt:lpstr>
      <vt:lpstr>sizing_sddc_manager_disk</vt:lpstr>
      <vt:lpstr>sizing_sddc_manager_ram</vt:lpstr>
      <vt:lpstr>sizing_table_ssp_lic_cpu</vt:lpstr>
      <vt:lpstr>sizing_table_ssp_lic_disk</vt:lpstr>
      <vt:lpstr>sizing_table_ssp_lic_ram</vt:lpstr>
      <vt:lpstr>sizing_vcenter_appliance_size_list</vt:lpstr>
      <vt:lpstr>sizing_vcenter_storage_size_list</vt:lpstr>
      <vt:lpstr>sizing_vcf_deployment_model</vt:lpstr>
      <vt:lpstr>sizing_vcf_deployment_model_small</vt:lpstr>
      <vt:lpstr>smtp_server</vt:lpstr>
      <vt:lpstr>smtp_server_port</vt:lpstr>
      <vt:lpstr>spr_mo_result</vt:lpstr>
      <vt:lpstr>spr_mw_result</vt:lpstr>
      <vt:lpstr>spr_wo_result</vt:lpstr>
      <vt:lpstr>srm_appliance_size</vt:lpstr>
      <vt:lpstr>sso_default_admin</vt:lpstr>
      <vt:lpstr>storage_autopolicy</vt:lpstr>
      <vt:lpstr>storage_ftt</vt:lpstr>
      <vt:lpstr>svc_cbr_vcdr_vsphere_password</vt:lpstr>
      <vt:lpstr>svc_cbr_vcdr_vsphere_user</vt:lpstr>
      <vt:lpstr>svc_my_vmware_password</vt:lpstr>
      <vt:lpstr>svc_vcf_bck_password</vt:lpstr>
      <vt:lpstr>svc_vra_nsx_password</vt:lpstr>
      <vt:lpstr>svc_vra_vcf_password</vt:lpstr>
      <vt:lpstr>svc_vra_vrops_password</vt:lpstr>
      <vt:lpstr>svc_vra_vsphere_password</vt:lpstr>
      <vt:lpstr>svc_vrli_vrops_password</vt:lpstr>
      <vt:lpstr>svc_vro_vsphere_password</vt:lpstr>
      <vt:lpstr>svc_vrops_nsx_password</vt:lpstr>
      <vt:lpstr>svc_vrops_vra_password</vt:lpstr>
      <vt:lpstr>svc_vrops_vsan_password</vt:lpstr>
      <vt:lpstr>svc_vrops_vsphere_password</vt:lpstr>
      <vt:lpstr>table_avi_lb_cpu</vt:lpstr>
      <vt:lpstr>table_avi_lb_disk</vt:lpstr>
      <vt:lpstr>table_avi_lb_ram</vt:lpstr>
      <vt:lpstr>table_cidr_to_mask</vt:lpstr>
      <vt:lpstr>table_identity_broker_cpu</vt:lpstr>
      <vt:lpstr>table_identity_broker_disk</vt:lpstr>
      <vt:lpstr>table_identity_broker_ram</vt:lpstr>
      <vt:lpstr>table_mask_to_cidr</vt:lpstr>
      <vt:lpstr>table_masks</vt:lpstr>
      <vt:lpstr>table_nsxt_deployment_model</vt:lpstr>
      <vt:lpstr>table_nsxt_deployment_model_dedicated</vt:lpstr>
      <vt:lpstr>table_nsxt_edge_cpu</vt:lpstr>
      <vt:lpstr>table_nsxt_edge_disk_gb</vt:lpstr>
      <vt:lpstr>table_nsxt_edge_ram</vt:lpstr>
      <vt:lpstr>table_nsxt_manager_cpu</vt:lpstr>
      <vt:lpstr>table_nsxt_manager_disk_gb</vt:lpstr>
      <vt:lpstr>table_nsxt_manager_ram</vt:lpstr>
      <vt:lpstr>table_srm_cpu</vt:lpstr>
      <vt:lpstr>table_srm_disk</vt:lpstr>
      <vt:lpstr>table_srm_ram</vt:lpstr>
      <vt:lpstr>table_ssp_cpu</vt:lpstr>
      <vt:lpstr>table_ssp_disk</vt:lpstr>
      <vt:lpstr>table_ssp_ram</vt:lpstr>
      <vt:lpstr>table_ssp_sizes</vt:lpstr>
      <vt:lpstr>table_vcenter_appliance_cpu</vt:lpstr>
      <vt:lpstr>table_vcenter_appliance_ram</vt:lpstr>
      <vt:lpstr>table_vcenter_disk_gb</vt:lpstr>
      <vt:lpstr>table_vcf_version5x_mgmt_vlcm_image</vt:lpstr>
      <vt:lpstr>table_vcf_version5x_mgmt_vlcm_type</vt:lpstr>
      <vt:lpstr>table_vcf_version5x_mgmt_vsan_type</vt:lpstr>
      <vt:lpstr>table_vcf_version5x_wld_storage_type</vt:lpstr>
      <vt:lpstr>table_vcf_version9x_cluster_storage_type</vt:lpstr>
      <vt:lpstr>table_vcfa_appliance_cpu</vt:lpstr>
      <vt:lpstr>table_vcfa_appliance_disk</vt:lpstr>
      <vt:lpstr>table_vcfa_appliance_ram</vt:lpstr>
      <vt:lpstr>table_vcfms_control_cpu</vt:lpstr>
      <vt:lpstr>table_vcfms_control_disk</vt:lpstr>
      <vt:lpstr>table_vcfms_control_nodes</vt:lpstr>
      <vt:lpstr>table_vcfms_control_ram</vt:lpstr>
      <vt:lpstr>table_vcfms_worker_cpu</vt:lpstr>
      <vt:lpstr>table_vcfms_worker_disk</vt:lpstr>
      <vt:lpstr>table_vcfms_worker_nodes</vt:lpstr>
      <vt:lpstr>table_vcfms_worker_ram</vt:lpstr>
      <vt:lpstr>table_vcfo_appliance_cpu</vt:lpstr>
      <vt:lpstr>table_vcfo_appliance_disk</vt:lpstr>
      <vt:lpstr>table_vcfo_appliance_ram</vt:lpstr>
      <vt:lpstr>table_vcfo_p_cpu</vt:lpstr>
      <vt:lpstr>table_vcfo_p_disk</vt:lpstr>
      <vt:lpstr>table_vcfo_p_ram</vt:lpstr>
      <vt:lpstr>table_vcfops_appliance_cpu</vt:lpstr>
      <vt:lpstr>table_vcfops_appliance_disk</vt:lpstr>
      <vt:lpstr>table_vcfops_appliance_ram</vt:lpstr>
      <vt:lpstr>table_vcfopsnet_appliance_cpu</vt:lpstr>
      <vt:lpstr>table_vcfopsnet_appliance_disk</vt:lpstr>
      <vt:lpstr>table_vcfopsnet_appliance_ram</vt:lpstr>
      <vt:lpstr>table_vcfopsnet_collector_cpu</vt:lpstr>
      <vt:lpstr>table_vcfopsnet_collector_disk</vt:lpstr>
      <vt:lpstr>table_vcfopsnet_collector_ram</vt:lpstr>
      <vt:lpstr>table_vrli_appliance_cpu</vt:lpstr>
      <vt:lpstr>table_vrli_appliance_disk</vt:lpstr>
      <vt:lpstr>table_vrli_appliance_ram</vt:lpstr>
      <vt:lpstr>table_vrms_cpu</vt:lpstr>
      <vt:lpstr>table_vrms_disk</vt:lpstr>
      <vt:lpstr>table_vrms_ram</vt:lpstr>
      <vt:lpstr>this_instance</vt:lpstr>
      <vt:lpstr>user_svc_vcf_bck</vt:lpstr>
      <vt:lpstr>user_svc_vcf_ca_vcf</vt:lpstr>
      <vt:lpstr>user_svc_vra_nsx</vt:lpstr>
      <vt:lpstr>user_svc_vra_vcf</vt:lpstr>
      <vt:lpstr>user_svc_vra_vrops</vt:lpstr>
      <vt:lpstr>user_svc_vra_vsphere</vt:lpstr>
      <vt:lpstr>user_svc_vrli_vrops</vt:lpstr>
      <vt:lpstr>user_svc_vrli_wsa</vt:lpstr>
      <vt:lpstr>user_svc_vro_vsphere</vt:lpstr>
      <vt:lpstr>user_svc_vrops_nsx</vt:lpstr>
      <vt:lpstr>user_svc_vrops_vra</vt:lpstr>
      <vt:lpstr>user_svc_vrops_vsan</vt:lpstr>
      <vt:lpstr>user_svc_vrops_vsphere</vt:lpstr>
      <vt:lpstr>vcenter_root_password</vt:lpstr>
      <vt:lpstr>vcenter_sizing_limits</vt:lpstr>
      <vt:lpstr>vcf_automation_additional_vips</vt:lpstr>
      <vt:lpstr>vcf_automation_admin_password</vt:lpstr>
      <vt:lpstr>vcf_automation_admin_password_alias</vt:lpstr>
      <vt:lpstr>vcf_automation_admin_password_description</vt:lpstr>
      <vt:lpstr>vcf_automation_admin_username</vt:lpstr>
      <vt:lpstr>vcf_automation_cert_alias</vt:lpstr>
      <vt:lpstr>vcf_automation_cert_common_name</vt:lpstr>
      <vt:lpstr>vcf_automation_cert_country_code</vt:lpstr>
      <vt:lpstr>vcf_automation_cert_file</vt:lpstr>
      <vt:lpstr>vcf_automation_cert_key_length_chosen</vt:lpstr>
      <vt:lpstr>vcf_automation_cert_locality</vt:lpstr>
      <vt:lpstr>vcf_automation_cert_organisation</vt:lpstr>
      <vt:lpstr>vcf_automation_cert_state</vt:lpstr>
      <vt:lpstr>vcf_automation_cert_type_chosen</vt:lpstr>
      <vt:lpstr>vcf_automation_folder</vt:lpstr>
      <vt:lpstr>vcf_automation_gateway_ip</vt:lpstr>
      <vt:lpstr>vcf_automation_internal_cidr_chosen</vt:lpstr>
      <vt:lpstr>vcf_automation_lb_type_chosen</vt:lpstr>
      <vt:lpstr>vcf_automation_mask</vt:lpstr>
      <vt:lpstr>vcf_automation_node_prefix_chosen</vt:lpstr>
      <vt:lpstr>vcf_automation_nodea_ip</vt:lpstr>
      <vt:lpstr>vcf_automation_nodeb_ip</vt:lpstr>
      <vt:lpstr>vcf_automation_nodec_ip</vt:lpstr>
      <vt:lpstr>vcf_automation_noded_ip</vt:lpstr>
      <vt:lpstr>vcf_automation_ou_cert</vt:lpstr>
      <vt:lpstr>vcf_automation_portgroup</vt:lpstr>
      <vt:lpstr>vcf_automation_resource_pool</vt:lpstr>
      <vt:lpstr>vcf_automation_root_password</vt:lpstr>
      <vt:lpstr>vcf_automation_root_password_alias</vt:lpstr>
      <vt:lpstr>vcf_automation_root_password_description</vt:lpstr>
      <vt:lpstr>vcf_automation_root_username</vt:lpstr>
      <vt:lpstr>vcf_automation_runtime_cidr</vt:lpstr>
      <vt:lpstr>vcf_automation_sr_fqdn</vt:lpstr>
      <vt:lpstr>vcf_automation_sr_ip</vt:lpstr>
      <vt:lpstr>vcf_automation_time_sync_mode_chosen</vt:lpstr>
      <vt:lpstr>vcf_automation_version</vt:lpstr>
      <vt:lpstr>vcf_automation_vip_fqdn</vt:lpstr>
      <vt:lpstr>vcf_automation_vip_ip</vt:lpstr>
      <vt:lpstr>vcf_installer_fqdn</vt:lpstr>
      <vt:lpstr>vcf_installer_hostname</vt:lpstr>
      <vt:lpstr>vcf_installer_ip</vt:lpstr>
      <vt:lpstr>vcf_instance_name</vt:lpstr>
      <vt:lpstr>vcf_pnp_option_no</vt:lpstr>
      <vt:lpstr>vcf_pnp_option_yes</vt:lpstr>
      <vt:lpstr>vcf_pnp_result_exclude</vt:lpstr>
      <vt:lpstr>vcf_pnp_result_excluded</vt:lpstr>
      <vt:lpstr>vcf_pnp_result_include</vt:lpstr>
      <vt:lpstr>vcf_pnp_result_included</vt:lpstr>
      <vt:lpstr>vcf_vi_isolated_domain_count</vt:lpstr>
      <vt:lpstr>vcf_vi_wld_domain_count</vt:lpstr>
      <vt:lpstr>vi_only_viable</vt:lpstr>
      <vt:lpstr>VMware_Cloud_Foundation</vt:lpstr>
      <vt:lpstr>VMware_vSphere_Foundation</vt:lpstr>
      <vt:lpstr>vrms_appliance_size</vt:lpstr>
      <vt:lpstr>vrslcm_admin_password</vt:lpstr>
      <vt:lpstr>vrslcm_xreg_vm_folder</vt:lpstr>
      <vt:lpstr>vs_dr_site_pair</vt:lpstr>
      <vt:lpstr>vsphere_8u1_evc_table</vt:lpstr>
      <vt:lpstr>vvf_mgmt_cl01_vds_standard_preconfigured_profiles</vt:lpstr>
      <vt:lpstr>vvs_dr_dns1_ip</vt:lpstr>
      <vt:lpstr>vvs_dr_dns2_ip</vt:lpstr>
      <vt:lpstr>vvs_dr_flt_auto_fqdn</vt:lpstr>
      <vt:lpstr>vvs_dr_flt_fleet_manager_fqdn</vt:lpstr>
      <vt:lpstr>vvs_dr_flt_fleet_manager_hostname</vt:lpstr>
      <vt:lpstr>vvs_dr_flt_logs_nodea_fqdn</vt:lpstr>
      <vt:lpstr>vvs_dr_flt_logs_nodea_hostname</vt:lpstr>
      <vt:lpstr>vvs_dr_flt_logs_nodeb_fqdn</vt:lpstr>
      <vt:lpstr>vvs_dr_flt_logs_nodeb_hostname</vt:lpstr>
      <vt:lpstr>vvs_dr_flt_logs_nodec_fqdn</vt:lpstr>
      <vt:lpstr>vvs_dr_flt_logs_nodec_hostname</vt:lpstr>
      <vt:lpstr>vvs_dr_flt_net_nodea_fqdn</vt:lpstr>
      <vt:lpstr>vvs_dr_flt_net_nodea_hostname</vt:lpstr>
      <vt:lpstr>vvs_dr_flt_net_nodeb_fqdn</vt:lpstr>
      <vt:lpstr>vvs_dr_flt_net_nodeb_hostname</vt:lpstr>
      <vt:lpstr>vvs_dr_flt_net_nodec_fqdn</vt:lpstr>
      <vt:lpstr>vvs_dr_flt_net_nodec_hostname</vt:lpstr>
      <vt:lpstr>vvs_dr_flt_ops_nodea_fqdn</vt:lpstr>
      <vt:lpstr>vvs_dr_flt_ops_nodea_hostname</vt:lpstr>
      <vt:lpstr>vvs_dr_flt_ops_nodeb_fqdn</vt:lpstr>
      <vt:lpstr>vvs_dr_flt_ops_nodeb_hostname</vt:lpstr>
      <vt:lpstr>vvs_dr_flt_ops_nodec_fqdn</vt:lpstr>
      <vt:lpstr>vvs_dr_flt_ops_nodec_hostname</vt:lpstr>
      <vt:lpstr>vvs_dr_mgmt_cl01_cluster</vt:lpstr>
      <vt:lpstr>vvs_dr_mgmt_cl01_datastore</vt:lpstr>
      <vt:lpstr>vvs_dr_mgmt_vc_fqdn</vt:lpstr>
      <vt:lpstr>vvs_dr_ntp1_server</vt:lpstr>
      <vt:lpstr>vvs_dr_parent_dns_zone</vt:lpstr>
      <vt:lpstr>vvs_dr_sso_domain</vt:lpstr>
      <vt:lpstr>vvs_dr_vr_password</vt:lpstr>
      <vt:lpstr>vvs_dr_vr_username</vt:lpstr>
      <vt:lpstr>vvs_mgmt_dr_vlr_fqdn</vt:lpstr>
      <vt:lpstr>vvs_mgmt_dr_vlr_hostname</vt:lpstr>
      <vt:lpstr>witness_dns_zone</vt:lpstr>
      <vt:lpstr>witness_dns1_ip</vt:lpstr>
      <vt:lpstr>witness_dns2_ip</vt:lpstr>
      <vt:lpstr>witness_ntp1_server</vt:lpstr>
      <vt:lpstr>witness_ntp2_server</vt:lpstr>
      <vt:lpstr>wld_administrator_vsphere_local_password</vt:lpstr>
      <vt:lpstr>wld_avilb_cluster_name</vt:lpstr>
      <vt:lpstr>wld_avilb_cluster_version</vt:lpstr>
      <vt:lpstr>wld_avilb_fqdn</vt:lpstr>
      <vt:lpstr>wld_avilb_hostname</vt:lpstr>
      <vt:lpstr>wld_avilb_ip</vt:lpstr>
      <vt:lpstr>wld_avilb_mgra_ip</vt:lpstr>
      <vt:lpstr>wld_avilb_mgrb_ip</vt:lpstr>
      <vt:lpstr>wld_avilb_mgrc_ip</vt:lpstr>
      <vt:lpstr>wld_az1_edge_overlay_cidr</vt:lpstr>
      <vt:lpstr>wld_az1_edge_overlay_gateway_ip</vt:lpstr>
      <vt:lpstr>wld_az1_edge_overlay_mask</vt:lpstr>
      <vt:lpstr>wld_az1_edge_overlay_mtu</vt:lpstr>
      <vt:lpstr>wld_az1_edge_overlay_network</vt:lpstr>
      <vt:lpstr>wld_az1_edge_overlay_network_pool_name</vt:lpstr>
      <vt:lpstr>wld_az1_edge_overlay_pg</vt:lpstr>
      <vt:lpstr>wld_az1_edge_overlay_pool_end_ip</vt:lpstr>
      <vt:lpstr>wld_az1_edge_overlay_pool_start_ip</vt:lpstr>
      <vt:lpstr>wld_az1_edge_overlay_vlan</vt:lpstr>
      <vt:lpstr>wld_az1_en1_edge_overlay_interface_ip_1_ip</vt:lpstr>
      <vt:lpstr>wld_az1_en1_edge_overlay_interface_ip_2_ip</vt:lpstr>
      <vt:lpstr>wld_az1_en1_eth0_uplink0</vt:lpstr>
      <vt:lpstr>wld_az1_en1_eth0_uplink1</vt:lpstr>
      <vt:lpstr>wld_az1_en1_eth1_uplink0</vt:lpstr>
      <vt:lpstr>wld_az1_en1_eth1_uplink1</vt:lpstr>
      <vt:lpstr>wld_az1_en1_fqdn</vt:lpstr>
      <vt:lpstr>wld_az1_en1_hostname</vt:lpstr>
      <vt:lpstr>wld_az1_en1_mgmt_cidr</vt:lpstr>
      <vt:lpstr>wld_az1_en1_mgmt_ip</vt:lpstr>
      <vt:lpstr>wld_az1_en1_uplink01_interface_cidr</vt:lpstr>
      <vt:lpstr>wld_az1_en1_uplink02_interface_cidr</vt:lpstr>
      <vt:lpstr>wld_az1_en2_edge_overlay_interface_ip_1_ip</vt:lpstr>
      <vt:lpstr>wld_az1_en2_edge_overlay_interface_ip_2_ip</vt:lpstr>
      <vt:lpstr>wld_az1_en2_eth0_uplink0</vt:lpstr>
      <vt:lpstr>wld_az1_en2_eth0_uplink1</vt:lpstr>
      <vt:lpstr>wld_az1_en2_eth1_uplink0</vt:lpstr>
      <vt:lpstr>wld_az1_en2_eth1_uplink1</vt:lpstr>
      <vt:lpstr>wld_az1_en2_fqdn</vt:lpstr>
      <vt:lpstr>wld_az1_en2_hostname</vt:lpstr>
      <vt:lpstr>wld_az1_en2_mgmt_cidr</vt:lpstr>
      <vt:lpstr>wld_az1_en2_mgmt_ip</vt:lpstr>
      <vt:lpstr>wld_az1_en2_uplink01_interface_cidr</vt:lpstr>
      <vt:lpstr>wld_az1_en2_uplink02_interface_cidr</vt:lpstr>
      <vt:lpstr>wld_az1_host_fqdns</vt:lpstr>
      <vt:lpstr>wld_az1_host_hostnames</vt:lpstr>
      <vt:lpstr>wld_az1_host_mgmt_ips</vt:lpstr>
      <vt:lpstr>wld_az1_host_overlay_cidr</vt:lpstr>
      <vt:lpstr>wld_az1_host_overlay_gateway_cidr</vt:lpstr>
      <vt:lpstr>wld_az1_host_overlay_gateway_ip</vt:lpstr>
      <vt:lpstr>wld_az1_host_overlay_mask</vt:lpstr>
      <vt:lpstr>wld_az1_host_overlay_mtu</vt:lpstr>
      <vt:lpstr>wld_az1_host_overlay_network</vt:lpstr>
      <vt:lpstr>wld_az1_host_overlay_network_pool_description</vt:lpstr>
      <vt:lpstr>wld_az1_host_overlay_network_pool_name</vt:lpstr>
      <vt:lpstr>wld_az1_host_overlay_network_profile_name</vt:lpstr>
      <vt:lpstr>wld_az1_host_overlay_pg</vt:lpstr>
      <vt:lpstr>wld_az1_host_overlay_pool_end_ip</vt:lpstr>
      <vt:lpstr>wld_az1_host_overlay_pool_start_ip</vt:lpstr>
      <vt:lpstr>wld_az1_host_overlay_transport_zone</vt:lpstr>
      <vt:lpstr>wld_az1_host_overlay_uplink_profile_name</vt:lpstr>
      <vt:lpstr>wld_az1_host_overlay_vlan</vt:lpstr>
      <vt:lpstr>wld_az1_host1_fqdn</vt:lpstr>
      <vt:lpstr>wld_az1_host1_hostname</vt:lpstr>
      <vt:lpstr>wld_az1_host1_mgmt_ip</vt:lpstr>
      <vt:lpstr>wld_az1_host1_vrms_ip</vt:lpstr>
      <vt:lpstr>wld_az1_host10_fqdn</vt:lpstr>
      <vt:lpstr>wld_az1_host10_hostname</vt:lpstr>
      <vt:lpstr>wld_az1_host10_mgmt_ip</vt:lpstr>
      <vt:lpstr>wld_az1_host10_vrms_ip</vt:lpstr>
      <vt:lpstr>wld_az1_host11_fqdn</vt:lpstr>
      <vt:lpstr>wld_az1_host11_hostname</vt:lpstr>
      <vt:lpstr>wld_az1_host11_mgmt_ip</vt:lpstr>
      <vt:lpstr>wld_az1_host11_vrms_ip</vt:lpstr>
      <vt:lpstr>wld_az1_host12_fqdn</vt:lpstr>
      <vt:lpstr>wld_az1_host12_hostname</vt:lpstr>
      <vt:lpstr>wld_az1_host12_mgmt_ip</vt:lpstr>
      <vt:lpstr>wld_az1_host12_vrms_ip</vt:lpstr>
      <vt:lpstr>wld_az1_host13_fqdn</vt:lpstr>
      <vt:lpstr>wld_az1_host13_hostname</vt:lpstr>
      <vt:lpstr>wld_az1_host13_mgmt_ip</vt:lpstr>
      <vt:lpstr>wld_az1_host13_vrms_ip</vt:lpstr>
      <vt:lpstr>wld_az1_host14_fqdn</vt:lpstr>
      <vt:lpstr>wld_az1_host14_hostname</vt:lpstr>
      <vt:lpstr>wld_az1_host14_mgmt_ip</vt:lpstr>
      <vt:lpstr>wld_az1_host14_vrms_ip</vt:lpstr>
      <vt:lpstr>wld_az1_host15_fqdn</vt:lpstr>
      <vt:lpstr>wld_az1_host15_hostname</vt:lpstr>
      <vt:lpstr>wld_az1_host15_mgmt_ip</vt:lpstr>
      <vt:lpstr>wld_az1_host15_vrms_ip</vt:lpstr>
      <vt:lpstr>wld_az1_host16_fqdn</vt:lpstr>
      <vt:lpstr>wld_az1_host16_hostname</vt:lpstr>
      <vt:lpstr>wld_az1_host16_mgmt_ip</vt:lpstr>
      <vt:lpstr>wld_az1_host16_vrms_ip</vt:lpstr>
      <vt:lpstr>wld_az1_host2_fqdn</vt:lpstr>
      <vt:lpstr>wld_az1_host2_hostname</vt:lpstr>
      <vt:lpstr>wld_az1_host2_mgmt_ip</vt:lpstr>
      <vt:lpstr>wld_az1_host2_vrms_ip</vt:lpstr>
      <vt:lpstr>wld_az1_host3_fqdn</vt:lpstr>
      <vt:lpstr>wld_az1_host3_hostname</vt:lpstr>
      <vt:lpstr>wld_az1_host3_mgmt_ip</vt:lpstr>
      <vt:lpstr>wld_az1_host3_vrms_ip</vt:lpstr>
      <vt:lpstr>wld_az1_host4_fqdn</vt:lpstr>
      <vt:lpstr>wld_az1_host4_hostname</vt:lpstr>
      <vt:lpstr>wld_az1_host4_mgmt_ip</vt:lpstr>
      <vt:lpstr>wld_az1_host4_vrms_ip</vt:lpstr>
      <vt:lpstr>wld_az1_host5_fqdn</vt:lpstr>
      <vt:lpstr>wld_az1_host5_hostname</vt:lpstr>
      <vt:lpstr>wld_az1_host5_mgmt_ip</vt:lpstr>
      <vt:lpstr>wld_az1_host5_vrms_ip</vt:lpstr>
      <vt:lpstr>wld_az1_host6_fqdn</vt:lpstr>
      <vt:lpstr>wld_az1_host6_hostname</vt:lpstr>
      <vt:lpstr>wld_az1_host6_mgmt_ip</vt:lpstr>
      <vt:lpstr>wld_az1_host6_vrms_ip</vt:lpstr>
      <vt:lpstr>wld_az1_host7_fqdn</vt:lpstr>
      <vt:lpstr>wld_az1_host7_hostname</vt:lpstr>
      <vt:lpstr>wld_az1_host7_mgmt_ip</vt:lpstr>
      <vt:lpstr>wld_az1_host7_vrms_ip</vt:lpstr>
      <vt:lpstr>wld_az1_host8_fqdn</vt:lpstr>
      <vt:lpstr>wld_az1_host8_hostname</vt:lpstr>
      <vt:lpstr>wld_az1_host8_mgmt_ip</vt:lpstr>
      <vt:lpstr>wld_az1_host8_vrms_ip</vt:lpstr>
      <vt:lpstr>wld_az1_host9_fqdn</vt:lpstr>
      <vt:lpstr>wld_az1_host9_hostname</vt:lpstr>
      <vt:lpstr>wld_az1_host9_mgmt_ip</vt:lpstr>
      <vt:lpstr>wld_az1_host9_vrms_ip</vt:lpstr>
      <vt:lpstr>wld_az1_mgmt_cidr</vt:lpstr>
      <vt:lpstr>wld_az1_mgmt_gateway_cidr</vt:lpstr>
      <vt:lpstr>wld_az1_mgmt_gateway_ip</vt:lpstr>
      <vt:lpstr>wld_az1_mgmt_mask</vt:lpstr>
      <vt:lpstr>wld_az1_mgmt_mtu</vt:lpstr>
      <vt:lpstr>wld_az1_mgmt_network</vt:lpstr>
      <vt:lpstr>wld_az1_mgmt_vlan</vt:lpstr>
      <vt:lpstr>wld_az1_mgmt_vm_cidr</vt:lpstr>
      <vt:lpstr>wld_az1_mgmt_vm_gateway_cidr</vt:lpstr>
      <vt:lpstr>wld_az1_mgmt_vm_gateway_ip</vt:lpstr>
      <vt:lpstr>wld_az1_mgmt_vm_mask</vt:lpstr>
      <vt:lpstr>wld_az1_mgmt_vm_mtu</vt:lpstr>
      <vt:lpstr>wld_az1_mgmt_vm_network</vt:lpstr>
      <vt:lpstr>wld_az1_mgmt_vm_vlan</vt:lpstr>
      <vt:lpstr>wld_az1_pool_name</vt:lpstr>
      <vt:lpstr>wld_az1_principal_storage_cidr</vt:lpstr>
      <vt:lpstr>wld_az1_principal_storage_gateway_cidr</vt:lpstr>
      <vt:lpstr>wld_az1_principal_storage_gateway_ip</vt:lpstr>
      <vt:lpstr>wld_az1_principal_storage_mask</vt:lpstr>
      <vt:lpstr>wld_az1_principal_storage_mtu</vt:lpstr>
      <vt:lpstr>wld_az1_principal_storage_network</vt:lpstr>
      <vt:lpstr>wld_az1_principal_storage_pool_end_ip</vt:lpstr>
      <vt:lpstr>wld_az1_principal_storage_pool_start_ip</vt:lpstr>
      <vt:lpstr>wld_az1_principal_storage_vlan</vt:lpstr>
      <vt:lpstr>wld_az1_rack2_edge_overlay_cidr</vt:lpstr>
      <vt:lpstr>wld_az1_rack2_edge_overlay_gateway_ip</vt:lpstr>
      <vt:lpstr>wld_az1_rack2_edge_overlay_mask</vt:lpstr>
      <vt:lpstr>wld_az1_rack2_edge_overlay_mtu</vt:lpstr>
      <vt:lpstr>wld_az1_rack2_edge_overlay_network</vt:lpstr>
      <vt:lpstr>wld_az1_rack2_edge_overlay_network_pool_name</vt:lpstr>
      <vt:lpstr>wld_az1_rack2_edge_overlay_pool_end_ip</vt:lpstr>
      <vt:lpstr>wld_az1_rack2_edge_overlay_pool_start_ip</vt:lpstr>
      <vt:lpstr>wld_az1_rack2_edge_overlay_vlan</vt:lpstr>
      <vt:lpstr>wld_az1_rack2_en1_edge_overlay_interface_ip_1_ip</vt:lpstr>
      <vt:lpstr>wld_az1_rack2_en1_edge_overlay_interface_ip_2_ip</vt:lpstr>
      <vt:lpstr>wld_az1_rack2_en1_fqdn</vt:lpstr>
      <vt:lpstr>wld_az1_rack2_en1_hostname</vt:lpstr>
      <vt:lpstr>wld_az1_rack2_en1_mgmt_ip</vt:lpstr>
      <vt:lpstr>wld_az1_rack2_en1_uplink01_interface_ip</vt:lpstr>
      <vt:lpstr>wld_az1_rack2_en1_uplink02_interface_ip</vt:lpstr>
      <vt:lpstr>wld_az1_rack2_en2_fqdn</vt:lpstr>
      <vt:lpstr>wld_az1_rack2_en2_hostname</vt:lpstr>
      <vt:lpstr>wld_az1_rack2_en2_mgmt_ip</vt:lpstr>
      <vt:lpstr>wld_az1_rack2_en2_uplink01_interface_ip</vt:lpstr>
      <vt:lpstr>wld_az1_rack2_en2_uplink02_interface_ip</vt:lpstr>
      <vt:lpstr>wld_az1_rack2_host_fqdns</vt:lpstr>
      <vt:lpstr>wld_az1_rack2_host_hostnames</vt:lpstr>
      <vt:lpstr>wld_az1_rack2_host_mgmt_ips</vt:lpstr>
      <vt:lpstr>wld_az1_rack2_host_overlay_cidr</vt:lpstr>
      <vt:lpstr>wld_az1_rack2_host_overlay_gateway_ip</vt:lpstr>
      <vt:lpstr>wld_az1_rack2_host_overlay_mask</vt:lpstr>
      <vt:lpstr>wld_az1_rack2_host_overlay_mtu</vt:lpstr>
      <vt:lpstr>wld_az1_rack2_host_overlay_network</vt:lpstr>
      <vt:lpstr>wld_az1_rack2_host_overlay_network_pool_name</vt:lpstr>
      <vt:lpstr>wld_az1_rack2_host_overlay_network_profile_name</vt:lpstr>
      <vt:lpstr>wld_az1_rack2_host_overlay_pool_end_ip</vt:lpstr>
      <vt:lpstr>wld_az1_rack2_host_overlay_pool_start_ip</vt:lpstr>
      <vt:lpstr>wld_az1_rack2_host_overlay_uplink_profile_name</vt:lpstr>
      <vt:lpstr>wld_az1_rack2_host_overlay_vlan</vt:lpstr>
      <vt:lpstr>wld_az1_rack2_host1_fqdn</vt:lpstr>
      <vt:lpstr>wld_az1_rack2_host1_hostname</vt:lpstr>
      <vt:lpstr>wld_az1_rack2_host1_mgmt_ip</vt:lpstr>
      <vt:lpstr>wld_az1_rack2_host10_fqdn</vt:lpstr>
      <vt:lpstr>wld_az1_rack2_host10_hostname</vt:lpstr>
      <vt:lpstr>wld_az1_rack2_host10_mgmt_ip</vt:lpstr>
      <vt:lpstr>wld_az1_rack2_host11_fqdn</vt:lpstr>
      <vt:lpstr>wld_az1_rack2_host11_hostname</vt:lpstr>
      <vt:lpstr>wld_az1_rack2_host11_mgmt_ip</vt:lpstr>
      <vt:lpstr>wld_az1_rack2_host12_fqdn</vt:lpstr>
      <vt:lpstr>wld_az1_rack2_host12_hostname</vt:lpstr>
      <vt:lpstr>wld_az1_rack2_host12_mgmt_ip</vt:lpstr>
      <vt:lpstr>wld_az1_rack2_host13_fqdn</vt:lpstr>
      <vt:lpstr>wld_az1_rack2_host13_hostname</vt:lpstr>
      <vt:lpstr>wld_az1_rack2_host13_mgmt_ip</vt:lpstr>
      <vt:lpstr>wld_az1_rack2_host14_fqdn</vt:lpstr>
      <vt:lpstr>wld_az1_rack2_host14_hostname</vt:lpstr>
      <vt:lpstr>wld_az1_rack2_host14_mgmt_ip</vt:lpstr>
      <vt:lpstr>wld_az1_rack2_host15_fqdn</vt:lpstr>
      <vt:lpstr>wld_az1_rack2_host15_hostname</vt:lpstr>
      <vt:lpstr>wld_az1_rack2_host15_mgmt_ip</vt:lpstr>
      <vt:lpstr>wld_az1_rack2_host16_fqdn</vt:lpstr>
      <vt:lpstr>wld_az1_rack2_host16_hostname</vt:lpstr>
      <vt:lpstr>wld_az1_rack2_host16_mgmt_ip</vt:lpstr>
      <vt:lpstr>wld_az1_rack2_host2_fqdn</vt:lpstr>
      <vt:lpstr>wld_az1_rack2_host2_hostname</vt:lpstr>
      <vt:lpstr>wld_az1_rack2_host2_mgmt_ip</vt:lpstr>
      <vt:lpstr>wld_az1_rack2_host3_fqdn</vt:lpstr>
      <vt:lpstr>wld_az1_rack2_host3_hostname</vt:lpstr>
      <vt:lpstr>wld_az1_rack2_host3_mgmt_ip</vt:lpstr>
      <vt:lpstr>wld_az1_rack2_host4_fqdn</vt:lpstr>
      <vt:lpstr>wld_az1_rack2_host4_hostname</vt:lpstr>
      <vt:lpstr>wld_az1_rack2_host4_mgmt_ip</vt:lpstr>
      <vt:lpstr>wld_az1_rack2_host5_fqdn</vt:lpstr>
      <vt:lpstr>wld_az1_rack2_host5_hostname</vt:lpstr>
      <vt:lpstr>wld_az1_rack2_host5_mgmt_ip</vt:lpstr>
      <vt:lpstr>wld_az1_rack2_host6_fqdn</vt:lpstr>
      <vt:lpstr>wld_az1_rack2_host6_hostname</vt:lpstr>
      <vt:lpstr>wld_az1_rack2_host6_mgmt_ip</vt:lpstr>
      <vt:lpstr>wld_az1_rack2_host7_fqdn</vt:lpstr>
      <vt:lpstr>wld_az1_rack2_host7_hostname</vt:lpstr>
      <vt:lpstr>wld_az1_rack2_host7_mgmt_ip</vt:lpstr>
      <vt:lpstr>wld_az1_rack2_host8_fqdn</vt:lpstr>
      <vt:lpstr>wld_az1_rack2_host8_hostname</vt:lpstr>
      <vt:lpstr>wld_az1_rack2_host8_mgmt_ip</vt:lpstr>
      <vt:lpstr>wld_az1_rack2_host9_fqdn</vt:lpstr>
      <vt:lpstr>wld_az1_rack2_host9_hostname</vt:lpstr>
      <vt:lpstr>wld_az1_rack2_host9_mgmt_ip</vt:lpstr>
      <vt:lpstr>wld_az1_rack2_mgmt_cidr</vt:lpstr>
      <vt:lpstr>wld_az1_rack2_mgmt_gateway_ip</vt:lpstr>
      <vt:lpstr>wld_az1_rack2_mgmt_mask</vt:lpstr>
      <vt:lpstr>wld_az1_rack2_mgmt_mtu</vt:lpstr>
      <vt:lpstr>wld_az1_rack2_mgmt_network</vt:lpstr>
      <vt:lpstr>wld_az1_rack2_mgmt_pg</vt:lpstr>
      <vt:lpstr>wld_az1_rack2_mgmt_vlan</vt:lpstr>
      <vt:lpstr>wld_az1_rack2_mgmt_vm_cidr</vt:lpstr>
      <vt:lpstr>wld_az1_rack2_mgmt_vm_gateway_ip</vt:lpstr>
      <vt:lpstr>wld_az1_rack2_mgmt_vm_mask</vt:lpstr>
      <vt:lpstr>wld_az1_rack2_mgmt_vm_mtu</vt:lpstr>
      <vt:lpstr>wld_az1_rack2_mgmt_vm_pg</vt:lpstr>
      <vt:lpstr>wld_az1_rack2_mgmt_vm_vlan</vt:lpstr>
      <vt:lpstr>wld_az1_rack2_pool_name</vt:lpstr>
      <vt:lpstr>wld_az1_rack2_principal_storage_cidr</vt:lpstr>
      <vt:lpstr>wld_az1_rack2_principal_storage_gateway_ip</vt:lpstr>
      <vt:lpstr>wld_az1_rack2_principal_storage_mask</vt:lpstr>
      <vt:lpstr>wld_az1_rack2_principal_storage_mtu</vt:lpstr>
      <vt:lpstr>wld_az1_rack2_principal_storage_network</vt:lpstr>
      <vt:lpstr>wld_az1_rack2_principal_storage_pg</vt:lpstr>
      <vt:lpstr>wld_az1_rack2_principal_storage_pool_end_ip</vt:lpstr>
      <vt:lpstr>wld_az1_rack2_principal_storage_pool_start_ip</vt:lpstr>
      <vt:lpstr>wld_az1_rack2_principal_storage_vlan</vt:lpstr>
      <vt:lpstr>wld_az1_rack2_rtep_ip_pool_name</vt:lpstr>
      <vt:lpstr>wld_az1_rack2_rtep_overlay_cidr</vt:lpstr>
      <vt:lpstr>wld_az1_rack2_rtep_overlay_gateway_ip</vt:lpstr>
      <vt:lpstr>wld_az1_rack2_rtep_overlay_mtu</vt:lpstr>
      <vt:lpstr>wld_az1_rack2_rtep_overlay_pool_end_ip</vt:lpstr>
      <vt:lpstr>wld_az1_rack2_rtep_overlay_pool_start_ip</vt:lpstr>
      <vt:lpstr>wld_az1_rack2_rtep_overlay_vlan</vt:lpstr>
      <vt:lpstr>wld_az1_rack2_secondary_storage_cidr</vt:lpstr>
      <vt:lpstr>wld_az1_rack2_secondary_storage_gateway_ip</vt:lpstr>
      <vt:lpstr>wld_az1_rack2_secondary_storage_mask</vt:lpstr>
      <vt:lpstr>wld_az1_rack2_secondary_storage_mtu</vt:lpstr>
      <vt:lpstr>wld_az1_rack2_secondary_storage_network</vt:lpstr>
      <vt:lpstr>wld_az1_rack2_secondary_storage_pool_end_ip</vt:lpstr>
      <vt:lpstr>wld_az1_rack2_secondary_storage_pool_start_ip</vt:lpstr>
      <vt:lpstr>wld_az1_rack2_secondary_storage_vlan</vt:lpstr>
      <vt:lpstr>wld_az1_rack2_tor1_peer_asn</vt:lpstr>
      <vt:lpstr>wld_az1_rack2_tor1_peer_bgp_password</vt:lpstr>
      <vt:lpstr>wld_az1_rack2_tor1_peer_ip</vt:lpstr>
      <vt:lpstr>wld_az1_rack2_tor2_peer_asn</vt:lpstr>
      <vt:lpstr>wld_az1_rack2_tor2_peer_bgp_password</vt:lpstr>
      <vt:lpstr>wld_az1_rack2_tor2_peer_ip</vt:lpstr>
      <vt:lpstr>wld_az1_rack2_uplink01_cidr</vt:lpstr>
      <vt:lpstr>wld_az1_rack2_uplink01_gateway_ip</vt:lpstr>
      <vt:lpstr>wld_az1_rack2_uplink01_mask</vt:lpstr>
      <vt:lpstr>wld_az1_rack2_uplink01_mtu</vt:lpstr>
      <vt:lpstr>wld_az1_rack2_uplink01_network</vt:lpstr>
      <vt:lpstr>wld_az1_rack2_uplink01_pg</vt:lpstr>
      <vt:lpstr>wld_az1_rack2_uplink01_vlan</vt:lpstr>
      <vt:lpstr>wld_az1_rack2_uplink02_cidr</vt:lpstr>
      <vt:lpstr>wld_az1_rack2_uplink02_gateway_ip</vt:lpstr>
      <vt:lpstr>wld_az1_rack2_uplink02_mask</vt:lpstr>
      <vt:lpstr>wld_az1_rack2_uplink02_mtu</vt:lpstr>
      <vt:lpstr>wld_az1_rack2_uplink02_network</vt:lpstr>
      <vt:lpstr>wld_az1_rack2_uplink02_pg</vt:lpstr>
      <vt:lpstr>wld_az1_rack2_uplink02_vlan</vt:lpstr>
      <vt:lpstr>wld_az1_rack2_vmotion_cidr</vt:lpstr>
      <vt:lpstr>wld_az1_rack2_vmotion_gateway_ip</vt:lpstr>
      <vt:lpstr>wld_az1_rack2_vmotion_mask</vt:lpstr>
      <vt:lpstr>wld_az1_rack2_vmotion_mtu</vt:lpstr>
      <vt:lpstr>wld_az1_rack2_vmotion_network</vt:lpstr>
      <vt:lpstr>wld_az1_rack2_vmotion_pg</vt:lpstr>
      <vt:lpstr>wld_az1_rack2_vmotion_pool_end_ip</vt:lpstr>
      <vt:lpstr>wld_az1_rack2_vmotion_pool_start_ip</vt:lpstr>
      <vt:lpstr>wld_az1_rack2_vmotion_vlan</vt:lpstr>
      <vt:lpstr>wld_az1_rack2_vrms_cidr</vt:lpstr>
      <vt:lpstr>wld_az1_rack2_vrms_gateway_ip</vt:lpstr>
      <vt:lpstr>wld_az1_rack2_vrms_mtu</vt:lpstr>
      <vt:lpstr>wld_az1_rack2_vrms_vlan</vt:lpstr>
      <vt:lpstr>wld_az1_rack2_vsan_fault_domain</vt:lpstr>
      <vt:lpstr>wld_az1_rack3_edge_overlay_cidr</vt:lpstr>
      <vt:lpstr>wld_az1_rack3_edge_overlay_gateway_ip</vt:lpstr>
      <vt:lpstr>wld_az1_rack3_edge_overlay_mask</vt:lpstr>
      <vt:lpstr>wld_az1_rack3_edge_overlay_mtu</vt:lpstr>
      <vt:lpstr>wld_az1_rack3_edge_overlay_network</vt:lpstr>
      <vt:lpstr>wld_az1_rack3_edge_overlay_network_pool_name</vt:lpstr>
      <vt:lpstr>wld_az1_rack3_edge_overlay_pool_end_ip</vt:lpstr>
      <vt:lpstr>wld_az1_rack3_edge_overlay_pool_start_ip</vt:lpstr>
      <vt:lpstr>wld_az1_rack3_edge_overlay_vlan</vt:lpstr>
      <vt:lpstr>wld_az1_rack3_en1_edge_overlay_interface_ip_1_ip</vt:lpstr>
      <vt:lpstr>wld_az1_rack3_en1_edge_overlay_interface_ip_2_ip</vt:lpstr>
      <vt:lpstr>wld_az1_rack3_en1_fqdn</vt:lpstr>
      <vt:lpstr>wld_az1_rack3_en1_hostname</vt:lpstr>
      <vt:lpstr>wld_az1_rack3_en1_mgmt_ip</vt:lpstr>
      <vt:lpstr>wld_az1_rack3_en1_uplink01_interface_ip</vt:lpstr>
      <vt:lpstr>wld_az1_rack3_en1_uplink02_interface_ip</vt:lpstr>
      <vt:lpstr>wld_az1_rack3_en2_fqdn</vt:lpstr>
      <vt:lpstr>wld_az1_rack3_en2_hostname</vt:lpstr>
      <vt:lpstr>wld_az1_rack3_en2_mgmt_ip</vt:lpstr>
      <vt:lpstr>wld_az1_rack3_en2_uplink01_interface_ip</vt:lpstr>
      <vt:lpstr>wld_az1_rack3_en2_uplink02_interface_ip</vt:lpstr>
      <vt:lpstr>wld_az1_rack3_host_fqdns</vt:lpstr>
      <vt:lpstr>wld_az1_rack3_host_hostnames</vt:lpstr>
      <vt:lpstr>wld_az1_rack3_host_mgmt_ips</vt:lpstr>
      <vt:lpstr>wld_az1_rack3_host_overlay_cidr</vt:lpstr>
      <vt:lpstr>wld_az1_rack3_host_overlay_gateway_ip</vt:lpstr>
      <vt:lpstr>wld_az1_rack3_host_overlay_mask</vt:lpstr>
      <vt:lpstr>wld_az1_rack3_host_overlay_mtu</vt:lpstr>
      <vt:lpstr>wld_az1_rack3_host_overlay_network</vt:lpstr>
      <vt:lpstr>wld_az1_rack3_host_overlay_network_pool_name</vt:lpstr>
      <vt:lpstr>wld_az1_rack3_host_overlay_network_profile_name</vt:lpstr>
      <vt:lpstr>wld_az1_rack3_host_overlay_pool_end_ip</vt:lpstr>
      <vt:lpstr>wld_az1_rack3_host_overlay_pool_start_ip</vt:lpstr>
      <vt:lpstr>wld_az1_rack3_host_overlay_uplink_profile_name</vt:lpstr>
      <vt:lpstr>wld_az1_rack3_host_overlay_vlan</vt:lpstr>
      <vt:lpstr>wld_az1_rack3_host1_fqdn</vt:lpstr>
      <vt:lpstr>wld_az1_rack3_host1_hostname</vt:lpstr>
      <vt:lpstr>wld_az1_rack3_host1_mgmt_ip</vt:lpstr>
      <vt:lpstr>wld_az1_rack3_host10_fqdn</vt:lpstr>
      <vt:lpstr>wld_az1_rack3_host10_hostname</vt:lpstr>
      <vt:lpstr>wld_az1_rack3_host10_mgmt_ip</vt:lpstr>
      <vt:lpstr>wld_az1_rack3_host11_fqdn</vt:lpstr>
      <vt:lpstr>wld_az1_rack3_host11_hostname</vt:lpstr>
      <vt:lpstr>wld_az1_rack3_host11_mgmt_ip</vt:lpstr>
      <vt:lpstr>wld_az1_rack3_host12_fqdn</vt:lpstr>
      <vt:lpstr>wld_az1_rack3_host12_hostname</vt:lpstr>
      <vt:lpstr>wld_az1_rack3_host12_mgmt_ip</vt:lpstr>
      <vt:lpstr>wld_az1_rack3_host13_fqdn</vt:lpstr>
      <vt:lpstr>wld_az1_rack3_host13_hostname</vt:lpstr>
      <vt:lpstr>wld_az1_rack3_host13_mgmt_ip</vt:lpstr>
      <vt:lpstr>wld_az1_rack3_host14_fqdn</vt:lpstr>
      <vt:lpstr>wld_az1_rack3_host14_hostname</vt:lpstr>
      <vt:lpstr>wld_az1_rack3_host14_mgmt_ip</vt:lpstr>
      <vt:lpstr>wld_az1_rack3_host15_fqdn</vt:lpstr>
      <vt:lpstr>wld_az1_rack3_host15_hostname</vt:lpstr>
      <vt:lpstr>wld_az1_rack3_host15_mgmt_ip</vt:lpstr>
      <vt:lpstr>wld_az1_rack3_host16_fqdn</vt:lpstr>
      <vt:lpstr>wld_az1_rack3_host16_hostname</vt:lpstr>
      <vt:lpstr>wld_az1_rack3_host16_mgmt_ip</vt:lpstr>
      <vt:lpstr>wld_az1_rack3_host2_fqdn</vt:lpstr>
      <vt:lpstr>wld_az1_rack3_host2_hostname</vt:lpstr>
      <vt:lpstr>wld_az1_rack3_host2_mgmt_ip</vt:lpstr>
      <vt:lpstr>wld_az1_rack3_host3_fqdn</vt:lpstr>
      <vt:lpstr>wld_az1_rack3_host3_hostname</vt:lpstr>
      <vt:lpstr>wld_az1_rack3_host3_mgmt_ip</vt:lpstr>
      <vt:lpstr>wld_az1_rack3_host4_fqdn</vt:lpstr>
      <vt:lpstr>wld_az1_rack3_host4_hostname</vt:lpstr>
      <vt:lpstr>wld_az1_rack3_host4_mgmt_ip</vt:lpstr>
      <vt:lpstr>wld_az1_rack3_host5_fqdn</vt:lpstr>
      <vt:lpstr>wld_az1_rack3_host5_hostname</vt:lpstr>
      <vt:lpstr>wld_az1_rack3_host5_mgmt_ip</vt:lpstr>
      <vt:lpstr>wld_az1_rack3_host6_fqdn</vt:lpstr>
      <vt:lpstr>wld_az1_rack3_host6_hostname</vt:lpstr>
      <vt:lpstr>wld_az1_rack3_host6_mgmt_ip</vt:lpstr>
      <vt:lpstr>wld_az1_rack3_host7_fqdn</vt:lpstr>
      <vt:lpstr>wld_az1_rack3_host7_hostname</vt:lpstr>
      <vt:lpstr>wld_az1_rack3_host7_mgmt_ip</vt:lpstr>
      <vt:lpstr>wld_az1_rack3_host8_fqdn</vt:lpstr>
      <vt:lpstr>wld_az1_rack3_host8_hostname</vt:lpstr>
      <vt:lpstr>wld_az1_rack3_host8_mgmt_ip</vt:lpstr>
      <vt:lpstr>wld_az1_rack3_host9_fqdn</vt:lpstr>
      <vt:lpstr>wld_az1_rack3_host9_hostname</vt:lpstr>
      <vt:lpstr>wld_az1_rack3_host9_mgmt_ip</vt:lpstr>
      <vt:lpstr>wld_az1_rack3_mgmt_cidr</vt:lpstr>
      <vt:lpstr>wld_az1_rack3_mgmt_gateway_ip</vt:lpstr>
      <vt:lpstr>wld_az1_rack3_mgmt_mask</vt:lpstr>
      <vt:lpstr>wld_az1_rack3_mgmt_mtu</vt:lpstr>
      <vt:lpstr>wld_az1_rack3_mgmt_network</vt:lpstr>
      <vt:lpstr>wld_az1_rack3_mgmt_pg</vt:lpstr>
      <vt:lpstr>wld_az1_rack3_mgmt_vlan</vt:lpstr>
      <vt:lpstr>wld_az1_rack3_mgmt_vm_cidr</vt:lpstr>
      <vt:lpstr>wld_az1_rack3_mgmt_vm_gateway_ip</vt:lpstr>
      <vt:lpstr>wld_az1_rack3_mgmt_vm_mask</vt:lpstr>
      <vt:lpstr>wld_az1_rack3_mgmt_vm_mtu</vt:lpstr>
      <vt:lpstr>wld_az1_rack3_mgmt_vm_pg</vt:lpstr>
      <vt:lpstr>wld_az1_rack3_mgmt_vm_vlan</vt:lpstr>
      <vt:lpstr>wld_az1_rack3_pool_name</vt:lpstr>
      <vt:lpstr>wld_az1_rack3_principal_storage_cidr</vt:lpstr>
      <vt:lpstr>wld_az1_rack3_principal_storage_gateway_ip</vt:lpstr>
      <vt:lpstr>wld_az1_rack3_principal_storage_mask</vt:lpstr>
      <vt:lpstr>wld_az1_rack3_principal_storage_mtu</vt:lpstr>
      <vt:lpstr>wld_az1_rack3_principal_storage_network</vt:lpstr>
      <vt:lpstr>wld_az1_rack3_principal_storage_pool_end_ip</vt:lpstr>
      <vt:lpstr>wld_az1_rack3_principal_storage_pool_start_ip</vt:lpstr>
      <vt:lpstr>wld_az1_rack3_principal_storage_vlan</vt:lpstr>
      <vt:lpstr>wld_az1_rack3_rtep_ip_pool_name</vt:lpstr>
      <vt:lpstr>wld_az1_rack3_rtep_overlay_cidr</vt:lpstr>
      <vt:lpstr>wld_az1_rack3_rtep_overlay_gateway_ip</vt:lpstr>
      <vt:lpstr>wld_az1_rack3_rtep_overlay_mtu</vt:lpstr>
      <vt:lpstr>wld_az1_rack3_rtep_overlay_pool_end_ip</vt:lpstr>
      <vt:lpstr>wld_az1_rack3_rtep_overlay_pool_start_ip</vt:lpstr>
      <vt:lpstr>wld_az1_rack3_rtep_overlay_vlan</vt:lpstr>
      <vt:lpstr>wld_az1_rack3_secondary_storage_cidr</vt:lpstr>
      <vt:lpstr>wld_az1_rack3_secondary_storage_gateway_ip</vt:lpstr>
      <vt:lpstr>wld_az1_rack3_secondary_storage_mask</vt:lpstr>
      <vt:lpstr>wld_az1_rack3_secondary_storage_mtu</vt:lpstr>
      <vt:lpstr>wld_az1_rack3_secondary_storage_network</vt:lpstr>
      <vt:lpstr>wld_az1_rack3_secondary_storage_pool_end_ip</vt:lpstr>
      <vt:lpstr>wld_az1_rack3_secondary_storage_pool_start_ip</vt:lpstr>
      <vt:lpstr>wld_az1_rack3_secondary_storage_vlan</vt:lpstr>
      <vt:lpstr>wld_az1_rack3_tor1_peer_asn</vt:lpstr>
      <vt:lpstr>wld_az1_rack3_tor1_peer_bgp_password</vt:lpstr>
      <vt:lpstr>wld_az1_rack3_tor1_peer_ip</vt:lpstr>
      <vt:lpstr>wld_az1_rack3_tor2_peer_asn</vt:lpstr>
      <vt:lpstr>wld_az1_rack3_tor2_peer_bgp_password</vt:lpstr>
      <vt:lpstr>wld_az1_rack3_tor2_peer_ip</vt:lpstr>
      <vt:lpstr>wld_az1_rack3_uplink01_cidr</vt:lpstr>
      <vt:lpstr>wld_az1_rack3_uplink01_gateway_ip</vt:lpstr>
      <vt:lpstr>wld_az1_rack3_uplink01_mask</vt:lpstr>
      <vt:lpstr>wld_az1_rack3_uplink01_mtu</vt:lpstr>
      <vt:lpstr>wld_az1_rack3_uplink01_network</vt:lpstr>
      <vt:lpstr>wld_az1_rack3_uplink01_pg</vt:lpstr>
      <vt:lpstr>wld_az1_rack3_uplink01_vlan</vt:lpstr>
      <vt:lpstr>wld_az1_rack3_uplink02_cidr</vt:lpstr>
      <vt:lpstr>wld_az1_rack3_uplink02_gateway_ip</vt:lpstr>
      <vt:lpstr>wld_az1_rack3_uplink02_mask</vt:lpstr>
      <vt:lpstr>wld_az1_rack3_uplink02_mtu</vt:lpstr>
      <vt:lpstr>wld_az1_rack3_uplink02_network</vt:lpstr>
      <vt:lpstr>wld_az1_rack3_uplink02_pg</vt:lpstr>
      <vt:lpstr>wld_az1_rack3_uplink02_vlan</vt:lpstr>
      <vt:lpstr>wld_az1_rack3_vmotion_cidr</vt:lpstr>
      <vt:lpstr>wld_az1_rack3_vmotion_gateway_ip</vt:lpstr>
      <vt:lpstr>wld_az1_rack3_vmotion_mask</vt:lpstr>
      <vt:lpstr>wld_az1_rack3_vmotion_mtu</vt:lpstr>
      <vt:lpstr>wld_az1_rack3_vmotion_network</vt:lpstr>
      <vt:lpstr>wld_az1_rack3_vmotion_pg</vt:lpstr>
      <vt:lpstr>wld_az1_rack3_vmotion_pool_end_ip</vt:lpstr>
      <vt:lpstr>wld_az1_rack3_vmotion_pool_start_ip</vt:lpstr>
      <vt:lpstr>wld_az1_rack3_vmotion_vlan</vt:lpstr>
      <vt:lpstr>wld_az1_rack3_vrms_cidr</vt:lpstr>
      <vt:lpstr>wld_az1_rack3_vrms_gateway_ip</vt:lpstr>
      <vt:lpstr>wld_az1_rack3_vrms_mtu</vt:lpstr>
      <vt:lpstr>wld_az1_rack3_vrms_vlan</vt:lpstr>
      <vt:lpstr>wld_az1_rack3_vsan_fault_domain</vt:lpstr>
      <vt:lpstr>wld_az1_rack4_edge_overlay_cidr</vt:lpstr>
      <vt:lpstr>wld_az1_rack4_edge_overlay_gateway_ip</vt:lpstr>
      <vt:lpstr>wld_az1_rack4_edge_overlay_mask</vt:lpstr>
      <vt:lpstr>wld_az1_rack4_edge_overlay_mtu</vt:lpstr>
      <vt:lpstr>wld_az1_rack4_edge_overlay_network</vt:lpstr>
      <vt:lpstr>wld_az1_rack4_edge_overlay_network_pool_name</vt:lpstr>
      <vt:lpstr>wld_az1_rack4_edge_overlay_pool_end_ip</vt:lpstr>
      <vt:lpstr>wld_az1_rack4_edge_overlay_pool_start_ip</vt:lpstr>
      <vt:lpstr>wld_az1_rack4_edge_overlay_vlan</vt:lpstr>
      <vt:lpstr>wld_az1_rack4_en1_edge_overlay_interface_ip_1_ip</vt:lpstr>
      <vt:lpstr>wld_az1_rack4_en1_edge_overlay_interface_ip_2_ip</vt:lpstr>
      <vt:lpstr>wld_az1_rack4_en1_fqdn</vt:lpstr>
      <vt:lpstr>wld_az1_rack4_en1_hostname</vt:lpstr>
      <vt:lpstr>wld_az1_rack4_en1_mgmt_ip</vt:lpstr>
      <vt:lpstr>wld_az1_rack4_en1_uplink01_interface_ip</vt:lpstr>
      <vt:lpstr>wld_az1_rack4_en1_uplink02_interface_ip</vt:lpstr>
      <vt:lpstr>wld_az1_rack4_en2_fqdn</vt:lpstr>
      <vt:lpstr>wld_az1_rack4_en2_hostname</vt:lpstr>
      <vt:lpstr>wld_az1_rack4_en2_mgmt_ip</vt:lpstr>
      <vt:lpstr>wld_az1_rack4_en2_uplink01_interface_ip</vt:lpstr>
      <vt:lpstr>wld_az1_rack4_en2_uplink02_interface_ip</vt:lpstr>
      <vt:lpstr>wld_az1_rack4_host_fqdns</vt:lpstr>
      <vt:lpstr>wld_az1_rack4_host_hostnames</vt:lpstr>
      <vt:lpstr>wld_az1_rack4_host_mgmt_ips</vt:lpstr>
      <vt:lpstr>wld_az1_rack4_host_overlay_cidr</vt:lpstr>
      <vt:lpstr>wld_az1_rack4_host_overlay_gateway_ip</vt:lpstr>
      <vt:lpstr>wld_az1_rack4_host_overlay_mask</vt:lpstr>
      <vt:lpstr>wld_az1_rack4_host_overlay_mtu</vt:lpstr>
      <vt:lpstr>wld_az1_rack4_host_overlay_network</vt:lpstr>
      <vt:lpstr>wld_az1_rack4_host_overlay_network_pool_name</vt:lpstr>
      <vt:lpstr>wld_az1_rack4_host_overlay_network_profile_name</vt:lpstr>
      <vt:lpstr>wld_az1_rack4_host_overlay_pool_end_ip</vt:lpstr>
      <vt:lpstr>wld_az1_rack4_host_overlay_pool_start_ip</vt:lpstr>
      <vt:lpstr>wld_az1_rack4_host_overlay_uplink_profile_name</vt:lpstr>
      <vt:lpstr>wld_az1_rack4_host_overlay_vlan</vt:lpstr>
      <vt:lpstr>wld_az1_rack4_host1_fqdn</vt:lpstr>
      <vt:lpstr>wld_az1_rack4_host1_hostname</vt:lpstr>
      <vt:lpstr>wld_az1_rack4_host1_mgmt_ip</vt:lpstr>
      <vt:lpstr>wld_az1_rack4_host10_fqdn</vt:lpstr>
      <vt:lpstr>wld_az1_rack4_host10_hostname</vt:lpstr>
      <vt:lpstr>wld_az1_rack4_host10_mgmt_ip</vt:lpstr>
      <vt:lpstr>wld_az1_rack4_host11_fqdn</vt:lpstr>
      <vt:lpstr>wld_az1_rack4_host11_hostname</vt:lpstr>
      <vt:lpstr>wld_az1_rack4_host11_mgmt_ip</vt:lpstr>
      <vt:lpstr>wld_az1_rack4_host12_fqdn</vt:lpstr>
      <vt:lpstr>wld_az1_rack4_host12_hostname</vt:lpstr>
      <vt:lpstr>wld_az1_rack4_host12_mgmt_ip</vt:lpstr>
      <vt:lpstr>wld_az1_rack4_host13_fqdn</vt:lpstr>
      <vt:lpstr>wld_az1_rack4_host13_hostname</vt:lpstr>
      <vt:lpstr>wld_az1_rack4_host13_mgmt_ip</vt:lpstr>
      <vt:lpstr>wld_az1_rack4_host14_fqdn</vt:lpstr>
      <vt:lpstr>wld_az1_rack4_host14_hostname</vt:lpstr>
      <vt:lpstr>wld_az1_rack4_host14_mgmt_ip</vt:lpstr>
      <vt:lpstr>wld_az1_rack4_host15_fqdn</vt:lpstr>
      <vt:lpstr>wld_az1_rack4_host15_hostname</vt:lpstr>
      <vt:lpstr>wld_az1_rack4_host15_mgmt_ip</vt:lpstr>
      <vt:lpstr>wld_az1_rack4_host16_fqdn</vt:lpstr>
      <vt:lpstr>wld_az1_rack4_host16_hostname</vt:lpstr>
      <vt:lpstr>wld_az1_rack4_host16_mgmt_ip</vt:lpstr>
      <vt:lpstr>wld_az1_rack4_host2_fqdn</vt:lpstr>
      <vt:lpstr>wld_az1_rack4_host2_hostname</vt:lpstr>
      <vt:lpstr>wld_az1_rack4_host2_mgmt_ip</vt:lpstr>
      <vt:lpstr>wld_az1_rack4_host3_fqdn</vt:lpstr>
      <vt:lpstr>wld_az1_rack4_host3_hostname</vt:lpstr>
      <vt:lpstr>wld_az1_rack4_host3_mgmt_ip</vt:lpstr>
      <vt:lpstr>wld_az1_rack4_host4_fqdn</vt:lpstr>
      <vt:lpstr>wld_az1_rack4_host4_hostname</vt:lpstr>
      <vt:lpstr>wld_az1_rack4_host4_mgmt_ip</vt:lpstr>
      <vt:lpstr>wld_az1_rack4_host5_fqdn</vt:lpstr>
      <vt:lpstr>wld_az1_rack4_host5_hostname</vt:lpstr>
      <vt:lpstr>wld_az1_rack4_host5_mgmt_ip</vt:lpstr>
      <vt:lpstr>wld_az1_rack4_host6_fqdn</vt:lpstr>
      <vt:lpstr>wld_az1_rack4_host6_hostname</vt:lpstr>
      <vt:lpstr>wld_az1_rack4_host6_mgmt_ip</vt:lpstr>
      <vt:lpstr>wld_az1_rack4_host7_fqdn</vt:lpstr>
      <vt:lpstr>wld_az1_rack4_host7_hostname</vt:lpstr>
      <vt:lpstr>wld_az1_rack4_host7_mgmt_ip</vt:lpstr>
      <vt:lpstr>wld_az1_rack4_host8_fqdn</vt:lpstr>
      <vt:lpstr>wld_az1_rack4_host8_hostname</vt:lpstr>
      <vt:lpstr>wld_az1_rack4_host8_mgmt_ip</vt:lpstr>
      <vt:lpstr>wld_az1_rack4_host9_fqdn</vt:lpstr>
      <vt:lpstr>wld_az1_rack4_host9_hostname</vt:lpstr>
      <vt:lpstr>wld_az1_rack4_host9_mgmt_ip</vt:lpstr>
      <vt:lpstr>wld_az1_rack4_mgmt_cidr</vt:lpstr>
      <vt:lpstr>wld_az1_rack4_mgmt_gateway_ip</vt:lpstr>
      <vt:lpstr>wld_az1_rack4_mgmt_mask</vt:lpstr>
      <vt:lpstr>wld_az1_rack4_mgmt_mtu</vt:lpstr>
      <vt:lpstr>wld_az1_rack4_mgmt_network</vt:lpstr>
      <vt:lpstr>wld_az1_rack4_mgmt_pg</vt:lpstr>
      <vt:lpstr>wld_az1_rack4_mgmt_vlan</vt:lpstr>
      <vt:lpstr>wld_az1_rack4_mgmt_vm_cidr</vt:lpstr>
      <vt:lpstr>wld_az1_rack4_mgmt_vm_gateway_ip</vt:lpstr>
      <vt:lpstr>wld_az1_rack4_mgmt_vm_mask</vt:lpstr>
      <vt:lpstr>wld_az1_rack4_mgmt_vm_mtu</vt:lpstr>
      <vt:lpstr>wld_az1_rack4_mgmt_vm_pg</vt:lpstr>
      <vt:lpstr>wld_az1_rack4_mgmt_vm_vlan</vt:lpstr>
      <vt:lpstr>wld_az1_rack4_pool_name</vt:lpstr>
      <vt:lpstr>wld_az1_rack4_principal_storage_cidr</vt:lpstr>
      <vt:lpstr>wld_az1_rack4_principal_storage_gateway_ip</vt:lpstr>
      <vt:lpstr>wld_az1_rack4_principal_storage_mask</vt:lpstr>
      <vt:lpstr>wld_az1_rack4_principal_storage_mtu</vt:lpstr>
      <vt:lpstr>wld_az1_rack4_principal_storage_network</vt:lpstr>
      <vt:lpstr>wld_az1_rack4_principal_storage_pg</vt:lpstr>
      <vt:lpstr>wld_az1_rack4_principal_storage_pool_end_ip</vt:lpstr>
      <vt:lpstr>wld_az1_rack4_principal_storage_pool_start_ip</vt:lpstr>
      <vt:lpstr>wld_az1_rack4_principal_storage_vlan</vt:lpstr>
      <vt:lpstr>wld_az1_rack4_rtep_ip_pool_name</vt:lpstr>
      <vt:lpstr>wld_az1_rack4_rtep_overlay_cidr</vt:lpstr>
      <vt:lpstr>wld_az1_rack4_rtep_overlay_gateway_ip</vt:lpstr>
      <vt:lpstr>wld_az1_rack4_rtep_overlay_mtu</vt:lpstr>
      <vt:lpstr>wld_az1_rack4_rtep_overlay_pool_end_ip</vt:lpstr>
      <vt:lpstr>wld_az1_rack4_rtep_overlay_pool_start_ip</vt:lpstr>
      <vt:lpstr>wld_az1_rack4_rtep_overlay_vlan</vt:lpstr>
      <vt:lpstr>wld_az1_rack4_secondary_storage_cidr</vt:lpstr>
      <vt:lpstr>wld_az1_rack4_secondary_storage_gateway_ip</vt:lpstr>
      <vt:lpstr>wld_az1_rack4_secondary_storage_mask</vt:lpstr>
      <vt:lpstr>wld_az1_rack4_secondary_storage_mtu</vt:lpstr>
      <vt:lpstr>wld_az1_rack4_secondary_storage_network</vt:lpstr>
      <vt:lpstr>wld_az1_rack4_secondary_storage_pool_end_ip</vt:lpstr>
      <vt:lpstr>wld_az1_rack4_secondary_storage_pool_start_ip</vt:lpstr>
      <vt:lpstr>wld_az1_rack4_secondary_storage_vlan</vt:lpstr>
      <vt:lpstr>wld_az1_rack4_tor1_peer_asn</vt:lpstr>
      <vt:lpstr>wld_az1_rack4_tor1_peer_bgp_password</vt:lpstr>
      <vt:lpstr>wld_az1_rack4_tor1_peer_ip</vt:lpstr>
      <vt:lpstr>wld_az1_rack4_tor2_peer_asn</vt:lpstr>
      <vt:lpstr>wld_az1_rack4_tor2_peer_bgp_password</vt:lpstr>
      <vt:lpstr>wld_az1_rack4_tor2_peer_ip</vt:lpstr>
      <vt:lpstr>wld_az1_rack4_uplink01_cidr</vt:lpstr>
      <vt:lpstr>wld_az1_rack4_uplink01_gateway_ip</vt:lpstr>
      <vt:lpstr>wld_az1_rack4_uplink01_mask</vt:lpstr>
      <vt:lpstr>wld_az1_rack4_uplink01_mtu</vt:lpstr>
      <vt:lpstr>wld_az1_rack4_uplink01_network</vt:lpstr>
      <vt:lpstr>wld_az1_rack4_uplink01_pg</vt:lpstr>
      <vt:lpstr>wld_az1_rack4_uplink01_vlan</vt:lpstr>
      <vt:lpstr>wld_az1_rack4_uplink02_cidr</vt:lpstr>
      <vt:lpstr>wld_az1_rack4_uplink02_gateway_ip</vt:lpstr>
      <vt:lpstr>wld_az1_rack4_uplink02_mask</vt:lpstr>
      <vt:lpstr>wld_az1_rack4_uplink02_mtu</vt:lpstr>
      <vt:lpstr>wld_az1_rack4_uplink02_network</vt:lpstr>
      <vt:lpstr>wld_az1_rack4_uplink02_pg</vt:lpstr>
      <vt:lpstr>wld_az1_rack4_uplink02_vlan</vt:lpstr>
      <vt:lpstr>wld_az1_rack4_vmotion_cidr</vt:lpstr>
      <vt:lpstr>wld_az1_rack4_vmotion_gateway_ip</vt:lpstr>
      <vt:lpstr>wld_az1_rack4_vmotion_mask</vt:lpstr>
      <vt:lpstr>wld_az1_rack4_vmotion_mtu</vt:lpstr>
      <vt:lpstr>wld_az1_rack4_vmotion_network</vt:lpstr>
      <vt:lpstr>wld_az1_rack4_vmotion_pg</vt:lpstr>
      <vt:lpstr>wld_az1_rack4_vmotion_pool_end_ip</vt:lpstr>
      <vt:lpstr>wld_az1_rack4_vmotion_pool_start_ip</vt:lpstr>
      <vt:lpstr>wld_az1_rack4_vmotion_vlan</vt:lpstr>
      <vt:lpstr>wld_az1_rack4_vrms_cidr</vt:lpstr>
      <vt:lpstr>wld_az1_rack4_vrms_gateway_ip</vt:lpstr>
      <vt:lpstr>wld_az1_rack4_vrms_mtu</vt:lpstr>
      <vt:lpstr>wld_az1_rack4_vrms_vlan</vt:lpstr>
      <vt:lpstr>wld_az1_rack4_vsan_fault_domain</vt:lpstr>
      <vt:lpstr>wld_az1_rack5_edge_overlay_cidr</vt:lpstr>
      <vt:lpstr>wld_az1_rack5_edge_overlay_gateway_ip</vt:lpstr>
      <vt:lpstr>wld_az1_rack5_edge_overlay_mask</vt:lpstr>
      <vt:lpstr>wld_az1_rack5_edge_overlay_mtu</vt:lpstr>
      <vt:lpstr>wld_az1_rack5_edge_overlay_network</vt:lpstr>
      <vt:lpstr>wld_az1_rack5_edge_overlay_network_pool_name</vt:lpstr>
      <vt:lpstr>wld_az1_rack5_edge_overlay_pool_end_ip</vt:lpstr>
      <vt:lpstr>wld_az1_rack5_edge_overlay_pool_start_ip</vt:lpstr>
      <vt:lpstr>wld_az1_rack5_edge_overlay_vlan</vt:lpstr>
      <vt:lpstr>wld_az1_rack5_en1_edge_overlay_interface_ip_1_ip</vt:lpstr>
      <vt:lpstr>wld_az1_rack5_en1_edge_overlay_interface_ip_2_ip</vt:lpstr>
      <vt:lpstr>wld_az1_rack5_en1_fqdn</vt:lpstr>
      <vt:lpstr>wld_az1_rack5_en1_hostname</vt:lpstr>
      <vt:lpstr>wld_az1_rack5_en1_mgmt_ip</vt:lpstr>
      <vt:lpstr>wld_az1_rack5_en1_uplink01_interface_ip</vt:lpstr>
      <vt:lpstr>wld_az1_rack5_en1_uplink02_interface_ip</vt:lpstr>
      <vt:lpstr>wld_az1_rack5_en2_fqdn</vt:lpstr>
      <vt:lpstr>wld_az1_rack5_en2_hostname</vt:lpstr>
      <vt:lpstr>wld_az1_rack5_en2_mgmt_ip</vt:lpstr>
      <vt:lpstr>wld_az1_rack5_en2_uplink01_interface_ip</vt:lpstr>
      <vt:lpstr>wld_az1_rack5_en2_uplink02_interface_ip</vt:lpstr>
      <vt:lpstr>wld_az1_rack5_host_fqdns</vt:lpstr>
      <vt:lpstr>wld_az1_rack5_host_hostnames</vt:lpstr>
      <vt:lpstr>wld_az1_rack5_host_mgmt_ips</vt:lpstr>
      <vt:lpstr>wld_az1_rack5_host_overlay_cidr</vt:lpstr>
      <vt:lpstr>wld_az1_rack5_host_overlay_gateway_ip</vt:lpstr>
      <vt:lpstr>wld_az1_rack5_host_overlay_mask</vt:lpstr>
      <vt:lpstr>wld_az1_rack5_host_overlay_mtu</vt:lpstr>
      <vt:lpstr>wld_az1_rack5_host_overlay_network</vt:lpstr>
      <vt:lpstr>wld_az1_rack5_host_overlay_network_pool_name</vt:lpstr>
      <vt:lpstr>wld_az1_rack5_host_overlay_network_profile_name</vt:lpstr>
      <vt:lpstr>wld_az1_rack5_host_overlay_pool_end_ip</vt:lpstr>
      <vt:lpstr>wld_az1_rack5_host_overlay_pool_start_ip</vt:lpstr>
      <vt:lpstr>wld_az1_rack5_host_overlay_uplink_profile_name</vt:lpstr>
      <vt:lpstr>wld_az1_rack5_host_overlay_vlan</vt:lpstr>
      <vt:lpstr>wld_az1_rack5_host1_fqdn</vt:lpstr>
      <vt:lpstr>wld_az1_rack5_host1_hostname</vt:lpstr>
      <vt:lpstr>wld_az1_rack5_host1_mgmt_ip</vt:lpstr>
      <vt:lpstr>wld_az1_rack5_host10_fqdn</vt:lpstr>
      <vt:lpstr>wld_az1_rack5_host10_hostname</vt:lpstr>
      <vt:lpstr>wld_az1_rack5_host10_mgmt_ip</vt:lpstr>
      <vt:lpstr>wld_az1_rack5_host11_fqdn</vt:lpstr>
      <vt:lpstr>wld_az1_rack5_host11_hostname</vt:lpstr>
      <vt:lpstr>wld_az1_rack5_host11_mgmt_ip</vt:lpstr>
      <vt:lpstr>wld_az1_rack5_host12_fqdn</vt:lpstr>
      <vt:lpstr>wld_az1_rack5_host12_hostname</vt:lpstr>
      <vt:lpstr>wld_az1_rack5_host12_mgmt_ip</vt:lpstr>
      <vt:lpstr>wld_az1_rack5_host13_fqdn</vt:lpstr>
      <vt:lpstr>wld_az1_rack5_host13_hostname</vt:lpstr>
      <vt:lpstr>wld_az1_rack5_host13_mgmt_ip</vt:lpstr>
      <vt:lpstr>wld_az1_rack5_host14_fqdn</vt:lpstr>
      <vt:lpstr>wld_az1_rack5_host14_hostname</vt:lpstr>
      <vt:lpstr>wld_az1_rack5_host14_mgmt_ip</vt:lpstr>
      <vt:lpstr>wld_az1_rack5_host15_fqdn</vt:lpstr>
      <vt:lpstr>wld_az1_rack5_host15_hostname</vt:lpstr>
      <vt:lpstr>wld_az1_rack5_host15_mgmt_ip</vt:lpstr>
      <vt:lpstr>wld_az1_rack5_host16_fqdn</vt:lpstr>
      <vt:lpstr>wld_az1_rack5_host16_hostname</vt:lpstr>
      <vt:lpstr>wld_az1_rack5_host16_mgmt_ip</vt:lpstr>
      <vt:lpstr>wld_az1_rack5_host2_fqdn</vt:lpstr>
      <vt:lpstr>wld_az1_rack5_host2_hostname</vt:lpstr>
      <vt:lpstr>wld_az1_rack5_host2_mgmt_ip</vt:lpstr>
      <vt:lpstr>wld_az1_rack5_host3_fqdn</vt:lpstr>
      <vt:lpstr>wld_az1_rack5_host3_hostname</vt:lpstr>
      <vt:lpstr>wld_az1_rack5_host3_mgmt_ip</vt:lpstr>
      <vt:lpstr>wld_az1_rack5_host4_fqdn</vt:lpstr>
      <vt:lpstr>wld_az1_rack5_host4_hostname</vt:lpstr>
      <vt:lpstr>wld_az1_rack5_host4_mgmt_ip</vt:lpstr>
      <vt:lpstr>wld_az1_rack5_host5_fqdn</vt:lpstr>
      <vt:lpstr>wld_az1_rack5_host5_hostname</vt:lpstr>
      <vt:lpstr>wld_az1_rack5_host5_mgmt_ip</vt:lpstr>
      <vt:lpstr>wld_az1_rack5_host6_fqdn</vt:lpstr>
      <vt:lpstr>wld_az1_rack5_host6_hostname</vt:lpstr>
      <vt:lpstr>wld_az1_rack5_host6_mgmt_ip</vt:lpstr>
      <vt:lpstr>wld_az1_rack5_host7_fqdn</vt:lpstr>
      <vt:lpstr>wld_az1_rack5_host7_hostname</vt:lpstr>
      <vt:lpstr>wld_az1_rack5_host7_mgmt_ip</vt:lpstr>
      <vt:lpstr>wld_az1_rack5_host8_fqdn</vt:lpstr>
      <vt:lpstr>wld_az1_rack5_host8_hostname</vt:lpstr>
      <vt:lpstr>wld_az1_rack5_host8_mgmt_ip</vt:lpstr>
      <vt:lpstr>wld_az1_rack5_host9_fqdn</vt:lpstr>
      <vt:lpstr>wld_az1_rack5_host9_hostname</vt:lpstr>
      <vt:lpstr>wld_az1_rack5_host9_mgmt_ip</vt:lpstr>
      <vt:lpstr>wld_az1_rack5_mgmt_cidr</vt:lpstr>
      <vt:lpstr>wld_az1_rack5_mgmt_gateway_ip</vt:lpstr>
      <vt:lpstr>wld_az1_rack5_mgmt_mask</vt:lpstr>
      <vt:lpstr>wld_az1_rack5_mgmt_mtu</vt:lpstr>
      <vt:lpstr>wld_az1_rack5_mgmt_network</vt:lpstr>
      <vt:lpstr>wld_az1_rack5_mgmt_pg</vt:lpstr>
      <vt:lpstr>wld_az1_rack5_mgmt_vlan</vt:lpstr>
      <vt:lpstr>wld_az1_rack5_mgmt_vm_cidr</vt:lpstr>
      <vt:lpstr>wld_az1_rack5_mgmt_vm_gateway_ip</vt:lpstr>
      <vt:lpstr>wld_az1_rack5_mgmt_vm_mask</vt:lpstr>
      <vt:lpstr>wld_az1_rack5_mgmt_vm_mtu</vt:lpstr>
      <vt:lpstr>wld_az1_rack5_mgmt_vm_pg</vt:lpstr>
      <vt:lpstr>wld_az1_rack5_mgmt_vm_vlan</vt:lpstr>
      <vt:lpstr>wld_az1_rack5_pool_name</vt:lpstr>
      <vt:lpstr>wld_az1_rack5_principal_storage_cidr</vt:lpstr>
      <vt:lpstr>wld_az1_rack5_principal_storage_gateway_ip</vt:lpstr>
      <vt:lpstr>wld_az1_rack5_principal_storage_mask</vt:lpstr>
      <vt:lpstr>wld_az1_rack5_principal_storage_mtu</vt:lpstr>
      <vt:lpstr>wld_az1_rack5_principal_storage_network</vt:lpstr>
      <vt:lpstr>wld_az1_rack5_principal_storage_pg</vt:lpstr>
      <vt:lpstr>wld_az1_rack5_principal_storage_pool_end_ip</vt:lpstr>
      <vt:lpstr>wld_az1_rack5_principal_storage_pool_start_ip</vt:lpstr>
      <vt:lpstr>wld_az1_rack5_principal_storage_vlan</vt:lpstr>
      <vt:lpstr>wld_az1_rack5_rtep_ip_pool_name</vt:lpstr>
      <vt:lpstr>wld_az1_rack5_rtep_overlay_cidr</vt:lpstr>
      <vt:lpstr>wld_az1_rack5_rtep_overlay_gateway_ip</vt:lpstr>
      <vt:lpstr>wld_az1_rack5_rtep_overlay_mtu</vt:lpstr>
      <vt:lpstr>wld_az1_rack5_rtep_overlay_pool_end_ip</vt:lpstr>
      <vt:lpstr>wld_az1_rack5_rtep_overlay_pool_start_ip</vt:lpstr>
      <vt:lpstr>wld_az1_rack5_rtep_overlay_vlan</vt:lpstr>
      <vt:lpstr>wld_az1_rack5_secondary_storage_cidr</vt:lpstr>
      <vt:lpstr>wld_az1_rack5_secondary_storage_gateway_ip</vt:lpstr>
      <vt:lpstr>wld_az1_rack5_secondary_storage_mask</vt:lpstr>
      <vt:lpstr>wld_az1_rack5_secondary_storage_mtu</vt:lpstr>
      <vt:lpstr>wld_az1_rack5_secondary_storage_network</vt:lpstr>
      <vt:lpstr>wld_az1_rack5_secondary_storage_pool_end_ip</vt:lpstr>
      <vt:lpstr>wld_az1_rack5_secondary_storage_pool_start_ip</vt:lpstr>
      <vt:lpstr>wld_az1_rack5_secondary_storage_vlan</vt:lpstr>
      <vt:lpstr>wld_az1_rack5_tor1_peer_asn</vt:lpstr>
      <vt:lpstr>wld_az1_rack5_tor1_peer_bgp_password</vt:lpstr>
      <vt:lpstr>wld_az1_rack5_tor1_peer_ip</vt:lpstr>
      <vt:lpstr>wld_az1_rack5_tor2_peer_asn</vt:lpstr>
      <vt:lpstr>wld_az1_rack5_tor2_peer_bgp_password</vt:lpstr>
      <vt:lpstr>wld_az1_rack5_tor2_peer_ip</vt:lpstr>
      <vt:lpstr>wld_az1_rack5_uplink01_cidr</vt:lpstr>
      <vt:lpstr>wld_az1_rack5_uplink01_gateway_ip</vt:lpstr>
      <vt:lpstr>wld_az1_rack5_uplink01_mask</vt:lpstr>
      <vt:lpstr>wld_az1_rack5_uplink01_mtu</vt:lpstr>
      <vt:lpstr>wld_az1_rack5_uplink01_network</vt:lpstr>
      <vt:lpstr>wld_az1_rack5_uplink01_pg</vt:lpstr>
      <vt:lpstr>wld_az1_rack5_uplink01_vlan</vt:lpstr>
      <vt:lpstr>wld_az1_rack5_uplink02_cidr</vt:lpstr>
      <vt:lpstr>wld_az1_rack5_uplink02_gateway_ip</vt:lpstr>
      <vt:lpstr>wld_az1_rack5_uplink02_mask</vt:lpstr>
      <vt:lpstr>wld_az1_rack5_uplink02_mtu</vt:lpstr>
      <vt:lpstr>wld_az1_rack5_uplink02_network</vt:lpstr>
      <vt:lpstr>wld_az1_rack5_uplink02_pg</vt:lpstr>
      <vt:lpstr>wld_az1_rack5_uplink02_vlan</vt:lpstr>
      <vt:lpstr>wld_az1_rack5_vmotion_cidr</vt:lpstr>
      <vt:lpstr>wld_az1_rack5_vmotion_gateway_ip</vt:lpstr>
      <vt:lpstr>wld_az1_rack5_vmotion_mask</vt:lpstr>
      <vt:lpstr>wld_az1_rack5_vmotion_mtu</vt:lpstr>
      <vt:lpstr>wld_az1_rack5_vmotion_network</vt:lpstr>
      <vt:lpstr>wld_az1_rack5_vmotion_pg</vt:lpstr>
      <vt:lpstr>wld_az1_rack5_vmotion_pool_end_ip</vt:lpstr>
      <vt:lpstr>wld_az1_rack5_vmotion_pool_start_ip</vt:lpstr>
      <vt:lpstr>wld_az1_rack5_vmotion_vlan</vt:lpstr>
      <vt:lpstr>wld_az1_rack5_vrms_cidr</vt:lpstr>
      <vt:lpstr>wld_az1_rack5_vrms_gateway_ip</vt:lpstr>
      <vt:lpstr>wld_az1_rack5_vrms_mtu</vt:lpstr>
      <vt:lpstr>wld_az1_rack5_vrms_vlan</vt:lpstr>
      <vt:lpstr>wld_az1_rack5_vsan_fault_domain</vt:lpstr>
      <vt:lpstr>wld_az1_rack6_edge_overlay_cidr</vt:lpstr>
      <vt:lpstr>wld_az1_rack6_edge_overlay_gateway_ip</vt:lpstr>
      <vt:lpstr>wld_az1_rack6_edge_overlay_mask</vt:lpstr>
      <vt:lpstr>wld_az1_rack6_edge_overlay_mtu</vt:lpstr>
      <vt:lpstr>wld_az1_rack6_edge_overlay_network</vt:lpstr>
      <vt:lpstr>wld_az1_rack6_edge_overlay_network_pool_name</vt:lpstr>
      <vt:lpstr>wld_az1_rack6_edge_overlay_pool_end_ip</vt:lpstr>
      <vt:lpstr>wld_az1_rack6_edge_overlay_pool_start_ip</vt:lpstr>
      <vt:lpstr>wld_az1_rack6_edge_overlay_vlan</vt:lpstr>
      <vt:lpstr>wld_az1_rack6_en1_edge_overlay_interface_ip_1_ip</vt:lpstr>
      <vt:lpstr>wld_az1_rack6_en1_edge_overlay_interface_ip_2_ip</vt:lpstr>
      <vt:lpstr>wld_az1_rack6_en1_fqdn</vt:lpstr>
      <vt:lpstr>wld_az1_rack6_en1_hostname</vt:lpstr>
      <vt:lpstr>wld_az1_rack6_en1_mgmt_ip</vt:lpstr>
      <vt:lpstr>wld_az1_rack6_en1_uplink01_interface_ip</vt:lpstr>
      <vt:lpstr>wld_az1_rack6_en1_uplink02_interface_ip</vt:lpstr>
      <vt:lpstr>wld_az1_rack6_en2_fqdn</vt:lpstr>
      <vt:lpstr>wld_az1_rack6_en2_hostname</vt:lpstr>
      <vt:lpstr>wld_az1_rack6_en2_mgmt_ip</vt:lpstr>
      <vt:lpstr>wld_az1_rack6_en2_uplink01_interface_ip</vt:lpstr>
      <vt:lpstr>wld_az1_rack6_en2_uplink02_interface_ip</vt:lpstr>
      <vt:lpstr>wld_az1_rack6_host_fqdns</vt:lpstr>
      <vt:lpstr>wld_az1_rack6_host_hostnames</vt:lpstr>
      <vt:lpstr>wld_az1_rack6_host_mgmt_ips</vt:lpstr>
      <vt:lpstr>wld_az1_rack6_host_overlay_cidr</vt:lpstr>
      <vt:lpstr>wld_az1_rack6_host_overlay_gateway_ip</vt:lpstr>
      <vt:lpstr>wld_az1_rack6_host_overlay_mask</vt:lpstr>
      <vt:lpstr>wld_az1_rack6_host_overlay_mtu</vt:lpstr>
      <vt:lpstr>wld_az1_rack6_host_overlay_network</vt:lpstr>
      <vt:lpstr>wld_az1_rack6_host_overlay_network_pool_name</vt:lpstr>
      <vt:lpstr>wld_az1_rack6_host_overlay_network_profile_name</vt:lpstr>
      <vt:lpstr>wld_az1_rack6_host_overlay_pool_end_ip</vt:lpstr>
      <vt:lpstr>wld_az1_rack6_host_overlay_pool_start_ip</vt:lpstr>
      <vt:lpstr>wld_az1_rack6_host_overlay_uplink_profile_name</vt:lpstr>
      <vt:lpstr>wld_az1_rack6_host_overlay_vlan</vt:lpstr>
      <vt:lpstr>wld_az1_rack6_host1_fqdn</vt:lpstr>
      <vt:lpstr>wld_az1_rack6_host1_hostname</vt:lpstr>
      <vt:lpstr>wld_az1_rack6_host1_mgmt_ip</vt:lpstr>
      <vt:lpstr>wld_az1_rack6_host10_fqdn</vt:lpstr>
      <vt:lpstr>wld_az1_rack6_host10_hostname</vt:lpstr>
      <vt:lpstr>wld_az1_rack6_host10_mgmt_ip</vt:lpstr>
      <vt:lpstr>wld_az1_rack6_host11_fqdn</vt:lpstr>
      <vt:lpstr>wld_az1_rack6_host11_hostname</vt:lpstr>
      <vt:lpstr>wld_az1_rack6_host11_mgmt_ip</vt:lpstr>
      <vt:lpstr>wld_az1_rack6_host12_fqdn</vt:lpstr>
      <vt:lpstr>wld_az1_rack6_host12_hostname</vt:lpstr>
      <vt:lpstr>wld_az1_rack6_host12_mgmt_ip</vt:lpstr>
      <vt:lpstr>wld_az1_rack6_host13_fqdn</vt:lpstr>
      <vt:lpstr>wld_az1_rack6_host13_hostname</vt:lpstr>
      <vt:lpstr>wld_az1_rack6_host13_mgmt_ip</vt:lpstr>
      <vt:lpstr>wld_az1_rack6_host14_fqdn</vt:lpstr>
      <vt:lpstr>wld_az1_rack6_host14_hostname</vt:lpstr>
      <vt:lpstr>wld_az1_rack6_host14_mgmt_ip</vt:lpstr>
      <vt:lpstr>wld_az1_rack6_host15_fqdn</vt:lpstr>
      <vt:lpstr>wld_az1_rack6_host15_hostname</vt:lpstr>
      <vt:lpstr>wld_az1_rack6_host15_mgmt_ip</vt:lpstr>
      <vt:lpstr>wld_az1_rack6_host16_fqdn</vt:lpstr>
      <vt:lpstr>wld_az1_rack6_host16_hostname</vt:lpstr>
      <vt:lpstr>wld_az1_rack6_host16_mgmt_ip</vt:lpstr>
      <vt:lpstr>wld_az1_rack6_host2_fqdn</vt:lpstr>
      <vt:lpstr>wld_az1_rack6_host2_hostname</vt:lpstr>
      <vt:lpstr>wld_az1_rack6_host2_mgmt_ip</vt:lpstr>
      <vt:lpstr>wld_az1_rack6_host3_fqdn</vt:lpstr>
      <vt:lpstr>wld_az1_rack6_host3_hostname</vt:lpstr>
      <vt:lpstr>wld_az1_rack6_host3_mgmt_ip</vt:lpstr>
      <vt:lpstr>wld_az1_rack6_host4_fqdn</vt:lpstr>
      <vt:lpstr>wld_az1_rack6_host4_hostname</vt:lpstr>
      <vt:lpstr>wld_az1_rack6_host4_mgmt_ip</vt:lpstr>
      <vt:lpstr>wld_az1_rack6_host5_fqdn</vt:lpstr>
      <vt:lpstr>wld_az1_rack6_host5_hostname</vt:lpstr>
      <vt:lpstr>wld_az1_rack6_host5_mgmt_ip</vt:lpstr>
      <vt:lpstr>wld_az1_rack6_host6_fqdn</vt:lpstr>
      <vt:lpstr>wld_az1_rack6_host6_hostname</vt:lpstr>
      <vt:lpstr>wld_az1_rack6_host6_mgmt_ip</vt:lpstr>
      <vt:lpstr>wld_az1_rack6_host7_fqdn</vt:lpstr>
      <vt:lpstr>wld_az1_rack6_host7_hostname</vt:lpstr>
      <vt:lpstr>wld_az1_rack6_host7_mgmt_ip</vt:lpstr>
      <vt:lpstr>wld_az1_rack6_host8_fqdn</vt:lpstr>
      <vt:lpstr>wld_az1_rack6_host8_hostname</vt:lpstr>
      <vt:lpstr>wld_az1_rack6_host8_mgmt_ip</vt:lpstr>
      <vt:lpstr>wld_az1_rack6_host9_fqdn</vt:lpstr>
      <vt:lpstr>wld_az1_rack6_host9_hostname</vt:lpstr>
      <vt:lpstr>wld_az1_rack6_host9_mgmt_ip</vt:lpstr>
      <vt:lpstr>wld_az1_rack6_mgmt_cidr</vt:lpstr>
      <vt:lpstr>wld_az1_rack6_mgmt_gateway_ip</vt:lpstr>
      <vt:lpstr>wld_az1_rack6_mgmt_mask</vt:lpstr>
      <vt:lpstr>wld_az1_rack6_mgmt_mtu</vt:lpstr>
      <vt:lpstr>wld_az1_rack6_mgmt_network</vt:lpstr>
      <vt:lpstr>wld_az1_rack6_mgmt_pg</vt:lpstr>
      <vt:lpstr>wld_az1_rack6_mgmt_vlan</vt:lpstr>
      <vt:lpstr>wld_az1_rack6_mgmt_vm_cidr</vt:lpstr>
      <vt:lpstr>wld_az1_rack6_mgmt_vm_gateway_ip</vt:lpstr>
      <vt:lpstr>wld_az1_rack6_mgmt_vm_mask</vt:lpstr>
      <vt:lpstr>wld_az1_rack6_mgmt_vm_mtu</vt:lpstr>
      <vt:lpstr>wld_az1_rack6_mgmt_vm_pg</vt:lpstr>
      <vt:lpstr>wld_az1_rack6_mgmt_vm_vlan</vt:lpstr>
      <vt:lpstr>wld_az1_rack6_pool_name</vt:lpstr>
      <vt:lpstr>wld_az1_rack6_principal_storage_cidr</vt:lpstr>
      <vt:lpstr>wld_az1_rack6_principal_storage_gateway_ip</vt:lpstr>
      <vt:lpstr>wld_az1_rack6_principal_storage_mask</vt:lpstr>
      <vt:lpstr>wld_az1_rack6_principal_storage_mtu</vt:lpstr>
      <vt:lpstr>wld_az1_rack6_principal_storage_network</vt:lpstr>
      <vt:lpstr>wld_az1_rack6_principal_storage_pg</vt:lpstr>
      <vt:lpstr>wld_az1_rack6_principal_storage_pool_end_ip</vt:lpstr>
      <vt:lpstr>wld_az1_rack6_principal_storage_pool_start_ip</vt:lpstr>
      <vt:lpstr>wld_az1_rack6_principal_storage_vlan</vt:lpstr>
      <vt:lpstr>wld_az1_rack6_rtep_ip_pool_name</vt:lpstr>
      <vt:lpstr>wld_az1_rack6_rtep_overlay_cidr</vt:lpstr>
      <vt:lpstr>wld_az1_rack6_rtep_overlay_gateway_ip</vt:lpstr>
      <vt:lpstr>wld_az1_rack6_rtep_overlay_mtu</vt:lpstr>
      <vt:lpstr>wld_az1_rack6_rtep_overlay_pool_end_ip</vt:lpstr>
      <vt:lpstr>wld_az1_rack6_rtep_overlay_pool_start_ip</vt:lpstr>
      <vt:lpstr>wld_az1_rack6_rtep_overlay_vlan</vt:lpstr>
      <vt:lpstr>wld_az1_rack6_secondary_storage_cidr</vt:lpstr>
      <vt:lpstr>wld_az1_rack6_secondary_storage_gateway_ip</vt:lpstr>
      <vt:lpstr>wld_az1_rack6_secondary_storage_mask</vt:lpstr>
      <vt:lpstr>wld_az1_rack6_secondary_storage_mtu</vt:lpstr>
      <vt:lpstr>wld_az1_rack6_secondary_storage_network</vt:lpstr>
      <vt:lpstr>wld_az1_rack6_secondary_storage_pool_end_ip</vt:lpstr>
      <vt:lpstr>wld_az1_rack6_secondary_storage_pool_start_ip</vt:lpstr>
      <vt:lpstr>wld_az1_rack6_secondary_storage_vlan</vt:lpstr>
      <vt:lpstr>wld_az1_rack6_tor1_peer_asn</vt:lpstr>
      <vt:lpstr>wld_az1_rack6_tor1_peer_bgp_password</vt:lpstr>
      <vt:lpstr>wld_az1_rack6_tor1_peer_ip</vt:lpstr>
      <vt:lpstr>wld_az1_rack6_tor2_peer_asn</vt:lpstr>
      <vt:lpstr>wld_az1_rack6_tor2_peer_bgp_password</vt:lpstr>
      <vt:lpstr>wld_az1_rack6_tor2_peer_ip</vt:lpstr>
      <vt:lpstr>wld_az1_rack6_uplink01_cidr</vt:lpstr>
      <vt:lpstr>wld_az1_rack6_uplink01_gateway_ip</vt:lpstr>
      <vt:lpstr>wld_az1_rack6_uplink01_mask</vt:lpstr>
      <vt:lpstr>wld_az1_rack6_uplink01_mtu</vt:lpstr>
      <vt:lpstr>wld_az1_rack6_uplink01_network</vt:lpstr>
      <vt:lpstr>wld_az1_rack6_uplink01_pg</vt:lpstr>
      <vt:lpstr>wld_az1_rack6_uplink01_vlan</vt:lpstr>
      <vt:lpstr>wld_az1_rack6_uplink02_cidr</vt:lpstr>
      <vt:lpstr>wld_az1_rack6_uplink02_gateway_ip</vt:lpstr>
      <vt:lpstr>wld_az1_rack6_uplink02_mask</vt:lpstr>
      <vt:lpstr>wld_az1_rack6_uplink02_mtu</vt:lpstr>
      <vt:lpstr>wld_az1_rack6_uplink02_network</vt:lpstr>
      <vt:lpstr>wld_az1_rack6_uplink02_pg</vt:lpstr>
      <vt:lpstr>wld_az1_rack6_uplink02_vlan</vt:lpstr>
      <vt:lpstr>wld_az1_rack6_vmotion_cidr</vt:lpstr>
      <vt:lpstr>wld_az1_rack6_vmotion_gateway_ip</vt:lpstr>
      <vt:lpstr>wld_az1_rack6_vmotion_mask</vt:lpstr>
      <vt:lpstr>wld_az1_rack6_vmotion_mtu</vt:lpstr>
      <vt:lpstr>wld_az1_rack6_vmotion_network</vt:lpstr>
      <vt:lpstr>wld_az1_rack6_vmotion_pg</vt:lpstr>
      <vt:lpstr>wld_az1_rack6_vmotion_pool_end_ip</vt:lpstr>
      <vt:lpstr>wld_az1_rack6_vmotion_pool_start_ip</vt:lpstr>
      <vt:lpstr>wld_az1_rack6_vmotion_vlan</vt:lpstr>
      <vt:lpstr>wld_az1_rack6_vrms_cidr</vt:lpstr>
      <vt:lpstr>wld_az1_rack6_vrms_gateway_ip</vt:lpstr>
      <vt:lpstr>wld_az1_rack6_vrms_mtu</vt:lpstr>
      <vt:lpstr>wld_az1_rack6_vrms_vlan</vt:lpstr>
      <vt:lpstr>wld_az1_rack6_vsan_fault_domain</vt:lpstr>
      <vt:lpstr>wld_az1_rack7_edge_overlay_cidr</vt:lpstr>
      <vt:lpstr>wld_az1_rack7_edge_overlay_gateway_ip</vt:lpstr>
      <vt:lpstr>wld_az1_rack7_edge_overlay_mask</vt:lpstr>
      <vt:lpstr>wld_az1_rack7_edge_overlay_mtu</vt:lpstr>
      <vt:lpstr>wld_az1_rack7_edge_overlay_network</vt:lpstr>
      <vt:lpstr>wld_az1_rack7_edge_overlay_network_pool_name</vt:lpstr>
      <vt:lpstr>wld_az1_rack7_edge_overlay_pool_end_ip</vt:lpstr>
      <vt:lpstr>wld_az1_rack7_edge_overlay_pool_start_ip</vt:lpstr>
      <vt:lpstr>wld_az1_rack7_edge_overlay_vlan</vt:lpstr>
      <vt:lpstr>wld_az1_rack7_en1_edge_overlay_interface_ip_1_ip</vt:lpstr>
      <vt:lpstr>wld_az1_rack7_en1_edge_overlay_interface_ip_2_ip</vt:lpstr>
      <vt:lpstr>wld_az1_rack7_en1_fqdn</vt:lpstr>
      <vt:lpstr>wld_az1_rack7_en1_hostname</vt:lpstr>
      <vt:lpstr>wld_az1_rack7_en1_mgmt_ip</vt:lpstr>
      <vt:lpstr>wld_az1_rack7_en1_uplink01_interface_ip</vt:lpstr>
      <vt:lpstr>wld_az1_rack7_en1_uplink02_interface_ip</vt:lpstr>
      <vt:lpstr>wld_az1_rack7_en2_fqdn</vt:lpstr>
      <vt:lpstr>wld_az1_rack7_en2_hostname</vt:lpstr>
      <vt:lpstr>wld_az1_rack7_en2_mgmt_ip</vt:lpstr>
      <vt:lpstr>wld_az1_rack7_en2_uplink01_interface_ip</vt:lpstr>
      <vt:lpstr>wld_az1_rack7_en2_uplink02_interface_ip</vt:lpstr>
      <vt:lpstr>wld_az1_rack7_host_fqdns</vt:lpstr>
      <vt:lpstr>wld_az1_rack7_host_hostnames</vt:lpstr>
      <vt:lpstr>wld_az1_rack7_host_mgmt_ips</vt:lpstr>
      <vt:lpstr>wld_az1_rack7_host_overlay_cidr</vt:lpstr>
      <vt:lpstr>wld_az1_rack7_host_overlay_gateway_ip</vt:lpstr>
      <vt:lpstr>wld_az1_rack7_host_overlay_mask</vt:lpstr>
      <vt:lpstr>wld_az1_rack7_host_overlay_mtu</vt:lpstr>
      <vt:lpstr>wld_az1_rack7_host_overlay_network</vt:lpstr>
      <vt:lpstr>wld_az1_rack7_host_overlay_network_pool_name</vt:lpstr>
      <vt:lpstr>wld_az1_rack7_host_overlay_network_profile_name</vt:lpstr>
      <vt:lpstr>wld_az1_rack7_host_overlay_pool_end_ip</vt:lpstr>
      <vt:lpstr>wld_az1_rack7_host_overlay_pool_start_ip</vt:lpstr>
      <vt:lpstr>wld_az1_rack7_host_overlay_uplink_profile_name</vt:lpstr>
      <vt:lpstr>wld_az1_rack7_host_overlay_vlan</vt:lpstr>
      <vt:lpstr>wld_az1_rack7_host1_fqdn</vt:lpstr>
      <vt:lpstr>wld_az1_rack7_host1_hostname</vt:lpstr>
      <vt:lpstr>wld_az1_rack7_host1_mgmt_ip</vt:lpstr>
      <vt:lpstr>wld_az1_rack7_host10_fqdn</vt:lpstr>
      <vt:lpstr>wld_az1_rack7_host10_hostname</vt:lpstr>
      <vt:lpstr>wld_az1_rack7_host10_mgmt_ip</vt:lpstr>
      <vt:lpstr>wld_az1_rack7_host11_fqdn</vt:lpstr>
      <vt:lpstr>wld_az1_rack7_host11_hostname</vt:lpstr>
      <vt:lpstr>wld_az1_rack7_host11_mgmt_ip</vt:lpstr>
      <vt:lpstr>wld_az1_rack7_host12_fqdn</vt:lpstr>
      <vt:lpstr>wld_az1_rack7_host12_hostname</vt:lpstr>
      <vt:lpstr>wld_az1_rack7_host12_mgmt_ip</vt:lpstr>
      <vt:lpstr>wld_az1_rack7_host13_fqdn</vt:lpstr>
      <vt:lpstr>wld_az1_rack7_host13_hostname</vt:lpstr>
      <vt:lpstr>wld_az1_rack7_host13_mgmt_ip</vt:lpstr>
      <vt:lpstr>wld_az1_rack7_host14_fqdn</vt:lpstr>
      <vt:lpstr>wld_az1_rack7_host14_hostname</vt:lpstr>
      <vt:lpstr>wld_az1_rack7_host14_mgmt_ip</vt:lpstr>
      <vt:lpstr>wld_az1_rack7_host15_fqdn</vt:lpstr>
      <vt:lpstr>wld_az1_rack7_host15_hostname</vt:lpstr>
      <vt:lpstr>wld_az1_rack7_host15_mgmt_ip</vt:lpstr>
      <vt:lpstr>wld_az1_rack7_host16_fqdn</vt:lpstr>
      <vt:lpstr>wld_az1_rack7_host16_hostname</vt:lpstr>
      <vt:lpstr>wld_az1_rack7_host16_mgmt_ip</vt:lpstr>
      <vt:lpstr>wld_az1_rack7_host2_fqdn</vt:lpstr>
      <vt:lpstr>wld_az1_rack7_host2_hostname</vt:lpstr>
      <vt:lpstr>wld_az1_rack7_host2_mgmt_ip</vt:lpstr>
      <vt:lpstr>wld_az1_rack7_host3_fqdn</vt:lpstr>
      <vt:lpstr>wld_az1_rack7_host3_hostname</vt:lpstr>
      <vt:lpstr>wld_az1_rack7_host3_mgmt_ip</vt:lpstr>
      <vt:lpstr>wld_az1_rack7_host4_fqdn</vt:lpstr>
      <vt:lpstr>wld_az1_rack7_host4_hostname</vt:lpstr>
      <vt:lpstr>wld_az1_rack7_host4_mgmt_ip</vt:lpstr>
      <vt:lpstr>wld_az1_rack7_host5_fqdn</vt:lpstr>
      <vt:lpstr>wld_az1_rack7_host5_hostname</vt:lpstr>
      <vt:lpstr>wld_az1_rack7_host5_mgmt_ip</vt:lpstr>
      <vt:lpstr>wld_az1_rack7_host6_fqdn</vt:lpstr>
      <vt:lpstr>wld_az1_rack7_host6_hostname</vt:lpstr>
      <vt:lpstr>wld_az1_rack7_host6_mgmt_ip</vt:lpstr>
      <vt:lpstr>wld_az1_rack7_host7_fqdn</vt:lpstr>
      <vt:lpstr>wld_az1_rack7_host7_hostname</vt:lpstr>
      <vt:lpstr>wld_az1_rack7_host7_mgmt_ip</vt:lpstr>
      <vt:lpstr>wld_az1_rack7_host8_fqdn</vt:lpstr>
      <vt:lpstr>wld_az1_rack7_host8_hostname</vt:lpstr>
      <vt:lpstr>wld_az1_rack7_host8_mgmt_ip</vt:lpstr>
      <vt:lpstr>wld_az1_rack7_host9_fqdn</vt:lpstr>
      <vt:lpstr>wld_az1_rack7_host9_hostname</vt:lpstr>
      <vt:lpstr>wld_az1_rack7_host9_mgmt_ip</vt:lpstr>
      <vt:lpstr>wld_az1_rack7_mgmt_cidr</vt:lpstr>
      <vt:lpstr>wld_az1_rack7_mgmt_gateway_ip</vt:lpstr>
      <vt:lpstr>wld_az1_rack7_mgmt_mask</vt:lpstr>
      <vt:lpstr>wld_az1_rack7_mgmt_mtu</vt:lpstr>
      <vt:lpstr>wld_az1_rack7_mgmt_network</vt:lpstr>
      <vt:lpstr>wld_az1_rack7_mgmt_pg</vt:lpstr>
      <vt:lpstr>wld_az1_rack7_mgmt_vlan</vt:lpstr>
      <vt:lpstr>wld_az1_rack7_mgmt_vm_cidr</vt:lpstr>
      <vt:lpstr>wld_az1_rack7_mgmt_vm_gateway_ip</vt:lpstr>
      <vt:lpstr>wld_az1_rack7_mgmt_vm_mask</vt:lpstr>
      <vt:lpstr>wld_az1_rack7_mgmt_vm_mtu</vt:lpstr>
      <vt:lpstr>wld_az1_rack7_mgmt_vm_pg</vt:lpstr>
      <vt:lpstr>wld_az1_rack7_mgmt_vm_vlan</vt:lpstr>
      <vt:lpstr>wld_az1_rack7_pool_name</vt:lpstr>
      <vt:lpstr>wld_az1_rack7_principal_storage_cidr</vt:lpstr>
      <vt:lpstr>wld_az1_rack7_principal_storage_gateway_ip</vt:lpstr>
      <vt:lpstr>wld_az1_rack7_principal_storage_mask</vt:lpstr>
      <vt:lpstr>wld_az1_rack7_principal_storage_mtu</vt:lpstr>
      <vt:lpstr>wld_az1_rack7_principal_storage_network</vt:lpstr>
      <vt:lpstr>wld_az1_rack7_principal_storage_pg</vt:lpstr>
      <vt:lpstr>wld_az1_rack7_principal_storage_pool_end_ip</vt:lpstr>
      <vt:lpstr>wld_az1_rack7_principal_storage_pool_start_ip</vt:lpstr>
      <vt:lpstr>wld_az1_rack7_principal_storage_vlan</vt:lpstr>
      <vt:lpstr>wld_az1_rack7_rtep_ip_pool_name</vt:lpstr>
      <vt:lpstr>wld_az1_rack7_rtep_overlay_cidr</vt:lpstr>
      <vt:lpstr>wld_az1_rack7_rtep_overlay_gateway_ip</vt:lpstr>
      <vt:lpstr>wld_az1_rack7_rtep_overlay_mtu</vt:lpstr>
      <vt:lpstr>wld_az1_rack7_rtep_overlay_pool_end_ip</vt:lpstr>
      <vt:lpstr>wld_az1_rack7_rtep_overlay_pool_start_ip</vt:lpstr>
      <vt:lpstr>wld_az1_rack7_rtep_overlay_vlan</vt:lpstr>
      <vt:lpstr>wld_az1_rack7_secondary_storage_cidr</vt:lpstr>
      <vt:lpstr>wld_az1_rack7_secondary_storage_gateway_ip</vt:lpstr>
      <vt:lpstr>wld_az1_rack7_secondary_storage_mask</vt:lpstr>
      <vt:lpstr>wld_az1_rack7_secondary_storage_mtu</vt:lpstr>
      <vt:lpstr>wld_az1_rack7_secondary_storage_network</vt:lpstr>
      <vt:lpstr>wld_az1_rack7_secondary_storage_pool_end_ip</vt:lpstr>
      <vt:lpstr>wld_az1_rack7_secondary_storage_pool_start_ip</vt:lpstr>
      <vt:lpstr>wld_az1_rack7_secondary_storage_vlan</vt:lpstr>
      <vt:lpstr>wld_az1_rack7_tor1_peer_asn</vt:lpstr>
      <vt:lpstr>wld_az1_rack7_tor1_peer_bgp_password</vt:lpstr>
      <vt:lpstr>wld_az1_rack7_tor1_peer_ip</vt:lpstr>
      <vt:lpstr>wld_az1_rack7_tor2_peer_asn</vt:lpstr>
      <vt:lpstr>wld_az1_rack7_tor2_peer_bgp_password</vt:lpstr>
      <vt:lpstr>wld_az1_rack7_tor2_peer_ip</vt:lpstr>
      <vt:lpstr>wld_az1_rack7_uplink01_cidr</vt:lpstr>
      <vt:lpstr>wld_az1_rack7_uplink01_gateway_ip</vt:lpstr>
      <vt:lpstr>wld_az1_rack7_uplink01_mask</vt:lpstr>
      <vt:lpstr>wld_az1_rack7_uplink01_mtu</vt:lpstr>
      <vt:lpstr>wld_az1_rack7_uplink01_network</vt:lpstr>
      <vt:lpstr>wld_az1_rack7_uplink01_pg</vt:lpstr>
      <vt:lpstr>wld_az1_rack7_uplink01_vlan</vt:lpstr>
      <vt:lpstr>wld_az1_rack7_uplink02_cidr</vt:lpstr>
      <vt:lpstr>wld_az1_rack7_uplink02_gateway_ip</vt:lpstr>
      <vt:lpstr>wld_az1_rack7_uplink02_mask</vt:lpstr>
      <vt:lpstr>wld_az1_rack7_uplink02_mtu</vt:lpstr>
      <vt:lpstr>wld_az1_rack7_uplink02_network</vt:lpstr>
      <vt:lpstr>wld_az1_rack7_uplink02_pg</vt:lpstr>
      <vt:lpstr>wld_az1_rack7_uplink02_vlan</vt:lpstr>
      <vt:lpstr>wld_az1_rack7_vmotion_cidr</vt:lpstr>
      <vt:lpstr>wld_az1_rack7_vmotion_gateway_ip</vt:lpstr>
      <vt:lpstr>wld_az1_rack7_vmotion_mask</vt:lpstr>
      <vt:lpstr>wld_az1_rack7_vmotion_mtu</vt:lpstr>
      <vt:lpstr>wld_az1_rack7_vmotion_network</vt:lpstr>
      <vt:lpstr>wld_az1_rack7_vmotion_pg</vt:lpstr>
      <vt:lpstr>wld_az1_rack7_vmotion_pool_end_ip</vt:lpstr>
      <vt:lpstr>wld_az1_rack7_vmotion_pool_start_ip</vt:lpstr>
      <vt:lpstr>wld_az1_rack7_vmotion_vlan</vt:lpstr>
      <vt:lpstr>wld_az1_rack7_vrms_cidr</vt:lpstr>
      <vt:lpstr>wld_az1_rack7_vrms_gateway_ip</vt:lpstr>
      <vt:lpstr>wld_az1_rack7_vrms_mtu</vt:lpstr>
      <vt:lpstr>wld_az1_rack7_vrms_vlan</vt:lpstr>
      <vt:lpstr>wld_az1_rack7_vsan_fault_domain</vt:lpstr>
      <vt:lpstr>wld_az1_rack8_edge_overlay_cidr</vt:lpstr>
      <vt:lpstr>wld_az1_rack8_edge_overlay_gateway_ip</vt:lpstr>
      <vt:lpstr>wld_az1_rack8_edge_overlay_mask</vt:lpstr>
      <vt:lpstr>wld_az1_rack8_edge_overlay_mtu</vt:lpstr>
      <vt:lpstr>wld_az1_rack8_edge_overlay_network</vt:lpstr>
      <vt:lpstr>wld_az1_rack8_edge_overlay_network_pool_name</vt:lpstr>
      <vt:lpstr>wld_az1_rack8_edge_overlay_pool_end_ip</vt:lpstr>
      <vt:lpstr>wld_az1_rack8_edge_overlay_pool_start_ip</vt:lpstr>
      <vt:lpstr>wld_az1_rack8_edge_overlay_vlan</vt:lpstr>
      <vt:lpstr>wld_az1_rack8_en1_edge_overlay_interface_ip_1_ip</vt:lpstr>
      <vt:lpstr>wld_az1_rack8_en1_edge_overlay_interface_ip_2_ip</vt:lpstr>
      <vt:lpstr>wld_az1_rack8_en1_fqdn</vt:lpstr>
      <vt:lpstr>wld_az1_rack8_en1_hostname</vt:lpstr>
      <vt:lpstr>wld_az1_rack8_en1_mgmt_ip</vt:lpstr>
      <vt:lpstr>wld_az1_rack8_en1_uplink01_interface_ip</vt:lpstr>
      <vt:lpstr>wld_az1_rack8_en1_uplink02_interface_ip</vt:lpstr>
      <vt:lpstr>wld_az1_rack8_en2_fqdn</vt:lpstr>
      <vt:lpstr>wld_az1_rack8_en2_hostname</vt:lpstr>
      <vt:lpstr>wld_az1_rack8_en2_mgmt_ip</vt:lpstr>
      <vt:lpstr>wld_az1_rack8_en2_uplink01_interface_ip</vt:lpstr>
      <vt:lpstr>wld_az1_rack8_en2_uplink02_interface_ip</vt:lpstr>
      <vt:lpstr>wld_az1_rack8_host_fqdns</vt:lpstr>
      <vt:lpstr>wld_az1_rack8_host_hostnames</vt:lpstr>
      <vt:lpstr>wld_az1_rack8_host_mgmt_ips</vt:lpstr>
      <vt:lpstr>wld_az1_rack8_host_overlay_cidr</vt:lpstr>
      <vt:lpstr>wld_az1_rack8_host_overlay_gateway_ip</vt:lpstr>
      <vt:lpstr>wld_az1_rack8_host_overlay_mask</vt:lpstr>
      <vt:lpstr>wld_az1_rack8_host_overlay_mtu</vt:lpstr>
      <vt:lpstr>wld_az1_rack8_host_overlay_network</vt:lpstr>
      <vt:lpstr>wld_az1_rack8_host_overlay_network_pool_name</vt:lpstr>
      <vt:lpstr>wld_az1_rack8_host_overlay_network_profile_name</vt:lpstr>
      <vt:lpstr>wld_az1_rack8_host_overlay_pool_end_ip</vt:lpstr>
      <vt:lpstr>wld_az1_rack8_host_overlay_pool_start_ip</vt:lpstr>
      <vt:lpstr>wld_az1_rack8_host_overlay_uplink_profile_name</vt:lpstr>
      <vt:lpstr>wld_az1_rack8_host_overlay_vlan</vt:lpstr>
      <vt:lpstr>wld_az1_rack8_host1_fqdn</vt:lpstr>
      <vt:lpstr>wld_az1_rack8_host1_hostname</vt:lpstr>
      <vt:lpstr>wld_az1_rack8_host1_mgmt_ip</vt:lpstr>
      <vt:lpstr>wld_az1_rack8_host10_fqdn</vt:lpstr>
      <vt:lpstr>wld_az1_rack8_host10_hostname</vt:lpstr>
      <vt:lpstr>wld_az1_rack8_host10_mgmt_ip</vt:lpstr>
      <vt:lpstr>wld_az1_rack8_host11_fqdn</vt:lpstr>
      <vt:lpstr>wld_az1_rack8_host11_hostname</vt:lpstr>
      <vt:lpstr>wld_az1_rack8_host11_mgmt_ip</vt:lpstr>
      <vt:lpstr>wld_az1_rack8_host12_fqdn</vt:lpstr>
      <vt:lpstr>wld_az1_rack8_host12_hostname</vt:lpstr>
      <vt:lpstr>wld_az1_rack8_host12_mgmt_ip</vt:lpstr>
      <vt:lpstr>wld_az1_rack8_host13_fqdn</vt:lpstr>
      <vt:lpstr>wld_az1_rack8_host13_hostname</vt:lpstr>
      <vt:lpstr>wld_az1_rack8_host13_mgmt_ip</vt:lpstr>
      <vt:lpstr>wld_az1_rack8_host14_fqdn</vt:lpstr>
      <vt:lpstr>wld_az1_rack8_host14_hostname</vt:lpstr>
      <vt:lpstr>wld_az1_rack8_host14_mgmt_ip</vt:lpstr>
      <vt:lpstr>wld_az1_rack8_host15_fqdn</vt:lpstr>
      <vt:lpstr>wld_az1_rack8_host15_hostname</vt:lpstr>
      <vt:lpstr>wld_az1_rack8_host15_mgmt_ip</vt:lpstr>
      <vt:lpstr>wld_az1_rack8_host16_fqdn</vt:lpstr>
      <vt:lpstr>wld_az1_rack8_host16_hostname</vt:lpstr>
      <vt:lpstr>wld_az1_rack8_host16_mgmt_ip</vt:lpstr>
      <vt:lpstr>wld_az1_rack8_host2_fqdn</vt:lpstr>
      <vt:lpstr>wld_az1_rack8_host2_hostname</vt:lpstr>
      <vt:lpstr>wld_az1_rack8_host2_mgmt_ip</vt:lpstr>
      <vt:lpstr>wld_az1_rack8_host3_fqdn</vt:lpstr>
      <vt:lpstr>wld_az1_rack8_host3_hostname</vt:lpstr>
      <vt:lpstr>wld_az1_rack8_host3_mgmt_ip</vt:lpstr>
      <vt:lpstr>wld_az1_rack8_host4_fqdn</vt:lpstr>
      <vt:lpstr>wld_az1_rack8_host4_hostname</vt:lpstr>
      <vt:lpstr>wld_az1_rack8_host4_mgmt_ip</vt:lpstr>
      <vt:lpstr>wld_az1_rack8_host5_fqdn</vt:lpstr>
      <vt:lpstr>wld_az1_rack8_host5_hostname</vt:lpstr>
      <vt:lpstr>wld_az1_rack8_host5_mgmt_ip</vt:lpstr>
      <vt:lpstr>wld_az1_rack8_host6_fqdn</vt:lpstr>
      <vt:lpstr>wld_az1_rack8_host6_hostname</vt:lpstr>
      <vt:lpstr>wld_az1_rack8_host6_mgmt_ip</vt:lpstr>
      <vt:lpstr>wld_az1_rack8_host7_fqdn</vt:lpstr>
      <vt:lpstr>wld_az1_rack8_host7_hostname</vt:lpstr>
      <vt:lpstr>wld_az1_rack8_host7_mgmt_ip</vt:lpstr>
      <vt:lpstr>wld_az1_rack8_host8_fqdn</vt:lpstr>
      <vt:lpstr>wld_az1_rack8_host8_hostname</vt:lpstr>
      <vt:lpstr>wld_az1_rack8_host8_mgmt_ip</vt:lpstr>
      <vt:lpstr>wld_az1_rack8_host9_fqdn</vt:lpstr>
      <vt:lpstr>wld_az1_rack8_host9_hostname</vt:lpstr>
      <vt:lpstr>wld_az1_rack8_host9_mgmt_ip</vt:lpstr>
      <vt:lpstr>wld_az1_rack8_mgmt_cidr</vt:lpstr>
      <vt:lpstr>wld_az1_rack8_mgmt_gateway_ip</vt:lpstr>
      <vt:lpstr>wld_az1_rack8_mgmt_mask</vt:lpstr>
      <vt:lpstr>wld_az1_rack8_mgmt_mtu</vt:lpstr>
      <vt:lpstr>wld_az1_rack8_mgmt_network</vt:lpstr>
      <vt:lpstr>wld_az1_rack8_mgmt_pg</vt:lpstr>
      <vt:lpstr>wld_az1_rack8_mgmt_vlan</vt:lpstr>
      <vt:lpstr>wld_az1_rack8_mgmt_vm_cidr</vt:lpstr>
      <vt:lpstr>wld_az1_rack8_mgmt_vm_gateway_ip</vt:lpstr>
      <vt:lpstr>wld_az1_rack8_mgmt_vm_mask</vt:lpstr>
      <vt:lpstr>wld_az1_rack8_mgmt_vm_mtu</vt:lpstr>
      <vt:lpstr>wld_az1_rack8_mgmt_vm_pg</vt:lpstr>
      <vt:lpstr>wld_az1_rack8_mgmt_vm_vlan</vt:lpstr>
      <vt:lpstr>wld_az1_rack8_pool_name</vt:lpstr>
      <vt:lpstr>wld_az1_rack8_principal_storage_cidr</vt:lpstr>
      <vt:lpstr>wld_az1_rack8_principal_storage_gateway_ip</vt:lpstr>
      <vt:lpstr>wld_az1_rack8_principal_storage_mask</vt:lpstr>
      <vt:lpstr>wld_az1_rack8_principal_storage_mtu</vt:lpstr>
      <vt:lpstr>wld_az1_rack8_principal_storage_network</vt:lpstr>
      <vt:lpstr>wld_az1_rack8_principal_storage_pg</vt:lpstr>
      <vt:lpstr>wld_az1_rack8_principal_storage_pool_end_ip</vt:lpstr>
      <vt:lpstr>wld_az1_rack8_principal_storage_pool_start_ip</vt:lpstr>
      <vt:lpstr>wld_az1_rack8_principal_storage_vlan</vt:lpstr>
      <vt:lpstr>wld_az1_rack8_rtep_ip_pool_name</vt:lpstr>
      <vt:lpstr>wld_az1_rack8_rtep_overlay_cidr</vt:lpstr>
      <vt:lpstr>wld_az1_rack8_rtep_overlay_gateway_ip</vt:lpstr>
      <vt:lpstr>wld_az1_rack8_rtep_overlay_mtu</vt:lpstr>
      <vt:lpstr>wld_az1_rack8_rtep_overlay_pool_end_ip</vt:lpstr>
      <vt:lpstr>wld_az1_rack8_rtep_overlay_pool_start_ip</vt:lpstr>
      <vt:lpstr>wld_az1_rack8_rtep_overlay_vlan</vt:lpstr>
      <vt:lpstr>wld_az1_rack8_secondary_storage_cidr</vt:lpstr>
      <vt:lpstr>wld_az1_rack8_secondary_storage_gateway_ip</vt:lpstr>
      <vt:lpstr>wld_az1_rack8_secondary_storage_mask</vt:lpstr>
      <vt:lpstr>wld_az1_rack8_secondary_storage_mtu</vt:lpstr>
      <vt:lpstr>wld_az1_rack8_secondary_storage_network</vt:lpstr>
      <vt:lpstr>wld_az1_rack8_secondary_storage_pool_end_ip</vt:lpstr>
      <vt:lpstr>wld_az1_rack8_secondary_storage_pool_start_ip</vt:lpstr>
      <vt:lpstr>wld_az1_rack8_secondary_storage_vlan</vt:lpstr>
      <vt:lpstr>wld_az1_rack8_tor1_peer_asn</vt:lpstr>
      <vt:lpstr>wld_az1_rack8_tor1_peer_bgp_password</vt:lpstr>
      <vt:lpstr>wld_az1_rack8_tor1_peer_ip</vt:lpstr>
      <vt:lpstr>wld_az1_rack8_tor2_peer_asn</vt:lpstr>
      <vt:lpstr>wld_az1_rack8_tor2_peer_bgp_password</vt:lpstr>
      <vt:lpstr>wld_az1_rack8_tor2_peer_ip</vt:lpstr>
      <vt:lpstr>wld_az1_rack8_uplink01_cidr</vt:lpstr>
      <vt:lpstr>wld_az1_rack8_uplink01_gateway_ip</vt:lpstr>
      <vt:lpstr>wld_az1_rack8_uplink01_mask</vt:lpstr>
      <vt:lpstr>wld_az1_rack8_uplink01_mtu</vt:lpstr>
      <vt:lpstr>wld_az1_rack8_uplink01_network</vt:lpstr>
      <vt:lpstr>wld_az1_rack8_uplink01_pg</vt:lpstr>
      <vt:lpstr>wld_az1_rack8_uplink01_vlan</vt:lpstr>
      <vt:lpstr>wld_az1_rack8_uplink02_cidr</vt:lpstr>
      <vt:lpstr>wld_az1_rack8_uplink02_gateway_ip</vt:lpstr>
      <vt:lpstr>wld_az1_rack8_uplink02_mask</vt:lpstr>
      <vt:lpstr>wld_az1_rack8_uplink02_mtu</vt:lpstr>
      <vt:lpstr>wld_az1_rack8_uplink02_network</vt:lpstr>
      <vt:lpstr>wld_az1_rack8_uplink02_pg</vt:lpstr>
      <vt:lpstr>wld_az1_rack8_uplink02_vlan</vt:lpstr>
      <vt:lpstr>wld_az1_rack8_vmotion_cidr</vt:lpstr>
      <vt:lpstr>wld_az1_rack8_vmotion_gateway_ip</vt:lpstr>
      <vt:lpstr>wld_az1_rack8_vmotion_mask</vt:lpstr>
      <vt:lpstr>wld_az1_rack8_vmotion_mtu</vt:lpstr>
      <vt:lpstr>wld_az1_rack8_vmotion_network</vt:lpstr>
      <vt:lpstr>wld_az1_rack8_vmotion_pg</vt:lpstr>
      <vt:lpstr>wld_az1_rack8_vmotion_pool_end_ip</vt:lpstr>
      <vt:lpstr>wld_az1_rack8_vmotion_pool_start_ip</vt:lpstr>
      <vt:lpstr>wld_az1_rack8_vmotion_vlan</vt:lpstr>
      <vt:lpstr>wld_az1_rack8_vrms_cidr</vt:lpstr>
      <vt:lpstr>wld_az1_rack8_vrms_gateway_ip</vt:lpstr>
      <vt:lpstr>wld_az1_rack8_vrms_mtu</vt:lpstr>
      <vt:lpstr>wld_az1_rack8_vrms_vlan</vt:lpstr>
      <vt:lpstr>wld_az1_rack8_vsan_fault_domain</vt:lpstr>
      <vt:lpstr>wld_az1_rtep_ip_pool_name</vt:lpstr>
      <vt:lpstr>wld_az1_rtep_overlay_cidr</vt:lpstr>
      <vt:lpstr>wld_az1_rtep_overlay_gateway_ip</vt:lpstr>
      <vt:lpstr>wld_az1_rtep_overlay_mtu</vt:lpstr>
      <vt:lpstr>wld_az1_rtep_overlay_network</vt:lpstr>
      <vt:lpstr>wld_az1_rtep_overlay_pg</vt:lpstr>
      <vt:lpstr>wld_az1_rtep_overlay_vlan</vt:lpstr>
      <vt:lpstr>wld_az1_secondary_storage_cidr</vt:lpstr>
      <vt:lpstr>wld_az1_secondary_storage_gateway_cidr</vt:lpstr>
      <vt:lpstr>wld_az1_secondary_storage_gateway_ip</vt:lpstr>
      <vt:lpstr>wld_az1_secondary_storage_mask</vt:lpstr>
      <vt:lpstr>wld_az1_secondary_storage_mtu</vt:lpstr>
      <vt:lpstr>wld_az1_secondary_storage_network</vt:lpstr>
      <vt:lpstr>wld_az1_secondary_storage_pool_end_ip</vt:lpstr>
      <vt:lpstr>wld_az1_secondary_storage_pool_start_ip</vt:lpstr>
      <vt:lpstr>wld_az1_secondary_storage_vlan</vt:lpstr>
      <vt:lpstr>wld_az1_storage_cluster_cidr</vt:lpstr>
      <vt:lpstr>wld_az1_storage_cluster_gateway_cidr</vt:lpstr>
      <vt:lpstr>wld_az1_storage_cluster_gateway_ip</vt:lpstr>
      <vt:lpstr>wld_az1_storage_cluster_mask</vt:lpstr>
      <vt:lpstr>wld_az1_storage_cluster_mtu</vt:lpstr>
      <vt:lpstr>wld_az1_storage_cluster_network</vt:lpstr>
      <vt:lpstr>wld_az1_storage_cluster_pool_end_ip</vt:lpstr>
      <vt:lpstr>wld_az1_storage_cluster_pool_start_ip</vt:lpstr>
      <vt:lpstr>wld_az1_storage_cluster_vlan</vt:lpstr>
      <vt:lpstr>wld_az1_tor1_peer_asn</vt:lpstr>
      <vt:lpstr>wld_az1_tor1_peer_bgp_password</vt:lpstr>
      <vt:lpstr>wld_az1_tor1_peer_ip</vt:lpstr>
      <vt:lpstr>wld_az1_tor2_peer_asn</vt:lpstr>
      <vt:lpstr>wld_az1_tor2_peer_bgp_password</vt:lpstr>
      <vt:lpstr>wld_az1_tor2_peer_ip</vt:lpstr>
      <vt:lpstr>wld_az1_uplink01_cidr</vt:lpstr>
      <vt:lpstr>wld_az1_uplink01_gateway_ip</vt:lpstr>
      <vt:lpstr>wld_az1_uplink01_mask</vt:lpstr>
      <vt:lpstr>wld_az1_uplink01_mtu</vt:lpstr>
      <vt:lpstr>wld_az1_uplink01_network</vt:lpstr>
      <vt:lpstr>wld_az1_uplink01_vlan</vt:lpstr>
      <vt:lpstr>wld_az1_uplink02_cidr</vt:lpstr>
      <vt:lpstr>wld_az1_uplink02_gateway_ip</vt:lpstr>
      <vt:lpstr>wld_az1_uplink02_mask</vt:lpstr>
      <vt:lpstr>wld_az1_uplink02_mtu</vt:lpstr>
      <vt:lpstr>wld_az1_uplink02_network</vt:lpstr>
      <vt:lpstr>wld_az1_uplink02_vlan</vt:lpstr>
      <vt:lpstr>wld_az1_vm_cidr</vt:lpstr>
      <vt:lpstr>wld_az1_vm_gateway_ip</vt:lpstr>
      <vt:lpstr>wld_az1_vm_mtu</vt:lpstr>
      <vt:lpstr>wld_az1_vm_vlan</vt:lpstr>
      <vt:lpstr>wld_az1_vmotion_cidr</vt:lpstr>
      <vt:lpstr>wld_az1_vmotion_gateway_cidr</vt:lpstr>
      <vt:lpstr>wld_az1_vmotion_gateway_ip</vt:lpstr>
      <vt:lpstr>wld_az1_vmotion_mask</vt:lpstr>
      <vt:lpstr>wld_az1_vmotion_mtu</vt:lpstr>
      <vt:lpstr>wld_az1_vmotion_network</vt:lpstr>
      <vt:lpstr>wld_az1_vmotion_pool_end_ip</vt:lpstr>
      <vt:lpstr>wld_az1_vmotion_pool_start_ip</vt:lpstr>
      <vt:lpstr>wld_az1_vmotion_vlan</vt:lpstr>
      <vt:lpstr>wld_az1_vrms_cidr</vt:lpstr>
      <vt:lpstr>wld_az1_vrms_gateway_ip</vt:lpstr>
      <vt:lpstr>wld_az1_vrms_mtu</vt:lpstr>
      <vt:lpstr>wld_az1_vrms_network</vt:lpstr>
      <vt:lpstr>wld_az1_vrms_vlan</vt:lpstr>
      <vt:lpstr>wld_az2_edge_overlay_cidr</vt:lpstr>
      <vt:lpstr>wld_az2_edge_overlay_gateway_ip</vt:lpstr>
      <vt:lpstr>wld_az2_edge_overlay_mask</vt:lpstr>
      <vt:lpstr>wld_az2_edge_overlay_mtu</vt:lpstr>
      <vt:lpstr>wld_az2_edge_overlay_network</vt:lpstr>
      <vt:lpstr>wld_az2_edge_overlay_pg</vt:lpstr>
      <vt:lpstr>wld_az2_edge_overlay_vlan</vt:lpstr>
      <vt:lpstr>wld_az2_host_fqdns</vt:lpstr>
      <vt:lpstr>wld_az2_host_hostnames</vt:lpstr>
      <vt:lpstr>wld_az2_host_mgmt_ips</vt:lpstr>
      <vt:lpstr>wld_az2_host_overlay_cidr</vt:lpstr>
      <vt:lpstr>wld_az2_host_overlay_gateway_ip</vt:lpstr>
      <vt:lpstr>wld_az2_host_overlay_mask</vt:lpstr>
      <vt:lpstr>wld_az2_host_overlay_mtu</vt:lpstr>
      <vt:lpstr>wld_az2_host_overlay_network</vt:lpstr>
      <vt:lpstr>wld_az2_host_overlay_network_pool_name</vt:lpstr>
      <vt:lpstr>wld_az2_host_overlay_network_profile_name</vt:lpstr>
      <vt:lpstr>wld_az2_host_overlay_pg</vt:lpstr>
      <vt:lpstr>wld_az2_host_overlay_pool_end_ip</vt:lpstr>
      <vt:lpstr>wld_az2_host_overlay_pool_name</vt:lpstr>
      <vt:lpstr>wld_az2_host_overlay_pool_start_ip</vt:lpstr>
      <vt:lpstr>wld_az2_host_overlay_uplink_profile_name</vt:lpstr>
      <vt:lpstr>wld_az2_host_overlay_vlan</vt:lpstr>
      <vt:lpstr>wld_az2_host_vrms_ips</vt:lpstr>
      <vt:lpstr>wld_az2_host1_fqdn</vt:lpstr>
      <vt:lpstr>wld_az2_host1_hostname</vt:lpstr>
      <vt:lpstr>wld_az2_host1_mgmt_ip</vt:lpstr>
      <vt:lpstr>wld_az2_host1_sddc_id</vt:lpstr>
      <vt:lpstr>wld_az2_host1_vrms_ip</vt:lpstr>
      <vt:lpstr>wld_az2_host10_fqdn</vt:lpstr>
      <vt:lpstr>wld_az2_host10_hostname</vt:lpstr>
      <vt:lpstr>wld_az2_host10_mgmt_ip</vt:lpstr>
      <vt:lpstr>wld_az2_host10_vrms_ip</vt:lpstr>
      <vt:lpstr>wld_az2_host11_fqdn</vt:lpstr>
      <vt:lpstr>wld_az2_host11_hostname</vt:lpstr>
      <vt:lpstr>wld_az2_host11_mgmt_ip</vt:lpstr>
      <vt:lpstr>wld_az2_host11_vrms_ip</vt:lpstr>
      <vt:lpstr>wld_az2_host12_fqdn</vt:lpstr>
      <vt:lpstr>wld_az2_host12_hostname</vt:lpstr>
      <vt:lpstr>wld_az2_host12_mgmt_ip</vt:lpstr>
      <vt:lpstr>wld_az2_host12_vrms_ip</vt:lpstr>
      <vt:lpstr>wld_az2_host13_fqdn</vt:lpstr>
      <vt:lpstr>wld_az2_host13_hostname</vt:lpstr>
      <vt:lpstr>wld_az2_host13_mgmt_ip</vt:lpstr>
      <vt:lpstr>wld_az2_host13_vrms_ip</vt:lpstr>
      <vt:lpstr>wld_az2_host14_fqdn</vt:lpstr>
      <vt:lpstr>wld_az2_host14_hostname</vt:lpstr>
      <vt:lpstr>wld_az2_host14_mgmt_ip</vt:lpstr>
      <vt:lpstr>wld_az2_host14_vrms_ip</vt:lpstr>
      <vt:lpstr>wld_az2_host15_fqdn</vt:lpstr>
      <vt:lpstr>wld_az2_host15_hostname</vt:lpstr>
      <vt:lpstr>wld_az2_host15_mgmt_ip</vt:lpstr>
      <vt:lpstr>wld_az2_host15_vrms_ip</vt:lpstr>
      <vt:lpstr>wld_az2_host16_fqdn</vt:lpstr>
      <vt:lpstr>wld_az2_host16_hostname</vt:lpstr>
      <vt:lpstr>wld_az2_host16_mgmt_ip</vt:lpstr>
      <vt:lpstr>wld_az2_host16_vrms_ip</vt:lpstr>
      <vt:lpstr>wld_az2_host2_fqdn</vt:lpstr>
      <vt:lpstr>wld_az2_host2_hostname</vt:lpstr>
      <vt:lpstr>wld_az2_host2_mgmt_ip</vt:lpstr>
      <vt:lpstr>wld_az2_host2_sddc_id</vt:lpstr>
      <vt:lpstr>wld_az2_host2_vrms_ip</vt:lpstr>
      <vt:lpstr>wld_az2_host3_fqdn</vt:lpstr>
      <vt:lpstr>wld_az2_host3_hostname</vt:lpstr>
      <vt:lpstr>wld_az2_host3_mgmt_ip</vt:lpstr>
      <vt:lpstr>wld_az2_host3_sddc_id</vt:lpstr>
      <vt:lpstr>wld_az2_host3_vrms_ip</vt:lpstr>
      <vt:lpstr>wld_az2_host4_fqdn</vt:lpstr>
      <vt:lpstr>wld_az2_host4_hostname</vt:lpstr>
      <vt:lpstr>wld_az2_host4_mgmt_ip</vt:lpstr>
      <vt:lpstr>wld_az2_host4_sddc_id</vt:lpstr>
      <vt:lpstr>wld_az2_host4_vrms_ip</vt:lpstr>
      <vt:lpstr>wld_az2_host5_fqdn</vt:lpstr>
      <vt:lpstr>wld_az2_host5_hostname</vt:lpstr>
      <vt:lpstr>wld_az2_host5_mgmt_ip</vt:lpstr>
      <vt:lpstr>wld_az2_host5_vrms_ip</vt:lpstr>
      <vt:lpstr>wld_az2_host6_fqdn</vt:lpstr>
      <vt:lpstr>wld_az2_host6_hostname</vt:lpstr>
      <vt:lpstr>wld_az2_host6_mgmt_ip</vt:lpstr>
      <vt:lpstr>wld_az2_host6_vrms_ip</vt:lpstr>
      <vt:lpstr>wld_az2_host7_fqdn</vt:lpstr>
      <vt:lpstr>wld_az2_host7_hostname</vt:lpstr>
      <vt:lpstr>wld_az2_host7_mgmt_ip</vt:lpstr>
      <vt:lpstr>wld_az2_host7_vrms_ip</vt:lpstr>
      <vt:lpstr>wld_az2_host8_fqdn</vt:lpstr>
      <vt:lpstr>wld_az2_host8_hostname</vt:lpstr>
      <vt:lpstr>wld_az2_host8_mgmt_ip</vt:lpstr>
      <vt:lpstr>wld_az2_host8_vrms_ip</vt:lpstr>
      <vt:lpstr>wld_az2_host9_fqdn</vt:lpstr>
      <vt:lpstr>wld_az2_host9_hostname</vt:lpstr>
      <vt:lpstr>wld_az2_host9_mgmt_ip</vt:lpstr>
      <vt:lpstr>wld_az2_host9_vrms_ip</vt:lpstr>
      <vt:lpstr>wld_az2_mgmt_cidr</vt:lpstr>
      <vt:lpstr>wld_az2_mgmt_gateway_ip</vt:lpstr>
      <vt:lpstr>wld_az2_mgmt_mask</vt:lpstr>
      <vt:lpstr>wld_az2_mgmt_mtu</vt:lpstr>
      <vt:lpstr>wld_az2_mgmt_network</vt:lpstr>
      <vt:lpstr>wld_az2_mgmt_vlan</vt:lpstr>
      <vt:lpstr>wld_az2_pool_name</vt:lpstr>
      <vt:lpstr>wld_az2_principal_storage_cidr</vt:lpstr>
      <vt:lpstr>wld_az2_principal_storage_gateway_ip</vt:lpstr>
      <vt:lpstr>wld_az2_principal_storage_mask</vt:lpstr>
      <vt:lpstr>wld_az2_principal_storage_mtu</vt:lpstr>
      <vt:lpstr>wld_az2_principal_storage_network</vt:lpstr>
      <vt:lpstr>wld_az2_principal_storage_pool_end_ip</vt:lpstr>
      <vt:lpstr>wld_az2_principal_storage_pool_start_ip</vt:lpstr>
      <vt:lpstr>wld_az2_principal_storage_vlan</vt:lpstr>
      <vt:lpstr>wld_az2_rtep_overlay_cidr</vt:lpstr>
      <vt:lpstr>wld_az2_rtep_overlay_gateway_ip</vt:lpstr>
      <vt:lpstr>wld_az2_rtep_overlay_mask</vt:lpstr>
      <vt:lpstr>wld_az2_rtep_overlay_mtu</vt:lpstr>
      <vt:lpstr>wld_az2_rtep_overlay_network</vt:lpstr>
      <vt:lpstr>wld_az2_rtep_overlay_pg</vt:lpstr>
      <vt:lpstr>wld_az2_rtep_overlay_vlan</vt:lpstr>
      <vt:lpstr>wld_az2_secondary_storage_cidr</vt:lpstr>
      <vt:lpstr>wld_az2_secondary_storage_gateway_ip</vt:lpstr>
      <vt:lpstr>wld_az2_secondary_storage_mask</vt:lpstr>
      <vt:lpstr>wld_az2_secondary_storage_mtu</vt:lpstr>
      <vt:lpstr>wld_az2_secondary_storage_network</vt:lpstr>
      <vt:lpstr>wld_az2_secondary_storage_pool_end_ip</vt:lpstr>
      <vt:lpstr>wld_az2_secondary_storage_pool_start_ip</vt:lpstr>
      <vt:lpstr>wld_az2_secondary_storage_vlan</vt:lpstr>
      <vt:lpstr>wld_az2_storage_cluster_gateway_ip</vt:lpstr>
      <vt:lpstr>wld_az2_storage_cluster_mask</vt:lpstr>
      <vt:lpstr>wld_az2_storage_cluster_mtu</vt:lpstr>
      <vt:lpstr>wld_az2_storage_cluster_network</vt:lpstr>
      <vt:lpstr>wld_az2_storage_cluster_pool_end_ip</vt:lpstr>
      <vt:lpstr>wld_az2_storage_cluster_pool_start_ip</vt:lpstr>
      <vt:lpstr>wld_az2_storage_cluster_vlan</vt:lpstr>
      <vt:lpstr>wld_az2_tor1_peer_asn</vt:lpstr>
      <vt:lpstr>wld_az2_tor1_peer_bgp_password</vt:lpstr>
      <vt:lpstr>wld_az2_tor1_peer_ip</vt:lpstr>
      <vt:lpstr>wld_az2_tor2_peer_asn</vt:lpstr>
      <vt:lpstr>wld_az2_tor2_peer_bgp_password</vt:lpstr>
      <vt:lpstr>wld_az2_tor2_peer_ip</vt:lpstr>
      <vt:lpstr>wld_az2_uplink01_cidr</vt:lpstr>
      <vt:lpstr>wld_az2_uplink01_gateway_ip</vt:lpstr>
      <vt:lpstr>wld_az2_uplink01_mask</vt:lpstr>
      <vt:lpstr>wld_az2_uplink01_mtu</vt:lpstr>
      <vt:lpstr>wld_az2_uplink01_network</vt:lpstr>
      <vt:lpstr>wld_az2_uplink01_vlan</vt:lpstr>
      <vt:lpstr>wld_az2_uplink02_cidr</vt:lpstr>
      <vt:lpstr>wld_az2_uplink02_gateway_ip</vt:lpstr>
      <vt:lpstr>wld_az2_uplink02_mask</vt:lpstr>
      <vt:lpstr>wld_az2_uplink02_mtu</vt:lpstr>
      <vt:lpstr>wld_az2_uplink02_network</vt:lpstr>
      <vt:lpstr>wld_az2_uplink02_vlan</vt:lpstr>
      <vt:lpstr>wld_az2_vm_cidr</vt:lpstr>
      <vt:lpstr>wld_az2_vm_gateway_ip</vt:lpstr>
      <vt:lpstr>wld_az2_vm_mtu</vt:lpstr>
      <vt:lpstr>wld_az2_vm_vlan</vt:lpstr>
      <vt:lpstr>wld_az2_vmotion_cidr</vt:lpstr>
      <vt:lpstr>wld_az2_vmotion_gateway_ip</vt:lpstr>
      <vt:lpstr>wld_az2_vmotion_mask</vt:lpstr>
      <vt:lpstr>wld_az2_vmotion_mtu</vt:lpstr>
      <vt:lpstr>wld_az2_vmotion_network</vt:lpstr>
      <vt:lpstr>wld_az2_vmotion_pool_end_ip</vt:lpstr>
      <vt:lpstr>wld_az2_vmotion_pool_start_ip</vt:lpstr>
      <vt:lpstr>wld_az2_vmotion_vlan</vt:lpstr>
      <vt:lpstr>wld_az2_vrms_cidr</vt:lpstr>
      <vt:lpstr>wld_az2_vrms_gateway_ip</vt:lpstr>
      <vt:lpstr>wld_az2_vrms_mask</vt:lpstr>
      <vt:lpstr>wld_az2_vrms_mtu</vt:lpstr>
      <vt:lpstr>wld_az2_vrms_network</vt:lpstr>
      <vt:lpstr>wld_az2_vrms_vlan</vt:lpstr>
      <vt:lpstr>wld_bf_nsxt_admin_password</vt:lpstr>
      <vt:lpstr>wld_bf_nsxt_audit_password</vt:lpstr>
      <vt:lpstr>wld_bf_nsxt_mgra_fqdn</vt:lpstr>
      <vt:lpstr>wld_bf_nsxt_mgrb_fqdn</vt:lpstr>
      <vt:lpstr>wld_bf_nsxt_mgrc_fqdn</vt:lpstr>
      <vt:lpstr>wld_bf_nsxt_root_password</vt:lpstr>
      <vt:lpstr>wld_bf_nsxt_vip_fqdn</vt:lpstr>
      <vt:lpstr>wld_bf_sddc_domain</vt:lpstr>
      <vt:lpstr>wld_bf_vc_fqdn</vt:lpstr>
      <vt:lpstr>wld_bf_vc_root_password</vt:lpstr>
      <vt:lpstr>wld_bf_vc_sso_password</vt:lpstr>
      <vt:lpstr>wld_bf_vc_sso_username</vt:lpstr>
      <vt:lpstr>wld_cl01_az1_mgmt_pg</vt:lpstr>
      <vt:lpstr>wld_cl01_az1_mgmt_vm_pg</vt:lpstr>
      <vt:lpstr>wld_cl01_az1_nsx_uplink_count</vt:lpstr>
      <vt:lpstr>wld_cl01_az1_principal_storage_pg</vt:lpstr>
      <vt:lpstr>wld_cl01_az1_uplink01_pg</vt:lpstr>
      <vt:lpstr>wld_cl01_az1_uplink02_pg</vt:lpstr>
      <vt:lpstr>wld_cl01_az1_vm_pg</vt:lpstr>
      <vt:lpstr>wld_cl01_az1_vmotion_pg</vt:lpstr>
      <vt:lpstr>wld_cl01_az1_vsan_storage_client_pg</vt:lpstr>
      <vt:lpstr>wld_cl01_az2_mgmt_pg</vt:lpstr>
      <vt:lpstr>wld_cl01_az2_principal_storage_pg</vt:lpstr>
      <vt:lpstr>wld_cl01_az2_uplink01_pg</vt:lpstr>
      <vt:lpstr>wld_cl01_az2_uplink02_pg</vt:lpstr>
      <vt:lpstr>wld_cl01_az2_vm_pg</vt:lpstr>
      <vt:lpstr>wld_cl01_az2_vmotion_pg</vt:lpstr>
      <vt:lpstr>wld_cl01_cluster</vt:lpstr>
      <vt:lpstr>wld_cl01_cluster_sddc_id</vt:lpstr>
      <vt:lpstr>wld_cl01_cluster_zn_name</vt:lpstr>
      <vt:lpstr>wld_cl01_evc_mode</vt:lpstr>
      <vt:lpstr>wld_cl01_image_name</vt:lpstr>
      <vt:lpstr>wld_cl01_nfs_datastore_name</vt:lpstr>
      <vt:lpstr>wld_cl01_nfs_server_address</vt:lpstr>
      <vt:lpstr>wld_cl01_nfs_share_path</vt:lpstr>
      <vt:lpstr>wld_cl01_supervisor_control_plane_ip_range</vt:lpstr>
      <vt:lpstr>wld_cl01_supervisor_dns</vt:lpstr>
      <vt:lpstr>wld_cl01_supervisor_name</vt:lpstr>
      <vt:lpstr>wld_cl01_supervisor_nsx_project</vt:lpstr>
      <vt:lpstr>wld_cl01_supervisor_ntp</vt:lpstr>
      <vt:lpstr>wld_cl01_supervisor_private_cidr</vt:lpstr>
      <vt:lpstr>wld_cl01_supervisor_private_transit_gateway_cidr</vt:lpstr>
      <vt:lpstr>wld_cl01_supervisor_service_cidr</vt:lpstr>
      <vt:lpstr>wld_cl01_supervisor_vpc_profile</vt:lpstr>
      <vt:lpstr>wld_cl01_vds_name</vt:lpstr>
      <vt:lpstr>wld_cl01_vds_standard_preconfigured_profiles</vt:lpstr>
      <vt:lpstr>wld_cl01_vds_vsanmax_preconfigured_profiles</vt:lpstr>
      <vt:lpstr>wld_cl01_vds01_lag_name</vt:lpstr>
      <vt:lpstr>wld_cl01_vds01_mtu</vt:lpstr>
      <vt:lpstr>wld_cl01_vds01_name</vt:lpstr>
      <vt:lpstr>wld_cl01_vds01_pnics</vt:lpstr>
      <vt:lpstr>wld_cl01_vds01_traffic_type</vt:lpstr>
      <vt:lpstr>wld_cl01_vds01_uplink_count</vt:lpstr>
      <vt:lpstr>wld_cl01_vds02_lag_name</vt:lpstr>
      <vt:lpstr>wld_cl01_vds02_mtu</vt:lpstr>
      <vt:lpstr>wld_cl01_vds02_name</vt:lpstr>
      <vt:lpstr>wld_cl01_vds02_pnics</vt:lpstr>
      <vt:lpstr>wld_cl01_vds02_traffic_type</vt:lpstr>
      <vt:lpstr>wld_cl01_vds02_uplink_count</vt:lpstr>
      <vt:lpstr>wld_cl01_vds03_lag_name</vt:lpstr>
      <vt:lpstr>wld_cl01_vds03_mtu</vt:lpstr>
      <vt:lpstr>wld_cl01_vds03_name</vt:lpstr>
      <vt:lpstr>wld_cl01_vds03_pnics</vt:lpstr>
      <vt:lpstr>wld_cl01_vds03_traffic_type</vt:lpstr>
      <vt:lpstr>wld_cl01_vds03_uplink_count</vt:lpstr>
      <vt:lpstr>wld_cl01_vmfs_datastore_name</vt:lpstr>
      <vt:lpstr>wld_cl01_vsan_datastore</vt:lpstr>
      <vt:lpstr>wld_cluster_compute_edge</vt:lpstr>
      <vt:lpstr>wld_cluster_compute_only</vt:lpstr>
      <vt:lpstr>wld_cluster_edge</vt:lpstr>
      <vt:lpstr>wld_compute_hosts_per_rack</vt:lpstr>
      <vt:lpstr>wld_compute_total_number_hosts</vt:lpstr>
      <vt:lpstr>wld_datacenter</vt:lpstr>
      <vt:lpstr>wld_dedicated_edge_cluster_chosen_exclude</vt:lpstr>
      <vt:lpstr>wld_dedicated_edge_cluster_chosen_include</vt:lpstr>
      <vt:lpstr>wld_domain_number_chosen</vt:lpstr>
      <vt:lpstr>wld_ec_gateway_type</vt:lpstr>
      <vt:lpstr>wld_ec_mtu</vt:lpstr>
      <vt:lpstr>wld_ec_name</vt:lpstr>
      <vt:lpstr>wld_ec_rp_name</vt:lpstr>
      <vt:lpstr>wld_ec01_en01_host_group_affinity_rule_name</vt:lpstr>
      <vt:lpstr>wld_ec01_en02_host_group_affinity_rule_name</vt:lpstr>
      <vt:lpstr>wld_en_asn</vt:lpstr>
      <vt:lpstr>wld_esx_root_password</vt:lpstr>
      <vt:lpstr>wld_esx_root_username</vt:lpstr>
      <vt:lpstr>wld_existing_active_nsx_gm</vt:lpstr>
      <vt:lpstr>wld_existing_cross_instance_t0_name</vt:lpstr>
      <vt:lpstr>wld_iaas_service_chosen</vt:lpstr>
      <vt:lpstr>wld_multirack_calc</vt:lpstr>
      <vt:lpstr>wld_multirack_result</vt:lpstr>
      <vt:lpstr>wld_nsx_vlan_transport_zone_name</vt:lpstr>
      <vt:lpstr>wld_nsxt_en_admin_password</vt:lpstr>
      <vt:lpstr>wld_nsxt_en_root_password</vt:lpstr>
      <vt:lpstr>wld_nsxt_federation_global_manager_name</vt:lpstr>
      <vt:lpstr>wld_nsxt_federation_location_name</vt:lpstr>
      <vt:lpstr>wld_nsxt_global_mgr_anti_affinity_rule_name</vt:lpstr>
      <vt:lpstr>wld_nsxt_global_mgr_certificate_id</vt:lpstr>
      <vt:lpstr>wld_nsxt_global_mgr_cluster_id</vt:lpstr>
      <vt:lpstr>wld_nsxt_global_mgr_vmca_signed_thumbprint</vt:lpstr>
      <vt:lpstr>wld_nsxt_global_mgra_fqdn</vt:lpstr>
      <vt:lpstr>wld_nsxt_global_mgra_hostname</vt:lpstr>
      <vt:lpstr>wld_nsxt_global_mgra_ip</vt:lpstr>
      <vt:lpstr>wld_nsxt_global_mgrb_fqdn</vt:lpstr>
      <vt:lpstr>wld_nsxt_global_mgrb_hostname</vt:lpstr>
      <vt:lpstr>wld_nsxt_global_mgrb_ip</vt:lpstr>
      <vt:lpstr>wld_nsxt_global_mgrc_fqdn</vt:lpstr>
      <vt:lpstr>wld_nsxt_global_mgrc_hostname</vt:lpstr>
      <vt:lpstr>wld_nsxt_global_mgrc_ip</vt:lpstr>
      <vt:lpstr>wld_nsxt_gm_admin_password</vt:lpstr>
      <vt:lpstr>wld_nsxt_gm_audit_password</vt:lpstr>
      <vt:lpstr>wld_nsxt_gm_fingerprint</vt:lpstr>
      <vt:lpstr>wld_nsxt_gm_hostname</vt:lpstr>
      <vt:lpstr>wld_nsxt_gm_root_password</vt:lpstr>
      <vt:lpstr>wld_nsxt_gm_vip_fqdn</vt:lpstr>
      <vt:lpstr>wld_nsxt_gm_vip_ip</vt:lpstr>
      <vt:lpstr>wld_nsxt_hostname</vt:lpstr>
      <vt:lpstr>wld_nsxt_lm_admin_password</vt:lpstr>
      <vt:lpstr>wld_nsxt_lm_audit_password</vt:lpstr>
      <vt:lpstr>wld_nsxt_lm_fingerprint</vt:lpstr>
      <vt:lpstr>wld_nsxt_mgra_fqdn</vt:lpstr>
      <vt:lpstr>wld_nsxt_mgra_hostname</vt:lpstr>
      <vt:lpstr>wld_nsxt_mgra_ip</vt:lpstr>
      <vt:lpstr>wld_nsxt_mgrb_fqdn</vt:lpstr>
      <vt:lpstr>wld_nsxt_mgrb_hostname</vt:lpstr>
      <vt:lpstr>wld_nsxt_mgrb_ip</vt:lpstr>
      <vt:lpstr>wld_nsxt_mgrc_fqdn</vt:lpstr>
      <vt:lpstr>wld_nsxt_mgrc_hostname</vt:lpstr>
      <vt:lpstr>wld_nsxt_mgrc_ip</vt:lpstr>
      <vt:lpstr>wld_nsxt_vip_fqdn</vt:lpstr>
      <vt:lpstr>wld_nsxt_vip_ip</vt:lpstr>
      <vt:lpstr>wld_nsxt_xreg_t1_name</vt:lpstr>
      <vt:lpstr>wld_rack2_en_asn</vt:lpstr>
      <vt:lpstr>wld_rack3_en_asn</vt:lpstr>
      <vt:lpstr>wld_rack4_en_asn</vt:lpstr>
      <vt:lpstr>wld_rack5_en_asn</vt:lpstr>
      <vt:lpstr>wld_rack6_en_asn</vt:lpstr>
      <vt:lpstr>wld_rack7_en_asn</vt:lpstr>
      <vt:lpstr>wld_rack8_en_asn</vt:lpstr>
      <vt:lpstr>wld_rtep_ip_pool_name</vt:lpstr>
      <vt:lpstr>wld_rtep_overlay_pool_end_ip</vt:lpstr>
      <vt:lpstr>wld_rtep_overlay_pool_start_ip</vt:lpstr>
      <vt:lpstr>wld_rwr_az1_vrms_gateway_ip</vt:lpstr>
      <vt:lpstr>wld_rwr_az1_vrms_gateway_mask</vt:lpstr>
      <vt:lpstr>wld_rwr_cl02_cluster</vt:lpstr>
      <vt:lpstr>wld_rwr_recovery_site_az1_vrms_cidr</vt:lpstr>
      <vt:lpstr>wld_rwr_recovery_site_vc_fqdn</vt:lpstr>
      <vt:lpstr>wld_rwr_recoverysite_fd</vt:lpstr>
      <vt:lpstr>wld_rwr_recoverysite_prefix</vt:lpstr>
      <vt:lpstr>wld_rwr_vc_fqdn</vt:lpstr>
      <vt:lpstr>wld_rwr_vcfops_vlsr_username</vt:lpstr>
      <vt:lpstr>wld_rwr_vcfops_vr_username</vt:lpstr>
      <vt:lpstr>wld_sddc_domain</vt:lpstr>
      <vt:lpstr>wld_srm_admin_email</vt:lpstr>
      <vt:lpstr>wld_srm_admin_password</vt:lpstr>
      <vt:lpstr>wld_srm_database_password</vt:lpstr>
      <vt:lpstr>wld_srm_fqdn</vt:lpstr>
      <vt:lpstr>wld_srm_hostname</vt:lpstr>
      <vt:lpstr>wld_srm_ip</vt:lpstr>
      <vt:lpstr>wld_srm_p12_password</vt:lpstr>
      <vt:lpstr>wld_srm_recovery_vcenter_fqdn</vt:lpstr>
      <vt:lpstr>wld_srm_recovery_vcenter_password</vt:lpstr>
      <vt:lpstr>wld_srm_recovery_vcenter_username</vt:lpstr>
      <vt:lpstr>wld_srm_root_password</vt:lpstr>
      <vt:lpstr>wld_srm_site_name</vt:lpstr>
      <vt:lpstr>wld_srm_sso_domain_membership</vt:lpstr>
      <vt:lpstr>wld_srm_vm_folder</vt:lpstr>
      <vt:lpstr>wld_srm_vm_size</vt:lpstr>
      <vt:lpstr>wld_sso_domain_administrator</vt:lpstr>
      <vt:lpstr>wld_sso_domain_administrator_password</vt:lpstr>
      <vt:lpstr>wld_sso_domain_name</vt:lpstr>
      <vt:lpstr>wld_supvr_api_server_fqdn</vt:lpstr>
      <vt:lpstr>wld_supvr_cp_storage_policy</vt:lpstr>
      <vt:lpstr>wld_supvr_ed_storage_policy</vt:lpstr>
      <vt:lpstr>wld_supvr_ic_storage_policy</vt:lpstr>
      <vt:lpstr>wld_supvr_ip_address_range</vt:lpstr>
      <vt:lpstr>wld_supvr_mgmt_dns_server</vt:lpstr>
      <vt:lpstr>wld_supvr_mgmt_dns_zones</vt:lpstr>
      <vt:lpstr>wld_supvr_mgmt_ntp_server</vt:lpstr>
      <vt:lpstr>wld_supvr_name</vt:lpstr>
      <vt:lpstr>wld_supvr_nsx_project</vt:lpstr>
      <vt:lpstr>wld_supvr_vpc_connectivity_profile</vt:lpstr>
      <vt:lpstr>wld_supvr_vpc_ext_ip_blocks_name</vt:lpstr>
      <vt:lpstr>wld_supvr_vpc_priv_cidr</vt:lpstr>
      <vt:lpstr>wld_supvr_vpc_priv_ip_blocks_name</vt:lpstr>
      <vt:lpstr>wld_supvr_vpc_service_cidr</vt:lpstr>
      <vt:lpstr>wld_supvr_wld_dns_server</vt:lpstr>
      <vt:lpstr>wld_supvr_wld_ntp_server</vt:lpstr>
      <vt:lpstr>wld_supvr_zone_name</vt:lpstr>
      <vt:lpstr>wld_tier0_name</vt:lpstr>
      <vt:lpstr>wld_vc_fqdn</vt:lpstr>
      <vt:lpstr>wld_vc_hostname</vt:lpstr>
      <vt:lpstr>wld_vc_ip</vt:lpstr>
      <vt:lpstr>wld_vcenter_root_password</vt:lpstr>
      <vt:lpstr>wld_vlr_fqdn</vt:lpstr>
      <vt:lpstr>wld_vlr_hostname</vt:lpstr>
      <vt:lpstr>wld_vlr_replication_user</vt:lpstr>
      <vt:lpstr>wld_vna_rp_name</vt:lpstr>
      <vt:lpstr>wld_vnaa_fqdn</vt:lpstr>
      <vt:lpstr>wld_vnaa_ip</vt:lpstr>
      <vt:lpstr>wld_vnab_fqdn</vt:lpstr>
      <vt:lpstr>wld_vnab_ip</vt:lpstr>
      <vt:lpstr>wld_vpc_ext_ip_blocks</vt:lpstr>
      <vt:lpstr>wld_vpc_ext_ip_blocks_cidr</vt:lpstr>
      <vt:lpstr>wld_vpc_ext_ip_blocks_excluded_ips</vt:lpstr>
      <vt:lpstr>wld_vpc_ext_ip_blocks_name</vt:lpstr>
      <vt:lpstr>wld_vpc_ext_ip_blocks_reserved</vt:lpstr>
      <vt:lpstr>wld_vpc_ext_ip_blocks_visability</vt:lpstr>
      <vt:lpstr>wld_vpc_priv_ip_blocks_excluded_ips</vt:lpstr>
      <vt:lpstr>wld_vpc_priv_ip_blocks_name</vt:lpstr>
      <vt:lpstr>wld_vpc_priv_ip_blocks_reserved</vt:lpstr>
      <vt:lpstr>wld_vpc_priv_ip_blocks_visability</vt:lpstr>
      <vt:lpstr>wld_vpc_transit_gateway_ip_blocks</vt:lpstr>
      <vt:lpstr>wld_vpc_transit_gateway_ip_blocks_cidr</vt:lpstr>
      <vt:lpstr>wld_vpc_vna_cluster_name</vt:lpstr>
      <vt:lpstr>wld_vrms_admin_email</vt:lpstr>
      <vt:lpstr>wld_vrms_admin_password</vt:lpstr>
      <vt:lpstr>wld_vrms_fqdn</vt:lpstr>
      <vt:lpstr>wld_vrms_hostname</vt:lpstr>
      <vt:lpstr>wld_vrms_mask</vt:lpstr>
      <vt:lpstr>wld_vrms_mgmt_ip</vt:lpstr>
      <vt:lpstr>wld_vrms_p12_password</vt:lpstr>
      <vt:lpstr>wld_vrms_pg</vt:lpstr>
      <vt:lpstr>wld_vrms_recovery_replication_cidr</vt:lpstr>
      <vt:lpstr>wld_vrms_root_password</vt:lpstr>
      <vt:lpstr>wld_vrms_site_name</vt:lpstr>
      <vt:lpstr>wld_vrms_vm_folder</vt:lpstr>
      <vt:lpstr>wld_vrms_vrms_ip</vt:lpstr>
      <vt:lpstr>wld_vsan_type</vt:lpstr>
      <vt:lpstr>wld_witness_az_mgmt_mask</vt:lpstr>
      <vt:lpstr>wld_witness_cluster</vt:lpstr>
      <vt:lpstr>wld_witness_dns1_ip</vt:lpstr>
      <vt:lpstr>wld_witness_dns2_ip</vt:lpstr>
      <vt:lpstr>wld_witness_fqdn</vt:lpstr>
      <vt:lpstr>wld_witness_hostname</vt:lpstr>
      <vt:lpstr>wld_witness_ip</vt:lpstr>
      <vt:lpstr>wld_witness_mgmt_ip</vt:lpstr>
      <vt:lpstr>wld_witness_mgmt_pg</vt:lpstr>
      <vt:lpstr>wld_witness_ntp1_server</vt:lpstr>
      <vt:lpstr>wld_witness_ntp2_server</vt:lpstr>
      <vt:lpstr>wld_witness_root_password</vt:lpstr>
      <vt:lpstr>wld_witness_vc_fqdn</vt:lpstr>
      <vt:lpstr>wld_witness_vm_folder</vt:lpstr>
      <vt:lpstr>wld_witness_vsan_datastore</vt:lpstr>
      <vt:lpstr>wld_witness_zone_vc_fqdn</vt:lpstr>
      <vt:lpstr>wld_witness_zone_vc_hostname</vt:lpstr>
      <vt:lpstr>wld_witness_zone_vc_ip</vt:lpstr>
      <vt:lpstr>wld_witnessaz_gateway_ip</vt:lpstr>
      <vt:lpstr>wld_witnessaz_mgmt_cidr</vt:lpstr>
      <vt:lpstr>wld_witnessaz_mgmt_gateway_ip</vt:lpstr>
      <vt:lpstr>wld_witnessaz_mgmt_mask</vt:lpstr>
      <vt:lpstr>wld_witnessaz_mgmt_mtu</vt:lpstr>
      <vt:lpstr>wld_witnessaz_mgmt_network</vt:lpstr>
      <vt:lpstr>wld_witnessaz_mgmt_vlan</vt:lpstr>
      <vt:lpstr>workload_descriptor</vt:lpstr>
      <vt:lpstr>xreg_vra_admin_password</vt:lpstr>
      <vt:lpstr>xreg_vra_nodea_ip</vt:lpstr>
      <vt:lpstr>xreg_vra_nodeb_ip</vt:lpstr>
      <vt:lpstr>xreg_vra_nodec_ip</vt:lpstr>
      <vt:lpstr>xreg_vra_noded_ip</vt:lpstr>
      <vt:lpstr>xreg_vra_nodee_ip</vt:lpstr>
      <vt:lpstr>xreg_vra_nodef_ip</vt:lpstr>
      <vt:lpstr>xreg_vra_prefix</vt:lpstr>
      <vt:lpstr>xreg_vra_virtual_fqdn</vt:lpstr>
      <vt:lpstr>xreg_vra_virtual_hostname</vt:lpstr>
      <vt:lpstr>xreg_vra_virtual_ip</vt:lpstr>
      <vt:lpstr>xreg_vra_vm_folder</vt:lpstr>
      <vt:lpstr>xreg_vrni_nodea_hostname</vt:lpstr>
      <vt:lpstr>xreg_vrni_nodea_ip</vt:lpstr>
      <vt:lpstr>xreg_vrops_admin_password</vt:lpstr>
      <vt:lpstr>xreg_vrops_collector_fqdn</vt:lpstr>
      <vt:lpstr>xreg_vrops_collector_hostname</vt:lpstr>
      <vt:lpstr>xreg_vrops_collector_ip</vt:lpstr>
      <vt:lpstr>xreg_vrops_collector_root_password</vt:lpstr>
      <vt:lpstr>xreg_vrops_nodea_fqdn</vt:lpstr>
      <vt:lpstr>xreg_vrops_nodea_hostname</vt:lpstr>
      <vt:lpstr>xreg_vrops_nodea_ip</vt:lpstr>
      <vt:lpstr>xreg_vrops_nodeb_fqdn</vt:lpstr>
      <vt:lpstr>xreg_vrops_nodeb_hostname</vt:lpstr>
      <vt:lpstr>xreg_vrops_nodeb_ip</vt:lpstr>
      <vt:lpstr>xreg_vrops_nodec_fqdn</vt:lpstr>
      <vt:lpstr>xreg_vrops_nodec_hostname</vt:lpstr>
      <vt:lpstr>xreg_vrops_nodec_ip</vt:lpstr>
      <vt:lpstr>xreg_vrops_root_password</vt:lpstr>
      <vt:lpstr>xreg_vrops_srm_sso_password</vt:lpstr>
      <vt:lpstr>xreg_vrops_srm_sso_username</vt:lpstr>
      <vt:lpstr>xreg_vrops_virtual_fqdn</vt:lpstr>
      <vt:lpstr>xreg_vrops_virtual_hostname</vt:lpstr>
      <vt:lpstr>xreg_vrops_virtual_ip</vt:lpstr>
      <vt:lpstr>xreg_vrops_vm_folder</vt:lpstr>
      <vt:lpstr>xreg_vrops_vrms_sso_password</vt:lpstr>
      <vt:lpstr>xreg_vrops_vrms_sso_username</vt:lpstr>
      <vt:lpstr>xreg_vrslcm_fqdn</vt:lpstr>
      <vt:lpstr>xreg_vrslcm_hostname</vt:lpstr>
      <vt:lpstr>xreg_vrslcm_ip</vt:lpstr>
      <vt:lpstr>xreg_wsa_vm_folder</vt:lpstr>
      <vt:lpstr>xregion_dns1_ip</vt:lpstr>
      <vt:lpstr>xregion_dns2_ip</vt:lpstr>
      <vt:lpstr>xregion_ntp1_server</vt:lpstr>
      <vt:lpstr>xregion_ntp2_server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 Creamer</cp:lastModifiedBy>
  <dcterms:created xsi:type="dcterms:W3CDTF">2026-08-09T22:15:32Z</dcterms:created>
  <dcterms:modified xsi:type="dcterms:W3CDTF">2026-08-10T02:59:16Z</dcterms:modified>
</cp:coreProperties>
</file>